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'gen'!$B$1:$E$53</definedName>
    <definedName name="_xlnm.Print_Area" localSheetId="1">'inputPrYr'!$A$1:$E$83</definedName>
    <definedName name="_xlnm.Print_Area" localSheetId="12">'road'!$B$1:$F$64</definedName>
    <definedName name="_xlnm.Print_Area" localSheetId="19">'summ'!$B$1:$I$33</definedName>
  </definedNames>
  <calcPr fullCalcOnLoad="1"/>
</workbook>
</file>

<file path=xl/sharedStrings.xml><?xml version="1.0" encoding="utf-8"?>
<sst xmlns="http://schemas.openxmlformats.org/spreadsheetml/2006/main" count="1371" uniqueCount="822">
  <si>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</si>
  <si>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</si>
  <si>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</si>
  <si>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</si>
  <si>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</si>
  <si>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</si>
  <si>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</si>
  <si>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</si>
  <si>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</si>
  <si>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</si>
  <si>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</si>
  <si>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</si>
  <si>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</si>
  <si>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</si>
  <si>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</si>
  <si>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</si>
  <si>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</si>
  <si>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</si>
  <si>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</si>
  <si>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</si>
  <si>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</si>
  <si>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</si>
  <si>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</si>
  <si>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</si>
  <si>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</si>
  <si>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</si>
  <si>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</si>
  <si>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</si>
  <si>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</si>
  <si>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</si>
  <si>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</si>
  <si>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</si>
  <si>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</si>
  <si>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</si>
  <si>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</si>
  <si>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</si>
  <si>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</si>
  <si>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</si>
  <si>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</si>
  <si>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</si>
  <si>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</si>
  <si>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</si>
  <si>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</si>
  <si>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</si>
  <si>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</si>
  <si>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</si>
  <si>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</si>
  <si>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</si>
  <si>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</si>
  <si>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</si>
  <si>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</si>
  <si>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</si>
  <si>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</si>
  <si>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</si>
  <si>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</si>
  <si>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</si>
  <si>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</si>
  <si>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</si>
  <si>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</si>
  <si>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</si>
  <si>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</si>
  <si>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</si>
  <si>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</si>
  <si>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</si>
  <si>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</si>
  <si>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</si>
  <si>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</si>
  <si>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</si>
  <si>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</si>
  <si>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</si>
  <si>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</si>
  <si>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</si>
  <si>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</si>
  <si>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</si>
  <si>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</si>
  <si>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</si>
  <si>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</si>
  <si>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</si>
  <si>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</si>
  <si>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</si>
  <si>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</si>
  <si>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</si>
  <si>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</si>
  <si>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</si>
  <si>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</si>
  <si>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</si>
  <si>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</si>
  <si>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</si>
  <si>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</si>
  <si>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</si>
  <si>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</si>
  <si>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</si>
  <si>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</si>
  <si>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</si>
  <si>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</si>
  <si>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</si>
  <si>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</si>
  <si>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</si>
  <si>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</si>
  <si>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</si>
  <si>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</si>
  <si>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</si>
  <si>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</si>
  <si>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</si>
  <si>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</si>
  <si>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</si>
  <si>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</si>
  <si>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</si>
  <si>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</si>
  <si>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</si>
  <si>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</si>
  <si>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</si>
  <si>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</si>
  <si>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</si>
  <si>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</si>
  <si>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</si>
  <si>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</si>
  <si>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</si>
  <si>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</si>
  <si>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</si>
  <si>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</si>
  <si>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</si>
  <si>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</si>
  <si>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</si>
  <si>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</si>
  <si>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</si>
  <si>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</si>
  <si>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</si>
  <si>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</si>
  <si>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</si>
  <si>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</si>
  <si>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</si>
  <si>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</si>
  <si>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</si>
  <si>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</si>
  <si>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</si>
  <si>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</si>
  <si>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</si>
  <si>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</si>
  <si>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</si>
  <si>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</si>
  <si>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</si>
  <si>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</si>
  <si>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</si>
  <si>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</si>
  <si>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</si>
  <si>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</si>
  <si>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</si>
  <si>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</si>
  <si>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</si>
  <si>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</si>
  <si>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</si>
  <si>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</si>
  <si>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</si>
  <si>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</si>
  <si>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</si>
  <si>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</si>
  <si>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</si>
  <si>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</si>
  <si>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</si>
  <si>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</si>
  <si>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</si>
  <si>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</si>
  <si>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</si>
  <si>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</si>
  <si>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</si>
  <si>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</si>
  <si>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</si>
  <si>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</si>
  <si>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</si>
  <si>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</si>
  <si>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</si>
  <si>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</si>
  <si>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</si>
  <si>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</si>
  <si>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</si>
  <si>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</si>
  <si>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</si>
  <si>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</si>
  <si>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</si>
  <si>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</si>
  <si>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</si>
  <si>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</si>
  <si>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</si>
  <si>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</si>
  <si>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</si>
  <si>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</si>
  <si>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</si>
  <si>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</si>
  <si>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</si>
  <si>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</si>
  <si>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</si>
  <si>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</si>
  <si>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</si>
  <si>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</si>
  <si>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</si>
  <si>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</si>
  <si>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</si>
  <si>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</si>
  <si>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</si>
  <si>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</si>
  <si>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</si>
  <si>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</si>
  <si>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</si>
  <si>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</si>
  <si>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</si>
  <si>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</si>
  <si>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</si>
  <si>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</si>
  <si>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</si>
  <si>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</si>
  <si>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</si>
  <si>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</si>
  <si>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</si>
  <si>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</si>
  <si>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</si>
  <si>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</si>
  <si>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</si>
  <si>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</si>
  <si>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</si>
  <si>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</si>
  <si>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</si>
  <si>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</si>
  <si>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</si>
  <si>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</si>
  <si>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</si>
  <si>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</si>
  <si>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</si>
  <si>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</si>
  <si>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</si>
  <si>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</si>
  <si>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</si>
  <si>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</si>
  <si>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</si>
  <si>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</si>
  <si>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</si>
  <si>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</si>
  <si>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</si>
  <si>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</si>
  <si>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</si>
  <si>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</si>
  <si>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</si>
  <si>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</si>
  <si>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</si>
  <si>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</si>
  <si>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</si>
  <si>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</si>
  <si>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</si>
  <si>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</si>
  <si>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</si>
  <si>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</si>
  <si>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</si>
  <si>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</si>
  <si>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</si>
  <si>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</si>
  <si>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</si>
  <si>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</si>
  <si>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</si>
  <si>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</si>
  <si>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</si>
  <si>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</si>
  <si>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</si>
  <si>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</si>
  <si>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</si>
  <si>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</si>
  <si>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</si>
  <si>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</si>
  <si>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</si>
  <si>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</si>
  <si>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</si>
  <si>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</si>
  <si>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</si>
  <si>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</si>
  <si>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</si>
  <si>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</si>
  <si>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</si>
  <si>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</si>
  <si>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</si>
  <si>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</si>
  <si>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</si>
  <si>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</si>
  <si>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</si>
  <si>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</si>
  <si>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</si>
  <si>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</si>
  <si>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</si>
  <si>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</si>
  <si>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</si>
  <si>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</si>
  <si>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</si>
  <si>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</si>
  <si>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</si>
  <si>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</si>
  <si>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</si>
  <si>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</si>
  <si>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</si>
  <si>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</si>
  <si>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</si>
  <si>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</si>
  <si>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</si>
  <si>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</si>
  <si>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</si>
  <si>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</si>
  <si>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</si>
  <si>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</si>
  <si>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</si>
  <si>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</si>
  <si>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</si>
  <si>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</si>
  <si>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</si>
  <si>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</si>
  <si>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</si>
  <si>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</si>
  <si>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</si>
  <si>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</si>
  <si>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</si>
  <si>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</si>
  <si>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</si>
  <si>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</si>
  <si>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</si>
  <si>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</si>
  <si>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</si>
  <si>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</si>
  <si>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</si>
  <si>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</si>
  <si>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</si>
  <si>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</si>
  <si>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</si>
  <si>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</si>
  <si>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</si>
  <si>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</si>
  <si>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</si>
  <si>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</si>
  <si>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</si>
  <si>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</si>
  <si>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</si>
  <si>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</si>
  <si>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</si>
  <si>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</si>
  <si>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</si>
  <si>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</si>
  <si>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</si>
  <si>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</si>
  <si>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</si>
  <si>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</si>
  <si>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</si>
  <si>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</si>
  <si>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</si>
  <si>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</si>
  <si>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</si>
  <si>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</si>
  <si>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</si>
  <si>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</si>
  <si>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</si>
  <si>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</si>
  <si>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</si>
  <si>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</si>
  <si>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</si>
  <si>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</si>
  <si>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</si>
  <si>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</si>
  <si>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</si>
  <si>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</si>
  <si>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</si>
  <si>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</si>
  <si>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</si>
  <si>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</si>
  <si>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</si>
  <si>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</si>
  <si>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</si>
  <si>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</si>
  <si>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</si>
  <si>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</si>
  <si>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</si>
  <si>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</si>
  <si>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</si>
  <si>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</si>
  <si>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</si>
  <si>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</si>
  <si>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</si>
  <si>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</si>
  <si>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</si>
  <si>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</si>
  <si>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</si>
  <si>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</si>
  <si>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</si>
  <si>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</si>
  <si>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</si>
  <si>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</si>
  <si>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</si>
  <si>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</si>
  <si>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</si>
  <si>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</si>
  <si>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</si>
  <si>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</si>
  <si>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</si>
  <si>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</si>
  <si>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</si>
  <si>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</si>
  <si>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</si>
  <si>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</si>
  <si>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</si>
  <si>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</si>
  <si>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</si>
  <si>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</si>
  <si>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</si>
  <si>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</si>
  <si>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</si>
  <si>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</si>
  <si>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</si>
  <si>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</si>
  <si>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</si>
  <si>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</si>
  <si>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</si>
  <si>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</si>
  <si>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</si>
  <si>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</si>
  <si>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</si>
  <si>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</si>
  <si>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</si>
  <si>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</si>
  <si>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</si>
  <si>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</si>
  <si>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</si>
  <si>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</si>
  <si>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</si>
  <si>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</si>
  <si>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</si>
  <si>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</si>
  <si>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</si>
  <si>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</si>
  <si>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</si>
  <si>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</si>
  <si>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</si>
  <si>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</si>
  <si>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</si>
  <si>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</si>
  <si>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</si>
  <si>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</si>
  <si>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</si>
  <si>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</si>
  <si>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</si>
  <si>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</si>
  <si>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</si>
  <si>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</si>
  <si>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</si>
  <si>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</si>
  <si>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</si>
  <si>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</si>
  <si>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</si>
  <si>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</si>
  <si>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</si>
  <si>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</si>
  <si>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</si>
  <si>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</si>
  <si>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</si>
  <si>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</si>
  <si>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</si>
  <si>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</si>
  <si>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</si>
  <si>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</si>
  <si>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</si>
  <si>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</si>
  <si>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</si>
  <si>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</si>
  <si>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</si>
  <si>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</si>
  <si>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</si>
  <si>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</si>
  <si>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</si>
  <si>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</si>
  <si>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</si>
  <si>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</si>
  <si>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</si>
  <si>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</si>
  <si>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</si>
  <si>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</si>
  <si>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</si>
  <si>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</si>
  <si>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</si>
  <si>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</si>
  <si>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</si>
  <si>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</si>
  <si>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</si>
  <si>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</si>
  <si>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</si>
  <si>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</si>
  <si>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</si>
  <si>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</si>
  <si>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</si>
  <si>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</si>
  <si>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</si>
  <si>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</si>
  <si>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</si>
  <si>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</si>
  <si>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</si>
  <si>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</si>
  <si>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</si>
  <si>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</si>
  <si>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</si>
  <si>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</si>
  <si>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</si>
  <si>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</si>
  <si>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</si>
  <si>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</si>
  <si>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</si>
  <si>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</si>
  <si>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</si>
  <si>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</si>
  <si>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</si>
  <si>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</si>
  <si>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</si>
  <si>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</si>
  <si>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</si>
  <si>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</si>
  <si>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</si>
  <si>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</si>
  <si>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</si>
  <si>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</si>
  <si>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</si>
  <si>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</si>
  <si>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</si>
  <si>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</si>
  <si>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</si>
  <si>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</si>
  <si>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</si>
  <si>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</si>
  <si>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</si>
  <si>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</si>
  <si>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</si>
  <si>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</si>
  <si>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</si>
  <si>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</si>
  <si>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</si>
  <si>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</si>
  <si>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</si>
  <si>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</si>
  <si>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</si>
  <si>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</si>
  <si>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</si>
  <si>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</si>
  <si>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</si>
  <si>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</si>
  <si>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</si>
  <si>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</si>
  <si>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</si>
  <si>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</si>
  <si>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</si>
  <si>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</si>
  <si>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</si>
  <si>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</si>
  <si>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</si>
  <si>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</si>
  <si>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</si>
  <si>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</si>
  <si>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</si>
  <si>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</si>
  <si>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</si>
  <si>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</si>
  <si>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</si>
  <si>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</si>
  <si>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</si>
  <si>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</si>
  <si>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</si>
  <si>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</si>
  <si>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</si>
  <si>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</si>
  <si>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</si>
  <si>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</si>
  <si>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</si>
  <si>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</si>
  <si>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</si>
  <si>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</si>
  <si>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</si>
  <si>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</si>
  <si>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</si>
  <si>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</si>
  <si>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</si>
  <si>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</si>
  <si>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</si>
  <si>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</si>
  <si>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</si>
  <si>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</si>
  <si>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</si>
  <si>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</si>
  <si>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</si>
  <si>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</si>
  <si>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</si>
  <si>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</si>
  <si>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</si>
  <si>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</si>
  <si>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</si>
  <si>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</si>
  <si>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</si>
  <si>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</si>
  <si>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</si>
  <si>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</si>
  <si>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</si>
  <si>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</si>
  <si>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</si>
  <si>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</si>
  <si>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</si>
  <si>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</si>
  <si>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</si>
  <si>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</si>
  <si>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</si>
  <si>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</si>
  <si>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</si>
  <si>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</si>
  <si>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</si>
  <si>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</si>
  <si>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</si>
  <si>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</si>
  <si>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</si>
  <si>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</si>
  <si>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</si>
  <si>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</si>
  <si>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</si>
  <si>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</si>
  <si>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</si>
  <si>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</si>
  <si>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</si>
  <si>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</si>
  <si>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</si>
  <si>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</si>
  <si>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</si>
  <si>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</si>
  <si>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</si>
  <si>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</si>
  <si>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</si>
  <si>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</si>
  <si>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</si>
  <si>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</si>
  <si>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</si>
  <si>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</si>
  <si>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</si>
  <si>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</si>
  <si>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</si>
  <si>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</si>
  <si>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</si>
  <si>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</si>
  <si>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</si>
  <si>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</si>
  <si>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</si>
  <si>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</si>
  <si>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</si>
  <si>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</si>
  <si>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</si>
  <si>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</si>
  <si>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</si>
  <si>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</si>
  <si>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</si>
  <si>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</si>
  <si>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</si>
  <si>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</si>
  <si>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</si>
  <si>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</si>
  <si>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</si>
  <si>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</si>
  <si>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</si>
  <si>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</si>
  <si>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</si>
  <si>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</si>
  <si>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</si>
  <si>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</si>
  <si>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</si>
  <si>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</si>
  <si>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</si>
  <si>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</si>
  <si>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</si>
  <si>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</si>
  <si>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</si>
  <si>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</si>
  <si>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</si>
  <si>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</si>
  <si>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</si>
  <si>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</si>
  <si>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</si>
  <si>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</si>
  <si>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</si>
  <si>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</si>
  <si>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</si>
  <si>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</si>
  <si>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</si>
  <si>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</si>
  <si>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</si>
  <si>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</si>
  <si>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</si>
  <si>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</si>
  <si>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</si>
  <si>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</si>
  <si>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</si>
  <si>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</si>
  <si>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</si>
  <si>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</si>
  <si>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</si>
  <si>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</si>
  <si>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</si>
  <si>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</si>
  <si>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</si>
  <si>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</si>
  <si>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</si>
  <si>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</si>
  <si>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</si>
  <si>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</si>
  <si>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</si>
  <si>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</si>
  <si>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</si>
  <si>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</si>
  <si>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</si>
  <si>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</si>
  <si>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</si>
  <si>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</si>
  <si>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</si>
  <si>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</si>
  <si>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</si>
  <si>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</si>
  <si>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</si>
  <si>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</si>
  <si>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</si>
  <si>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</si>
  <si>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</si>
  <si>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</si>
  <si>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</si>
  <si>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</si>
  <si>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</si>
  <si>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</si>
  <si>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</si>
  <si>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</si>
  <si>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</si>
  <si>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</si>
  <si>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</si>
  <si>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</si>
  <si>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</si>
  <si>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</si>
  <si>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</si>
  <si>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</si>
  <si>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</si>
  <si>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</si>
  <si>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</si>
  <si>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</si>
  <si>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</si>
  <si>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</si>
  <si>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</si>
  <si>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</si>
  <si>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</si>
  <si>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</si>
  <si>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</si>
  <si>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</si>
  <si>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</si>
  <si>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</si>
  <si>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</si>
  <si>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</si>
  <si>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</si>
  <si>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</si>
  <si>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</si>
  <si>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</si>
  <si>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</si>
  <si>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</si>
  <si>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</si>
  <si>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</si>
  <si>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</si>
  <si>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</si>
  <si>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</si>
  <si>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</si>
  <si>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</si>
  <si>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</si>
  <si>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</si>
  <si>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</si>
  <si>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</si>
  <si>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</si>
  <si>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</si>
  <si>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</si>
  <si>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</si>
  <si>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</si>
  <si>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</si>
  <si>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</si>
  <si>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</si>
  <si>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</si>
  <si>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</si>
  <si>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</si>
  <si>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</si>
  <si>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</si>
  <si>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</si>
  <si>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</si>
  <si>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</si>
  <si>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</si>
  <si>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</si>
  <si>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</si>
  <si>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</si>
  <si>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</si>
  <si>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</si>
  <si>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</si>
  <si>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</si>
  <si>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</si>
  <si>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</si>
  <si>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</si>
  <si>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</si>
  <si>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</si>
  <si>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</si>
  <si>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</si>
  <si>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</si>
  <si>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</si>
  <si>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</si>
  <si>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</si>
  <si>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</si>
  <si>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</si>
  <si>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</si>
  <si>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</si>
  <si>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</si>
  <si>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</si>
  <si>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Solomon Rapids Township</t>
  </si>
  <si>
    <t>Co-Op Patronage</t>
  </si>
  <si>
    <t>Foley Tractor rebate</t>
  </si>
  <si>
    <t>Equipment Repairs</t>
  </si>
  <si>
    <t>Fuel &amp; Oil</t>
  </si>
  <si>
    <t>Repairs</t>
  </si>
  <si>
    <t>Equipment Rental</t>
  </si>
  <si>
    <t>Spraying</t>
  </si>
  <si>
    <t>August 15, 2011</t>
  </si>
  <si>
    <t>7:30 PM</t>
  </si>
  <si>
    <t>Jim Walter's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</si>
</sst>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748</v>
      </c>
    </row>
    <row r="40" ht="57.75" customHeight="1">
      <c r="A40" s="368" t="s">
        <v>190</v>
      </c>
    </row>
    <row r="41" ht="10.5" customHeight="1">
      <c r="A41" s="357"/>
    </row>
    <row r="42" ht="65.25" customHeight="1">
      <c r="A42" s="357" t="s">
        <v>749</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750</v>
      </c>
    </row>
    <row r="70" ht="63" customHeight="1">
      <c r="A70" s="593" t="s">
        <v>751</v>
      </c>
    </row>
    <row r="71" ht="57" customHeight="1">
      <c r="A71" s="593" t="s">
        <v>752</v>
      </c>
    </row>
    <row r="72" ht="60" customHeight="1">
      <c r="A72" s="357" t="s">
        <v>753</v>
      </c>
    </row>
    <row r="73" ht="117.75" customHeight="1">
      <c r="A73" s="357" t="s">
        <v>754</v>
      </c>
    </row>
    <row r="74" ht="59.25" customHeight="1">
      <c r="A74" s="357" t="s">
        <v>755</v>
      </c>
    </row>
    <row r="75" ht="59.25" customHeight="1">
      <c r="A75" s="593" t="s">
        <v>756</v>
      </c>
    </row>
    <row r="76" ht="84.75" customHeight="1">
      <c r="A76" s="357" t="s">
        <v>757</v>
      </c>
    </row>
    <row r="77" ht="102.75" customHeight="1">
      <c r="A77" s="357" t="s">
        <v>758</v>
      </c>
    </row>
    <row r="78" ht="102.75" customHeight="1">
      <c r="A78" s="369" t="s">
        <v>759</v>
      </c>
    </row>
    <row r="79" ht="54" customHeight="1">
      <c r="A79" s="360" t="s">
        <v>760</v>
      </c>
    </row>
    <row r="80" ht="115.5" customHeight="1">
      <c r="A80" s="357" t="s">
        <v>761</v>
      </c>
    </row>
    <row r="81" ht="78" customHeight="1">
      <c r="A81" s="369" t="s">
        <v>762</v>
      </c>
    </row>
    <row r="82" ht="124.5" customHeight="1">
      <c r="A82" s="369" t="s">
        <v>763</v>
      </c>
    </row>
    <row r="83" ht="138" customHeight="1">
      <c r="A83" s="357" t="s">
        <v>764</v>
      </c>
    </row>
    <row r="84" ht="147" customHeight="1">
      <c r="A84" s="357" t="s">
        <v>765</v>
      </c>
    </row>
    <row r="85" ht="101.25" customHeight="1">
      <c r="A85" s="357" t="s">
        <v>766</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593" t="s">
        <v>767</v>
      </c>
    </row>
    <row r="95" ht="75" customHeight="1">
      <c r="A95" s="593" t="s">
        <v>768</v>
      </c>
    </row>
    <row r="96" ht="33.75" customHeight="1">
      <c r="A96" s="357" t="s">
        <v>769</v>
      </c>
    </row>
    <row r="97" ht="51.75" customHeight="1">
      <c r="A97" s="357" t="s">
        <v>770</v>
      </c>
    </row>
    <row r="98" ht="14.25" customHeight="1"/>
    <row r="99" ht="69.75" customHeight="1">
      <c r="A99" s="357" t="s">
        <v>621</v>
      </c>
    </row>
    <row r="101" ht="54" customHeight="1">
      <c r="A101" s="593" t="s">
        <v>771</v>
      </c>
    </row>
    <row r="102" ht="85.5" customHeight="1">
      <c r="A102" s="593" t="s">
        <v>772</v>
      </c>
    </row>
    <row r="103" ht="99" customHeight="1">
      <c r="A103" s="593"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Solomon Rapids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810</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810</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810</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5"/>
  <sheetViews>
    <sheetView zoomScale="89" zoomScaleNormal="89" zoomScalePageLayoutView="0" workbookViewId="0" topLeftCell="A8">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Solomon Rapids Township</v>
      </c>
      <c r="C1" s="14"/>
      <c r="D1" s="14"/>
      <c r="E1" s="15">
        <f>inputPrYr!D5</f>
        <v>2012</v>
      </c>
    </row>
    <row r="2" spans="2:5" ht="15.75">
      <c r="B2" s="17"/>
      <c r="C2" s="14"/>
      <c r="D2" s="14"/>
      <c r="E2" s="18"/>
    </row>
    <row r="3" spans="2:5" ht="15.75">
      <c r="B3" s="592"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1073</v>
      </c>
      <c r="D6" s="415">
        <f>C43</f>
        <v>1447</v>
      </c>
      <c r="E6" s="32">
        <f>D43</f>
        <v>550</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1298</v>
      </c>
      <c r="D16" s="29">
        <v>896</v>
      </c>
      <c r="E16" s="32">
        <f>inputOth!E12</f>
        <v>485</v>
      </c>
    </row>
    <row r="17" spans="2:5" ht="15.75">
      <c r="B17" s="37"/>
      <c r="C17" s="29"/>
      <c r="D17" s="29"/>
      <c r="E17" s="34"/>
    </row>
    <row r="18" spans="2:5" ht="15.75">
      <c r="B18" s="37"/>
      <c r="C18" s="29"/>
      <c r="D18" s="29"/>
      <c r="E18" s="34"/>
    </row>
    <row r="19" spans="2:5" ht="15.75">
      <c r="B19" s="38" t="s">
        <v>22</v>
      </c>
      <c r="C19" s="29"/>
      <c r="D19" s="29"/>
      <c r="E19" s="34"/>
    </row>
    <row r="20" spans="2:5" ht="15.75">
      <c r="B20" s="39" t="s">
        <v>221</v>
      </c>
      <c r="C20" s="29"/>
      <c r="D20" s="29"/>
      <c r="E20" s="34"/>
    </row>
    <row r="21" spans="2:5" ht="15.75">
      <c r="B21" s="39" t="s">
        <v>222</v>
      </c>
      <c r="C21" s="412">
        <f>IF(C22*0.1&lt;C20,"Exceed 10% Rule","")</f>
      </c>
      <c r="D21" s="412">
        <f>IF(D22*0.1&lt;D20,"Exceed 10% Rule","")</f>
      </c>
      <c r="E21" s="45">
        <f>IF(E22*0.1+E49&lt;E20,"Exceed 10% Rule","")</f>
      </c>
    </row>
    <row r="22" spans="2:5" ht="15.75">
      <c r="B22" s="41" t="s">
        <v>23</v>
      </c>
      <c r="C22" s="417">
        <f>SUM(C8:C20)</f>
        <v>1298</v>
      </c>
      <c r="D22" s="417">
        <f>SUM(D8:D20)</f>
        <v>896</v>
      </c>
      <c r="E22" s="42">
        <f>SUM(E8:E20)</f>
        <v>485</v>
      </c>
    </row>
    <row r="23" spans="2:5" ht="15.75">
      <c r="B23" s="43" t="s">
        <v>24</v>
      </c>
      <c r="C23" s="417">
        <f>C22+C6</f>
        <v>2371</v>
      </c>
      <c r="D23" s="417">
        <f>D22+D6</f>
        <v>2343</v>
      </c>
      <c r="E23" s="42">
        <f>E22+E6</f>
        <v>1035</v>
      </c>
    </row>
    <row r="24" spans="2:5" ht="15.75">
      <c r="B24" s="27" t="s">
        <v>25</v>
      </c>
      <c r="C24" s="415"/>
      <c r="D24" s="415"/>
      <c r="E24" s="32"/>
    </row>
    <row r="25" spans="2:5" ht="15.75">
      <c r="B25" s="37"/>
      <c r="C25" s="29"/>
      <c r="D25" s="29"/>
      <c r="E25" s="34"/>
    </row>
    <row r="26" spans="2:5" ht="15.75">
      <c r="B26" s="38" t="s">
        <v>102</v>
      </c>
      <c r="C26" s="29">
        <v>450</v>
      </c>
      <c r="D26" s="29">
        <v>900</v>
      </c>
      <c r="E26" s="34">
        <v>900</v>
      </c>
    </row>
    <row r="27" spans="2:5" ht="15.75">
      <c r="B27" s="38" t="s">
        <v>126</v>
      </c>
      <c r="C27" s="29"/>
      <c r="D27" s="29"/>
      <c r="E27" s="34"/>
    </row>
    <row r="28" spans="2:5" ht="15.75">
      <c r="B28" s="38" t="s">
        <v>103</v>
      </c>
      <c r="C28" s="29"/>
      <c r="D28" s="29"/>
      <c r="E28" s="34"/>
    </row>
    <row r="29" spans="2:5" ht="15.75">
      <c r="B29" s="38" t="s">
        <v>36</v>
      </c>
      <c r="C29" s="29">
        <v>474</v>
      </c>
      <c r="D29" s="29">
        <v>893</v>
      </c>
      <c r="E29" s="34">
        <v>135</v>
      </c>
    </row>
    <row r="30" spans="2:5" ht="15.75">
      <c r="B30" s="37" t="s">
        <v>104</v>
      </c>
      <c r="C30" s="29"/>
      <c r="D30" s="29"/>
      <c r="E30" s="34"/>
    </row>
    <row r="31" spans="2:5" ht="15.75">
      <c r="B31" s="37" t="s">
        <v>127</v>
      </c>
      <c r="C31" s="29"/>
      <c r="D31" s="29"/>
      <c r="E31" s="34"/>
    </row>
    <row r="32" spans="2:5" ht="15.75">
      <c r="B32" s="38" t="s">
        <v>129</v>
      </c>
      <c r="C32" s="29"/>
      <c r="D32" s="29"/>
      <c r="E32" s="34"/>
    </row>
    <row r="33" spans="2:5" ht="15.75">
      <c r="B33" s="38"/>
      <c r="C33" s="29"/>
      <c r="D33" s="29"/>
      <c r="E33" s="34"/>
    </row>
    <row r="34" spans="2:5" ht="15.75">
      <c r="B34" s="38"/>
      <c r="C34" s="29"/>
      <c r="D34" s="29"/>
      <c r="E34" s="34"/>
    </row>
    <row r="35" spans="2:5" ht="15.75">
      <c r="B35" s="35" t="s">
        <v>277</v>
      </c>
      <c r="C35" s="29"/>
      <c r="D35" s="29"/>
      <c r="E35" s="34"/>
    </row>
    <row r="36" spans="2:5" ht="15.75">
      <c r="B36" s="35" t="s">
        <v>274</v>
      </c>
      <c r="C36" s="411">
        <f>IF(AND($C$35&gt;0,$C$8&gt;0),"Not Authorized","")</f>
      </c>
      <c r="D36" s="411">
        <f>IF(AND($D$35&gt;0,$D$8&gt;0),"Not Authorized","")</f>
      </c>
      <c r="E36" s="44">
        <f>IF(AND(cert!F20&gt;0,$E$35&gt;0),"Not Authorized","")</f>
      </c>
    </row>
    <row r="37" spans="2:5" ht="15.75">
      <c r="B37" s="27" t="s">
        <v>278</v>
      </c>
      <c r="C37" s="29"/>
      <c r="D37" s="29"/>
      <c r="E37" s="34"/>
    </row>
    <row r="38" spans="2:6" ht="15.75">
      <c r="B38" s="27" t="s">
        <v>643</v>
      </c>
      <c r="C38" s="412">
        <f>IF(C23*0.25&lt;C37,"Exceeds 25%","")</f>
      </c>
      <c r="D38" s="412">
        <f>IF(D23*0.25&lt;D37,"Exceeds 25%","")</f>
      </c>
      <c r="E38" s="45">
        <f>IF(E23*0.25+E49&lt;E37,"Exceeds 25%","")</f>
      </c>
      <c r="F38" s="16">
        <f>IF(G24*0.25&lt;G38,"Exceeds 25%","")</f>
      </c>
    </row>
    <row r="39" spans="2:5" ht="15.75">
      <c r="B39" s="35" t="s">
        <v>223</v>
      </c>
      <c r="C39" s="29"/>
      <c r="D39" s="29"/>
      <c r="E39" s="46">
        <f>nhood!E6</f>
      </c>
    </row>
    <row r="40" spans="2:5" ht="15.75">
      <c r="B40" s="35" t="s">
        <v>221</v>
      </c>
      <c r="C40" s="29"/>
      <c r="D40" s="29"/>
      <c r="E40" s="34"/>
    </row>
    <row r="41" spans="2:10" ht="15.75">
      <c r="B41" s="35" t="s">
        <v>642</v>
      </c>
      <c r="C41" s="412">
        <f>IF(C42*0.1&lt;C40,"Exceed 10% Rule","")</f>
      </c>
      <c r="D41" s="412">
        <f>IF(D42*0.1&lt;D40,"Exceed 10% Rule","")</f>
      </c>
      <c r="E41" s="45">
        <f>IF(E42*0.1&lt;E40,"Exceed 10% Rule","")</f>
      </c>
      <c r="G41" s="645" t="str">
        <f>CONCATENATE("Projected Carryover Into ",E1+1,"")</f>
        <v>Projected Carryover Into 2013</v>
      </c>
      <c r="H41" s="646"/>
      <c r="I41" s="646"/>
      <c r="J41" s="627"/>
    </row>
    <row r="42" spans="2:10" ht="15.75">
      <c r="B42" s="43" t="s">
        <v>26</v>
      </c>
      <c r="C42" s="409">
        <f>SUM(C25:C40)</f>
        <v>924</v>
      </c>
      <c r="D42" s="409">
        <f>SUM(D25:D40)</f>
        <v>1793</v>
      </c>
      <c r="E42" s="47">
        <f>SUM(E25:E35,E37,E39:E40)</f>
        <v>1035</v>
      </c>
      <c r="G42" s="531"/>
      <c r="H42" s="532"/>
      <c r="I42" s="532"/>
      <c r="J42" s="533"/>
    </row>
    <row r="43" spans="2:10" ht="15.75">
      <c r="B43" s="27" t="s">
        <v>120</v>
      </c>
      <c r="C43" s="410">
        <f>C23-C42</f>
        <v>1447</v>
      </c>
      <c r="D43" s="410">
        <f>SUM(D23-D42)</f>
        <v>550</v>
      </c>
      <c r="E43" s="33" t="s">
        <v>299</v>
      </c>
      <c r="G43" s="534">
        <f>D43</f>
        <v>550</v>
      </c>
      <c r="H43" s="535" t="str">
        <f>CONCATENATE("",E1-1," Ending Cash Balance (est.)")</f>
        <v>2011 Ending Cash Balance (est.)</v>
      </c>
      <c r="I43" s="536"/>
      <c r="J43" s="533"/>
    </row>
    <row r="44" spans="2:10" ht="15.75">
      <c r="B44" s="48" t="str">
        <f>CONCATENATE("",E1-2,"/",E1-1," Budget Authority Amount:")</f>
        <v>2010/2011 Budget Authority Amount:</v>
      </c>
      <c r="C44" s="142">
        <f>inputOth!B46</f>
        <v>1474</v>
      </c>
      <c r="D44" s="170">
        <f>inputPrYr!D16</f>
        <v>1793</v>
      </c>
      <c r="E44" s="33" t="s">
        <v>299</v>
      </c>
      <c r="F44" s="50"/>
      <c r="G44" s="534">
        <f>E22</f>
        <v>485</v>
      </c>
      <c r="H44" s="537" t="str">
        <f>CONCATENATE("",E1," Non-AV Receipts (est.)")</f>
        <v>2012 Non-AV Receipts (est.)</v>
      </c>
      <c r="I44" s="537"/>
      <c r="J44" s="533"/>
    </row>
    <row r="45" spans="2:10" ht="15.75">
      <c r="B45" s="48"/>
      <c r="C45" s="641" t="s">
        <v>644</v>
      </c>
      <c r="D45" s="642"/>
      <c r="E45" s="34"/>
      <c r="F45" s="530">
        <f>IF(E42/0.95-E42&lt;E45,"Exceeds 5%","")</f>
      </c>
      <c r="G45" s="538">
        <f>E49</f>
        <v>0</v>
      </c>
      <c r="H45" s="537" t="str">
        <f>CONCATENATE("",E1," Ad Valorem Tax (est.)")</f>
        <v>2012 Ad Valorem Tax (est.)</v>
      </c>
      <c r="I45" s="537"/>
      <c r="J45" s="533"/>
    </row>
    <row r="46" spans="2:10" ht="15.75">
      <c r="B46" s="433" t="str">
        <f>CONCATENATE(C64,"     ",D64)</f>
        <v>     </v>
      </c>
      <c r="C46" s="643" t="s">
        <v>645</v>
      </c>
      <c r="D46" s="644"/>
      <c r="E46" s="32">
        <f>E42+E45</f>
        <v>1035</v>
      </c>
      <c r="G46" s="534">
        <f>SUM(G43:G45)</f>
        <v>1035</v>
      </c>
      <c r="H46" s="537" t="str">
        <f>CONCATENATE("Total ",E1," Resources Available")</f>
        <v>Total 2012 Resources Available</v>
      </c>
      <c r="I46" s="536"/>
      <c r="J46" s="533"/>
    </row>
    <row r="47" spans="2:10" ht="15.75">
      <c r="B47" s="433" t="str">
        <f>CONCATENATE(C65,"     ",D65)</f>
        <v>     </v>
      </c>
      <c r="C47" s="59"/>
      <c r="D47" s="52" t="s">
        <v>28</v>
      </c>
      <c r="E47" s="46">
        <f>IF(E46-E23&gt;0,E46-E23,0)</f>
        <v>0</v>
      </c>
      <c r="G47" s="539"/>
      <c r="H47" s="537"/>
      <c r="I47" s="537"/>
      <c r="J47" s="533"/>
    </row>
    <row r="48" spans="2:10" ht="15.75">
      <c r="B48" s="52"/>
      <c r="C48" s="437" t="s">
        <v>646</v>
      </c>
      <c r="D48" s="429">
        <f>inputOth!$E$40</f>
        <v>0</v>
      </c>
      <c r="E48" s="32">
        <f>ROUND(IF(D48&gt;0,(E47*D48),0),0)</f>
        <v>0</v>
      </c>
      <c r="G48" s="538">
        <f>C42*0.05+C42</f>
        <v>970.2</v>
      </c>
      <c r="H48" s="537" t="str">
        <f>CONCATENATE("Less ",E1-2," Expenditures + 5%")</f>
        <v>Less 2010 Expenditures + 5%</v>
      </c>
      <c r="I48" s="536"/>
      <c r="J48" s="533"/>
    </row>
    <row r="49" spans="2:10" ht="15.75">
      <c r="B49" s="14"/>
      <c r="C49" s="639" t="str">
        <f>CONCATENATE("Amount of  ",$E$1-1," Ad Valorem Tax")</f>
        <v>Amount of  2011 Ad Valorem Tax</v>
      </c>
      <c r="D49" s="640"/>
      <c r="E49" s="46">
        <f>E47+E48</f>
        <v>0</v>
      </c>
      <c r="G49" s="540">
        <f>G46-G48</f>
        <v>64.79999999999995</v>
      </c>
      <c r="H49" s="541" t="str">
        <f>CONCATENATE("Projected ",E1+1," Carryover (est.)")</f>
        <v>Projected 2013 Carryover (est.)</v>
      </c>
      <c r="I49" s="542"/>
      <c r="J49" s="543"/>
    </row>
    <row r="50" spans="2:5" ht="15.75">
      <c r="B50" s="14"/>
      <c r="C50" s="14"/>
      <c r="D50" s="14"/>
      <c r="E50" s="14"/>
    </row>
    <row r="51" spans="2:10" s="54" customFormat="1" ht="15.75">
      <c r="B51" s="19"/>
      <c r="C51" s="19"/>
      <c r="D51" s="53"/>
      <c r="E51" s="19"/>
      <c r="G51" s="557">
        <f>IF(inputOth!E7=0,"",ROUND(gen!E49/inputOth!E7*1000,3))</f>
        <v>0</v>
      </c>
      <c r="H51" s="544" t="str">
        <f>CONCATENATE("Projected ",E1-1," Mill Rate (est.)")</f>
        <v>Projected 2011 Mill Rate (est.)</v>
      </c>
      <c r="I51" s="545"/>
      <c r="J51" s="546"/>
    </row>
    <row r="52" spans="2:10" s="56" customFormat="1" ht="15.75">
      <c r="B52" s="14"/>
      <c r="C52" s="14"/>
      <c r="D52" s="55"/>
      <c r="E52" s="14"/>
      <c r="G52" s="547"/>
      <c r="H52" s="547"/>
      <c r="I52" s="547"/>
      <c r="J52" s="547"/>
    </row>
    <row r="53" spans="2:10" ht="15.75">
      <c r="B53" s="52" t="s">
        <v>9</v>
      </c>
      <c r="C53" s="439">
        <v>6</v>
      </c>
      <c r="D53" s="14"/>
      <c r="E53" s="55"/>
      <c r="G53" s="645" t="str">
        <f>CONCATENATE("Desired Carryover Into ",E1+1,"")</f>
        <v>Desired Carryover Into 2013</v>
      </c>
      <c r="H53" s="647"/>
      <c r="I53" s="647"/>
      <c r="J53" s="627"/>
    </row>
    <row r="54" spans="7:10" ht="15.75">
      <c r="G54" s="548"/>
      <c r="H54" s="532"/>
      <c r="I54" s="537"/>
      <c r="J54" s="549"/>
    </row>
    <row r="55" spans="2:10" ht="15.75">
      <c r="B55" s="12"/>
      <c r="G55" s="550" t="s">
        <v>742</v>
      </c>
      <c r="H55" s="537"/>
      <c r="I55" s="537"/>
      <c r="J55" s="551">
        <v>0</v>
      </c>
    </row>
    <row r="56" spans="7:10" ht="15.75">
      <c r="G56" s="548" t="s">
        <v>743</v>
      </c>
      <c r="H56" s="532"/>
      <c r="I56" s="532"/>
      <c r="J56" s="552">
        <f>IF(gen!J55=0,"",ROUND((J55+E49-G49)/inputOth!E7*1000,3)-G51)</f>
      </c>
    </row>
    <row r="57" spans="7:10" ht="15.75">
      <c r="G57" s="553" t="str">
        <f>CONCATENATE("",E1," Total Expenditures Must Be:")</f>
        <v>2012 Total Expenditures Must Be:</v>
      </c>
      <c r="H57" s="554"/>
      <c r="I57" s="555"/>
      <c r="J57" s="556">
        <f>IF((J55&gt;0),(E42+J55-G49),0)</f>
        <v>0</v>
      </c>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5">
    <mergeCell ref="C49:D49"/>
    <mergeCell ref="C45:D45"/>
    <mergeCell ref="C46:D46"/>
    <mergeCell ref="G41:J41"/>
    <mergeCell ref="G53:J53"/>
  </mergeCells>
  <conditionalFormatting sqref="E45">
    <cfRule type="cellIs" priority="12" dxfId="124" operator="greaterThan" stopIfTrue="1">
      <formula>$E$42/0.95-$E$42</formula>
    </cfRule>
  </conditionalFormatting>
  <conditionalFormatting sqref="C40">
    <cfRule type="cellIs" priority="13" dxfId="124" operator="greaterThan" stopIfTrue="1">
      <formula>$C$42*0.1</formula>
    </cfRule>
  </conditionalFormatting>
  <conditionalFormatting sqref="D40">
    <cfRule type="cellIs" priority="14" dxfId="124" operator="greaterThan" stopIfTrue="1">
      <formula>$D$42*0.1</formula>
    </cfRule>
  </conditionalFormatting>
  <conditionalFormatting sqref="E40">
    <cfRule type="cellIs" priority="15" dxfId="124"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$C$44</formula>
    </cfRule>
  </conditionalFormatting>
  <conditionalFormatting sqref="C37">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4">
    <cfRule type="expression" priority="23" dxfId="2" stopIfTrue="1">
      <formula>"Mike"</formula>
    </cfRule>
  </conditionalFormatting>
  <conditionalFormatting sqref="D37">
    <cfRule type="cellIs" priority="24" dxfId="124" operator="greaterThan" stopIfTrue="1">
      <formula>$D$23*0.25</formula>
    </cfRule>
  </conditionalFormatting>
  <conditionalFormatting sqref="E37">
    <cfRule type="cellIs" priority="25" dxfId="124" operator="greaterThan" stopIfTrue="1">
      <formula>$E$23*0.25+$E$49</formula>
    </cfRule>
  </conditionalFormatting>
  <conditionalFormatting sqref="C35">
    <cfRule type="expression" priority="26" dxfId="124"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20">
    <cfRule type="cellIs" priority="31" dxfId="124" operator="greaterThan" stopIfTrue="1">
      <formula>$E$22*0.1+$E$49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Solomon Rapids Township</v>
      </c>
      <c r="C1" s="14"/>
      <c r="D1" s="14"/>
      <c r="E1" s="60">
        <f>inputPrYr!$D$5</f>
        <v>2012</v>
      </c>
    </row>
    <row r="2" spans="2:5" ht="15.75">
      <c r="B2" s="14"/>
      <c r="C2" s="14"/>
      <c r="D2" s="14"/>
      <c r="E2" s="52"/>
    </row>
    <row r="3" spans="2:5" ht="15.75">
      <c r="B3" s="17"/>
      <c r="C3" s="61"/>
      <c r="D3" s="61"/>
      <c r="E3" s="62"/>
    </row>
    <row r="4" spans="2:5" ht="15.75">
      <c r="B4" s="592" t="s">
        <v>747</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1" t="s">
        <v>644</v>
      </c>
      <c r="D56" s="642"/>
      <c r="E56" s="34"/>
      <c r="F56" s="530">
        <f>IF(E53/0.95-E53&lt;E56,"Exceeds 5%","")</f>
      </c>
      <c r="G56" s="561">
        <f>E60</f>
        <v>0</v>
      </c>
      <c r="H56" s="560" t="str">
        <f>CONCATENATE("",E1," Ad Valorem Tax (est.)")</f>
        <v>2012 Ad Valorem Tax (est.)</v>
      </c>
      <c r="I56" s="533"/>
    </row>
    <row r="57" spans="2:9" ht="15.75">
      <c r="B57" s="433" t="str">
        <f>CONCATENATE(C72,"     ",D72)</f>
        <v>     </v>
      </c>
      <c r="C57" s="643" t="s">
        <v>645</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93" zoomScaleNormal="93" zoomScalePageLayoutView="0" workbookViewId="0" topLeftCell="A16">
      <selection activeCell="E16" sqref="E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Solomon Rapids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2946</v>
      </c>
      <c r="D6" s="415">
        <f>C40</f>
        <v>10693</v>
      </c>
      <c r="E6" s="32">
        <f>D40</f>
        <v>7746</v>
      </c>
    </row>
    <row r="7" spans="2:5" ht="15.75">
      <c r="B7" s="27" t="s">
        <v>121</v>
      </c>
      <c r="C7" s="415"/>
      <c r="D7" s="415"/>
      <c r="E7" s="33"/>
    </row>
    <row r="8" spans="2:5" ht="15.75">
      <c r="B8" s="27" t="s">
        <v>16</v>
      </c>
      <c r="C8" s="29">
        <f>326+32757</f>
        <v>33083</v>
      </c>
      <c r="D8" s="415">
        <f>inputPrYr!E18</f>
        <v>33467</v>
      </c>
      <c r="E8" s="33" t="s">
        <v>299</v>
      </c>
    </row>
    <row r="9" spans="2:5" ht="15.75">
      <c r="B9" s="27" t="s">
        <v>17</v>
      </c>
      <c r="C9" s="29">
        <f>131+7</f>
        <v>138</v>
      </c>
      <c r="D9" s="29"/>
      <c r="E9" s="34"/>
    </row>
    <row r="10" spans="2:5" ht="15.75">
      <c r="B10" s="27" t="s">
        <v>18</v>
      </c>
      <c r="C10" s="29">
        <v>924</v>
      </c>
      <c r="D10" s="29">
        <v>1831</v>
      </c>
      <c r="E10" s="32">
        <f>mvalloc!G13</f>
        <v>1859</v>
      </c>
    </row>
    <row r="11" spans="2:5" ht="15.75">
      <c r="B11" s="27" t="s">
        <v>19</v>
      </c>
      <c r="C11" s="29">
        <v>14</v>
      </c>
      <c r="D11" s="29">
        <v>29</v>
      </c>
      <c r="E11" s="32">
        <f>mvalloc!I13</f>
        <v>25</v>
      </c>
    </row>
    <row r="12" spans="2:5" ht="15.75">
      <c r="B12" s="27" t="s">
        <v>100</v>
      </c>
      <c r="C12" s="29">
        <v>294</v>
      </c>
      <c r="D12" s="29">
        <v>297</v>
      </c>
      <c r="E12" s="32">
        <f>mvalloc!J13</f>
        <v>351</v>
      </c>
    </row>
    <row r="13" spans="2:5" ht="15.75">
      <c r="B13" s="27" t="s">
        <v>164</v>
      </c>
      <c r="C13" s="29"/>
      <c r="D13" s="29"/>
      <c r="E13" s="32">
        <f>mvalloc!K13</f>
        <v>0</v>
      </c>
    </row>
    <row r="14" spans="2:5" ht="15.75">
      <c r="B14" s="27" t="s">
        <v>101</v>
      </c>
      <c r="C14" s="29">
        <v>2529</v>
      </c>
      <c r="D14" s="29">
        <v>2519</v>
      </c>
      <c r="E14" s="32">
        <f>inputOth!E36</f>
        <v>2444</v>
      </c>
    </row>
    <row r="15" spans="2:5" ht="15.75">
      <c r="B15" s="38" t="s">
        <v>812</v>
      </c>
      <c r="C15" s="29">
        <v>6</v>
      </c>
      <c r="D15" s="29"/>
      <c r="E15" s="34"/>
    </row>
    <row r="16" spans="2:5" ht="15.75">
      <c r="B16" s="38" t="s">
        <v>813</v>
      </c>
      <c r="C16" s="29">
        <f>25+541</f>
        <v>566</v>
      </c>
      <c r="D16" s="29"/>
      <c r="E16" s="34"/>
    </row>
    <row r="17" spans="2:5" ht="15.75">
      <c r="B17" s="38"/>
      <c r="C17" s="29"/>
      <c r="D17" s="29"/>
      <c r="E17" s="34"/>
    </row>
    <row r="18" spans="2:5" ht="15.75">
      <c r="B18" s="38" t="s">
        <v>22</v>
      </c>
      <c r="C18" s="29"/>
      <c r="D18" s="29"/>
      <c r="E18" s="34"/>
    </row>
    <row r="19" spans="2:5" ht="15.75">
      <c r="B19" s="39" t="s">
        <v>221</v>
      </c>
      <c r="C19" s="29"/>
      <c r="D19" s="29"/>
      <c r="E19" s="34"/>
    </row>
    <row r="20" spans="2:5" ht="15.75">
      <c r="B20" s="39" t="s">
        <v>222</v>
      </c>
      <c r="C20" s="412">
        <f>IF(C21*0.1&lt;C19,"Exceed 10% Rule","")</f>
      </c>
      <c r="D20" s="412">
        <f>IF(D21*0.1&lt;D19,"Exceed 10% Rule","")</f>
      </c>
      <c r="E20" s="45">
        <f>IF(E21*0.1+E46&lt;E19,"Exceed 10% Rule","")</f>
      </c>
    </row>
    <row r="21" spans="2:5" ht="15.75">
      <c r="B21" s="41" t="s">
        <v>23</v>
      </c>
      <c r="C21" s="417">
        <f>SUM(C8:C19)</f>
        <v>37554</v>
      </c>
      <c r="D21" s="417">
        <f>SUM(D8:D19)</f>
        <v>38143</v>
      </c>
      <c r="E21" s="42">
        <f>SUM(E8:E19)</f>
        <v>4679</v>
      </c>
    </row>
    <row r="22" spans="2:5" ht="15.75">
      <c r="B22" s="43" t="s">
        <v>24</v>
      </c>
      <c r="C22" s="417">
        <f>C21+C6</f>
        <v>40500</v>
      </c>
      <c r="D22" s="417">
        <f>D21+D6</f>
        <v>48836</v>
      </c>
      <c r="E22" s="42">
        <f>E21+E6</f>
        <v>12425</v>
      </c>
    </row>
    <row r="23" spans="2:5" ht="15.75">
      <c r="B23" s="27" t="s">
        <v>25</v>
      </c>
      <c r="C23" s="415"/>
      <c r="D23" s="415"/>
      <c r="E23" s="32"/>
    </row>
    <row r="24" spans="2:5" ht="15.75">
      <c r="B24" s="38" t="s">
        <v>126</v>
      </c>
      <c r="C24" s="29">
        <v>6775</v>
      </c>
      <c r="D24" s="29">
        <v>6500</v>
      </c>
      <c r="E24" s="34">
        <v>6800</v>
      </c>
    </row>
    <row r="25" spans="2:5" ht="15.75">
      <c r="B25" s="37" t="s">
        <v>103</v>
      </c>
      <c r="C25" s="29"/>
      <c r="D25" s="29">
        <v>1000</v>
      </c>
      <c r="E25" s="34">
        <v>1000</v>
      </c>
    </row>
    <row r="26" spans="2:5" ht="15.75">
      <c r="B26" s="38" t="s">
        <v>128</v>
      </c>
      <c r="C26" s="29">
        <v>2659</v>
      </c>
      <c r="D26" s="29">
        <v>8000</v>
      </c>
      <c r="E26" s="34">
        <v>8000</v>
      </c>
    </row>
    <row r="27" spans="2:5" ht="15.75">
      <c r="B27" s="38" t="s">
        <v>106</v>
      </c>
      <c r="C27" s="29">
        <v>8227</v>
      </c>
      <c r="D27" s="29">
        <v>9640</v>
      </c>
      <c r="E27" s="34">
        <f>34425-21375</f>
        <v>13050</v>
      </c>
    </row>
    <row r="28" spans="2:5" ht="15.75">
      <c r="B28" s="38" t="s">
        <v>814</v>
      </c>
      <c r="C28" s="29">
        <f>2121+1540-1</f>
        <v>3660</v>
      </c>
      <c r="D28" s="29">
        <v>2000</v>
      </c>
      <c r="E28" s="34">
        <v>4000</v>
      </c>
    </row>
    <row r="29" spans="2:5" ht="15.75">
      <c r="B29" s="38" t="s">
        <v>129</v>
      </c>
      <c r="C29" s="29">
        <v>369</v>
      </c>
      <c r="D29" s="29">
        <v>450</v>
      </c>
      <c r="E29" s="34">
        <v>500</v>
      </c>
    </row>
    <row r="30" spans="2:5" ht="15.75">
      <c r="B30" s="38" t="s">
        <v>815</v>
      </c>
      <c r="C30" s="29">
        <v>3117</v>
      </c>
      <c r="D30" s="29">
        <v>7000</v>
      </c>
      <c r="E30" s="34">
        <v>7000</v>
      </c>
    </row>
    <row r="31" spans="2:5" ht="15.75">
      <c r="B31" s="38" t="s">
        <v>818</v>
      </c>
      <c r="C31" s="29"/>
      <c r="D31" s="29">
        <v>1000</v>
      </c>
      <c r="E31" s="34">
        <v>1000</v>
      </c>
    </row>
    <row r="32" spans="2:5" ht="15.75">
      <c r="B32" s="38" t="s">
        <v>816</v>
      </c>
      <c r="C32" s="29"/>
      <c r="D32" s="29">
        <v>5000</v>
      </c>
      <c r="E32" s="34">
        <v>5000</v>
      </c>
    </row>
    <row r="33" spans="2:5" ht="15.75">
      <c r="B33" s="38" t="s">
        <v>817</v>
      </c>
      <c r="C33" s="29"/>
      <c r="D33" s="29">
        <v>500</v>
      </c>
      <c r="E33" s="34">
        <v>500</v>
      </c>
    </row>
    <row r="34" spans="2:5" ht="15.75">
      <c r="B34" s="27" t="s">
        <v>105</v>
      </c>
      <c r="C34" s="29">
        <v>5000</v>
      </c>
      <c r="D34" s="29"/>
      <c r="E34" s="34"/>
    </row>
    <row r="35" spans="2:10" ht="15.75">
      <c r="B35" s="27" t="s">
        <v>647</v>
      </c>
      <c r="C35" s="423">
        <f>IF(C22*0.25&lt;C34,"Not Authorized","")</f>
      </c>
      <c r="D35" s="423">
        <f>IF(D22*0.25&lt;D34,"Not Authorized","")</f>
      </c>
      <c r="E35" s="77">
        <f>IF(E22*0.25+E46&lt;E34,"Not Authorized","")</f>
      </c>
      <c r="G35" s="645" t="str">
        <f>CONCATENATE("Projected Carryover Into ",E1+1,"")</f>
        <v>Projected Carryover Into 2013</v>
      </c>
      <c r="H35" s="646"/>
      <c r="I35" s="646"/>
      <c r="J35" s="627"/>
    </row>
    <row r="36" spans="2:10" ht="15.75">
      <c r="B36" s="35" t="s">
        <v>223</v>
      </c>
      <c r="C36" s="29"/>
      <c r="D36" s="29"/>
      <c r="E36" s="46">
        <f>nhood!E8</f>
      </c>
      <c r="G36" s="531"/>
      <c r="H36" s="532"/>
      <c r="I36" s="532"/>
      <c r="J36" s="533"/>
    </row>
    <row r="37" spans="2:10" ht="15.75">
      <c r="B37" s="35" t="s">
        <v>221</v>
      </c>
      <c r="C37" s="29"/>
      <c r="D37" s="29"/>
      <c r="E37" s="34"/>
      <c r="G37" s="534">
        <f>D40</f>
        <v>7746</v>
      </c>
      <c r="H37" s="535" t="str">
        <f>CONCATENATE("",E1-1," Ending Cash Balance (est.)")</f>
        <v>2011 Ending Cash Balance (est.)</v>
      </c>
      <c r="I37" s="536"/>
      <c r="J37" s="533"/>
    </row>
    <row r="38" spans="2:10" ht="15.75">
      <c r="B38" s="35" t="s">
        <v>642</v>
      </c>
      <c r="C38" s="412">
        <f>IF(C39*0.1&lt;C37,"Exceed 10% Rule","")</f>
      </c>
      <c r="D38" s="412">
        <f>IF(D39*0.1&lt;D37,"Exceed 10% Rule","")</f>
      </c>
      <c r="E38" s="45">
        <f>IF(E39*0.1&lt;E37,"Exceed 10% Rule","")</f>
      </c>
      <c r="G38" s="534">
        <f>E21</f>
        <v>4679</v>
      </c>
      <c r="H38" s="537" t="str">
        <f>CONCATENATE("",E1," Non-AV Receipts (est.)")</f>
        <v>2012 Non-AV Receipts (est.)</v>
      </c>
      <c r="I38" s="537"/>
      <c r="J38" s="533"/>
    </row>
    <row r="39" spans="2:10" ht="15.75">
      <c r="B39" s="43" t="s">
        <v>26</v>
      </c>
      <c r="C39" s="417">
        <f>SUM(C24:C34,C36:C37)</f>
        <v>29807</v>
      </c>
      <c r="D39" s="417">
        <f>SUM(D24:D34,D36:D37)</f>
        <v>41090</v>
      </c>
      <c r="E39" s="42">
        <f>SUM(E24:E34,E36:E37)</f>
        <v>46850</v>
      </c>
      <c r="G39" s="538">
        <f>E46</f>
        <v>34425</v>
      </c>
      <c r="H39" s="537" t="str">
        <f>CONCATENATE("",E1," Ad Valorem Tax (est.)")</f>
        <v>2012 Ad Valorem Tax (est.)</v>
      </c>
      <c r="I39" s="537"/>
      <c r="J39" s="533"/>
    </row>
    <row r="40" spans="2:10" ht="15.75">
      <c r="B40" s="27" t="s">
        <v>120</v>
      </c>
      <c r="C40" s="410">
        <f>C22-C39</f>
        <v>10693</v>
      </c>
      <c r="D40" s="410">
        <f>D22-D39</f>
        <v>7746</v>
      </c>
      <c r="E40" s="33" t="s">
        <v>299</v>
      </c>
      <c r="G40" s="534">
        <f>SUM(G37:G39)</f>
        <v>46850</v>
      </c>
      <c r="H40" s="537" t="str">
        <f>CONCATENATE("Total ",E1," Resources Available")</f>
        <v>Total 2012 Resources Available</v>
      </c>
      <c r="I40" s="536"/>
      <c r="J40" s="533"/>
    </row>
    <row r="41" spans="2:10" ht="15.75">
      <c r="B41" s="48" t="str">
        <f>CONCATENATE("",E1-2,"/",E1-1," Budget Authority Amount:")</f>
        <v>2010/2011 Budget Authority Amount:</v>
      </c>
      <c r="C41" s="142">
        <f>inputOth!B48</f>
        <v>37072</v>
      </c>
      <c r="D41" s="170">
        <f>inputPrYr!D18</f>
        <v>41090</v>
      </c>
      <c r="E41" s="33" t="s">
        <v>299</v>
      </c>
      <c r="F41" s="50"/>
      <c r="G41" s="539"/>
      <c r="H41" s="537"/>
      <c r="I41" s="537"/>
      <c r="J41" s="533"/>
    </row>
    <row r="42" spans="2:10" ht="15.75">
      <c r="B42" s="48"/>
      <c r="C42" s="641" t="s">
        <v>644</v>
      </c>
      <c r="D42" s="642"/>
      <c r="E42" s="34"/>
      <c r="F42" s="530">
        <f>IF(E39/0.95-E39&lt;E42,"Exceeds 5%","")</f>
      </c>
      <c r="G42" s="538">
        <f>C39*0.05+C39</f>
        <v>31297.35</v>
      </c>
      <c r="H42" s="537" t="str">
        <f>CONCATENATE("Less ",E1-2," Expenditures + 5%")</f>
        <v>Less 2010 Expenditures + 5%</v>
      </c>
      <c r="I42" s="536"/>
      <c r="J42" s="533"/>
    </row>
    <row r="43" spans="2:10" ht="15.75">
      <c r="B43" s="433" t="str">
        <f>CONCATENATE(C70,"     ",D70)</f>
        <v>     </v>
      </c>
      <c r="C43" s="643" t="s">
        <v>645</v>
      </c>
      <c r="D43" s="644"/>
      <c r="E43" s="32">
        <f>E39+E42</f>
        <v>46850</v>
      </c>
      <c r="G43" s="540">
        <f>G40-G42</f>
        <v>15552.650000000001</v>
      </c>
      <c r="H43" s="541" t="str">
        <f>CONCATENATE("Projected ",E1+1," Carryover (est.)")</f>
        <v>Projected 2013 Carryover (est.)</v>
      </c>
      <c r="I43" s="542"/>
      <c r="J43" s="543"/>
    </row>
    <row r="44" spans="2:5" ht="15.75">
      <c r="B44" s="433" t="str">
        <f>CONCATENATE(C71,"     ",D71)</f>
        <v>     </v>
      </c>
      <c r="C44" s="59"/>
      <c r="D44" s="52" t="s">
        <v>28</v>
      </c>
      <c r="E44" s="46">
        <f>IF(E43-E22&gt;0,E43-E22,0)</f>
        <v>34425</v>
      </c>
    </row>
    <row r="45" spans="2:10" ht="15.75">
      <c r="B45" s="52"/>
      <c r="C45" s="437" t="s">
        <v>646</v>
      </c>
      <c r="D45" s="429">
        <f>inputOth!$E$40</f>
        <v>0</v>
      </c>
      <c r="E45" s="32">
        <f>ROUND(IF(D45&gt;0,(E44*D45),0),0)</f>
        <v>0</v>
      </c>
      <c r="G45" s="557">
        <f>IF(inputOth!E7=0,"",ROUND(E46/inputOth!E7*1000,3))</f>
        <v>19.944</v>
      </c>
      <c r="H45" s="544" t="str">
        <f>CONCATENATE("Projected ",E1-1," Mill Rate (est.)")</f>
        <v>Projected 2011 Mill Rate (est.)</v>
      </c>
      <c r="I45" s="545"/>
      <c r="J45" s="546"/>
    </row>
    <row r="46" spans="2:10" ht="15.75">
      <c r="B46" s="14"/>
      <c r="C46" s="639" t="str">
        <f>CONCATENATE("Amount of  ",$E$1-1," Ad Valorem Tax")</f>
        <v>Amount of  2011 Ad Valorem Tax</v>
      </c>
      <c r="D46" s="640"/>
      <c r="E46" s="46">
        <f>E44+E45</f>
        <v>34425</v>
      </c>
      <c r="G46" s="547"/>
      <c r="H46" s="547"/>
      <c r="I46" s="547"/>
      <c r="J46" s="547"/>
    </row>
    <row r="47" spans="2:10" ht="15.75">
      <c r="B47" s="14"/>
      <c r="C47" s="14"/>
      <c r="D47" s="14"/>
      <c r="E47" s="14"/>
      <c r="G47" s="645" t="str">
        <f>CONCATENATE("Desired Carryover Into ",E1+1,"")</f>
        <v>Desired Carryover Into 2013</v>
      </c>
      <c r="H47" s="647"/>
      <c r="I47" s="647"/>
      <c r="J47" s="627"/>
    </row>
    <row r="48" spans="2:10" ht="15.75">
      <c r="B48" s="14"/>
      <c r="C48" s="14"/>
      <c r="D48" s="14"/>
      <c r="E48" s="14"/>
      <c r="G48" s="548"/>
      <c r="H48" s="532"/>
      <c r="I48" s="537"/>
      <c r="J48" s="549"/>
    </row>
    <row r="49" spans="2:10" ht="15.75">
      <c r="B49" s="78" t="s">
        <v>30</v>
      </c>
      <c r="C49" s="80"/>
      <c r="D49" s="14"/>
      <c r="E49" s="14"/>
      <c r="G49" s="550" t="s">
        <v>742</v>
      </c>
      <c r="H49" s="537"/>
      <c r="I49" s="537"/>
      <c r="J49" s="551">
        <v>0</v>
      </c>
    </row>
    <row r="50" spans="2:10" ht="15.75">
      <c r="B50" s="81" t="s">
        <v>31</v>
      </c>
      <c r="C50" s="438" t="str">
        <f>CONCATENATE("",E1-2," Actual Year")</f>
        <v>2010 Actual Year</v>
      </c>
      <c r="D50" s="14"/>
      <c r="E50" s="14"/>
      <c r="G50" s="548" t="s">
        <v>743</v>
      </c>
      <c r="H50" s="532"/>
      <c r="I50" s="532"/>
      <c r="J50" s="552">
        <f>IF(J49=0,"",ROUND((J49+E46-G43)/inputOth!E7*1000,3)-G45)</f>
      </c>
    </row>
    <row r="51" spans="2:10" ht="15.75">
      <c r="B51" s="82" t="s">
        <v>14</v>
      </c>
      <c r="C51" s="589">
        <v>36385</v>
      </c>
      <c r="D51" s="14"/>
      <c r="E51" s="14"/>
      <c r="G51" s="553" t="str">
        <f>CONCATENATE("",E1," Total Expenditures Must Be:")</f>
        <v>2012 Total Expenditures Must Be:</v>
      </c>
      <c r="H51" s="554"/>
      <c r="I51" s="555"/>
      <c r="J51" s="556">
        <f>IF((J49&gt;0),(E39+J49-G43),0)</f>
        <v>0</v>
      </c>
    </row>
    <row r="52" spans="2:5" ht="15.75">
      <c r="B52" s="82" t="s">
        <v>33</v>
      </c>
      <c r="C52" s="142"/>
      <c r="D52" s="14"/>
      <c r="E52" s="14"/>
    </row>
    <row r="53" spans="2:5" ht="15.75">
      <c r="B53" s="82" t="s">
        <v>34</v>
      </c>
      <c r="C53" s="436">
        <f>C34</f>
        <v>5000</v>
      </c>
      <c r="D53" s="84"/>
      <c r="E53" s="14"/>
    </row>
    <row r="54" spans="2:5" ht="15.75">
      <c r="B54" s="82" t="s">
        <v>256</v>
      </c>
      <c r="C54" s="436">
        <f>gen!C35</f>
        <v>0</v>
      </c>
      <c r="D54" s="651">
        <f>IF(AND(C54&gt;0,C55&gt;0),"Not Auth. Two General Transfers - Only One","")</f>
      </c>
      <c r="E54" s="652"/>
    </row>
    <row r="55" spans="2:5" ht="15.75">
      <c r="B55" s="85" t="s">
        <v>257</v>
      </c>
      <c r="C55" s="436">
        <f>gen!C37</f>
        <v>0</v>
      </c>
      <c r="D55" s="653"/>
      <c r="E55" s="652"/>
    </row>
    <row r="56" spans="2:5" ht="15.75">
      <c r="B56" s="86"/>
      <c r="C56" s="589"/>
      <c r="D56" s="14"/>
      <c r="E56" s="14"/>
    </row>
    <row r="57" spans="2:5" ht="15.75">
      <c r="B57" s="86" t="s">
        <v>22</v>
      </c>
      <c r="C57" s="589"/>
      <c r="D57" s="14"/>
      <c r="E57" s="14"/>
    </row>
    <row r="58" spans="2:5" ht="15.75">
      <c r="B58" s="86" t="s">
        <v>21</v>
      </c>
      <c r="C58" s="589"/>
      <c r="D58" s="14"/>
      <c r="E58" s="14"/>
    </row>
    <row r="59" spans="2:5" ht="15.75">
      <c r="B59" s="87" t="s">
        <v>24</v>
      </c>
      <c r="C59" s="142">
        <f>SUM(C51:C58)</f>
        <v>41385</v>
      </c>
      <c r="D59" s="14"/>
      <c r="E59" s="14"/>
    </row>
    <row r="60" spans="2:5" ht="15.75">
      <c r="B60" s="87" t="s">
        <v>26</v>
      </c>
      <c r="C60" s="589"/>
      <c r="D60" s="14"/>
      <c r="E60" s="14"/>
    </row>
    <row r="61" spans="2:5" ht="15.75">
      <c r="B61" s="87" t="s">
        <v>27</v>
      </c>
      <c r="C61" s="435">
        <f>SUM(C59-C60)</f>
        <v>41385</v>
      </c>
      <c r="D61" s="14"/>
      <c r="E61" s="14"/>
    </row>
    <row r="62" spans="2:5" ht="15.75">
      <c r="B62" s="14"/>
      <c r="C62" s="14"/>
      <c r="D62" s="14"/>
      <c r="E62" s="14"/>
    </row>
    <row r="63" spans="2:5" ht="15.75">
      <c r="B63" s="52" t="s">
        <v>9</v>
      </c>
      <c r="C63" s="590">
        <v>7</v>
      </c>
      <c r="D63" s="14"/>
      <c r="E63" s="14"/>
    </row>
    <row r="65" ht="15.75">
      <c r="B65" s="12"/>
    </row>
    <row r="70" spans="3:4" ht="15.75" hidden="1">
      <c r="C70" s="16">
        <f>IF(C39&gt;C41,"See Tab A","")</f>
      </c>
      <c r="D70" s="16">
        <f>IF(D39&gt;D41,"See Tab C","")</f>
      </c>
    </row>
    <row r="71" spans="3:4" ht="15.75" hidden="1">
      <c r="C71" s="16">
        <f>IF(C40&lt;0,"See Tab B","")</f>
      </c>
      <c r="D71" s="16">
        <f>IF(D40&lt;0,"See Tab D","")</f>
      </c>
    </row>
  </sheetData>
  <sheetProtection/>
  <mergeCells count="6">
    <mergeCell ref="C46:D46"/>
    <mergeCell ref="C42:D42"/>
    <mergeCell ref="C43:D43"/>
    <mergeCell ref="D54:E55"/>
    <mergeCell ref="G35:J35"/>
    <mergeCell ref="G47:J47"/>
  </mergeCells>
  <conditionalFormatting sqref="E42">
    <cfRule type="cellIs" priority="3" dxfId="124" operator="greaterThan" stopIfTrue="1">
      <formula>$E$39/0.95-$E$39</formula>
    </cfRule>
  </conditionalFormatting>
  <conditionalFormatting sqref="C37">
    <cfRule type="cellIs" priority="4" dxfId="124" operator="greaterThan" stopIfTrue="1">
      <formula>$C$39*0.1</formula>
    </cfRule>
  </conditionalFormatting>
  <conditionalFormatting sqref="D37">
    <cfRule type="cellIs" priority="5" dxfId="124" operator="greaterThan" stopIfTrue="1">
      <formula>$D$39*0.1</formula>
    </cfRule>
  </conditionalFormatting>
  <conditionalFormatting sqref="E37">
    <cfRule type="cellIs" priority="6" dxfId="124" operator="greaterThan" stopIfTrue="1">
      <formula>$E$39*0.1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4">
    <cfRule type="cellIs" priority="9" dxfId="124" operator="greaterThan" stopIfTrue="1">
      <formula>$C$22*0.25</formula>
    </cfRule>
  </conditionalFormatting>
  <conditionalFormatting sqref="C40">
    <cfRule type="cellIs" priority="11" dxfId="124" operator="lessThan" stopIfTrue="1">
      <formula>0</formula>
    </cfRule>
  </conditionalFormatting>
  <conditionalFormatting sqref="C39">
    <cfRule type="cellIs" priority="1" dxfId="0" operator="greaterThan" stopIfTrue="1">
      <formula>$C$41</formula>
    </cfRule>
    <cfRule type="cellIs" priority="12" dxfId="2" operator="greaterThan" stopIfTrue="1">
      <formula>#REF!</formula>
    </cfRule>
  </conditionalFormatting>
  <conditionalFormatting sqref="D39">
    <cfRule type="cellIs" priority="13" dxfId="2" operator="greaterThan" stopIfTrue="1">
      <formula>$C$41</formula>
    </cfRule>
  </conditionalFormatting>
  <conditionalFormatting sqref="D34">
    <cfRule type="cellIs" priority="14" dxfId="2" operator="greaterThan" stopIfTrue="1">
      <formula>$D$22*0.25</formula>
    </cfRule>
  </conditionalFormatting>
  <conditionalFormatting sqref="E34">
    <cfRule type="cellIs" priority="15" dxfId="2" operator="greaterThan" stopIfTrue="1">
      <formula>$E$22*0.25+$E$46</formula>
    </cfRule>
  </conditionalFormatting>
  <conditionalFormatting sqref="D40">
    <cfRule type="cellIs" priority="2" dxfId="0" operator="lessThan" stopIfTrue="1">
      <formula>0</formula>
    </cfRule>
  </conditionalFormatting>
  <conditionalFormatting sqref="E19">
    <cfRule type="cellIs" priority="18" dxfId="124" operator="greaterThan" stopIfTrue="1">
      <formula>$E$21*0.1+$E$46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Solomon Rapids Township</v>
      </c>
      <c r="C1" s="22" t="s">
        <v>35</v>
      </c>
      <c r="D1" s="14"/>
      <c r="E1" s="15">
        <f>inputPrYr!D5</f>
        <v>2012</v>
      </c>
    </row>
    <row r="2" spans="2:5" ht="15.75">
      <c r="B2" s="17"/>
      <c r="C2" s="14"/>
      <c r="D2" s="14"/>
      <c r="E2" s="88"/>
    </row>
    <row r="3" spans="2:5" ht="15.75">
      <c r="B3" s="592" t="s">
        <v>747</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1" t="s">
        <v>644</v>
      </c>
      <c r="D72" s="642"/>
      <c r="E72" s="34"/>
      <c r="F72" s="50">
        <f>IF(E69/0.95-E69&lt;E72,"Exceeds 5%","")</f>
      </c>
    </row>
    <row r="73" spans="2:5" ht="15.75">
      <c r="B73" s="433" t="str">
        <f>CONCATENATE(C90,"     ",D90)</f>
        <v>     </v>
      </c>
      <c r="C73" s="643" t="s">
        <v>645</v>
      </c>
      <c r="D73" s="644"/>
      <c r="E73" s="32">
        <f>E69+E72</f>
        <v>0</v>
      </c>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Solomon Rapids Township</v>
      </c>
      <c r="C1" s="14"/>
      <c r="D1" s="14"/>
      <c r="E1" s="15">
        <f>inputPrYr!D5</f>
        <v>2012</v>
      </c>
    </row>
    <row r="2" spans="2:5" ht="15.75">
      <c r="B2" s="17"/>
      <c r="C2" s="14"/>
      <c r="D2" s="61"/>
      <c r="E2" s="92"/>
    </row>
    <row r="3" spans="2:5" ht="15.75">
      <c r="B3" s="592" t="s">
        <v>747</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1" t="s">
        <v>644</v>
      </c>
      <c r="D72" s="642"/>
      <c r="E72" s="591"/>
      <c r="F72" s="50">
        <f>IF(E69/0.95-E69&lt;E72,"Exceeds 5%","")</f>
      </c>
    </row>
    <row r="73" spans="2:6" ht="15.75">
      <c r="B73" s="433" t="str">
        <f>CONCATENATE(C90,"     ",D90)</f>
        <v>     </v>
      </c>
      <c r="C73" s="643" t="s">
        <v>645</v>
      </c>
      <c r="D73" s="644"/>
      <c r="E73" s="32">
        <f>E69+E72</f>
        <v>0</v>
      </c>
      <c r="F73" s="50"/>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Solomon Rapids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1" t="s">
        <v>644</v>
      </c>
      <c r="D72" s="642"/>
      <c r="E72" s="34"/>
      <c r="F72" s="50">
        <f>IF(E69/0.95-E69&lt;E72,"Exceeds 5%","")</f>
      </c>
    </row>
    <row r="73" spans="2:5" ht="15.75">
      <c r="B73" s="48"/>
      <c r="C73" s="643" t="s">
        <v>645</v>
      </c>
      <c r="D73" s="644"/>
      <c r="E73" s="32">
        <f>E69+E72</f>
        <v>0</v>
      </c>
    </row>
    <row r="74" spans="2:5" ht="15.75">
      <c r="B74" s="48"/>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Solomon Rapids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Solomon Rapids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811</v>
      </c>
      <c r="E2" s="19"/>
    </row>
    <row r="3" spans="1:5" ht="15.75">
      <c r="A3" s="78" t="s">
        <v>234</v>
      </c>
      <c r="B3" s="14"/>
      <c r="C3" s="14"/>
      <c r="D3" s="406" t="s">
        <v>808</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02" t="s">
        <v>160</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1793</v>
      </c>
      <c r="E16" s="197"/>
    </row>
    <row r="17" spans="1:5" ht="15.75">
      <c r="A17" s="14"/>
      <c r="B17" s="82" t="s">
        <v>309</v>
      </c>
      <c r="C17" s="170" t="s">
        <v>154</v>
      </c>
      <c r="D17" s="197"/>
      <c r="E17" s="197"/>
    </row>
    <row r="18" spans="1:5" ht="15.75">
      <c r="A18" s="14"/>
      <c r="B18" s="82" t="s">
        <v>284</v>
      </c>
      <c r="C18" s="189" t="s">
        <v>324</v>
      </c>
      <c r="D18" s="197">
        <v>41090</v>
      </c>
      <c r="E18" s="197">
        <v>33467</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33467</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42883</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19.633</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19.633</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32812</v>
      </c>
    </row>
    <row r="53" spans="1:5" ht="15.75">
      <c r="A53" s="350" t="str">
        <f>CONCATENATE("Assessed Valuation (",D5-2," budget column)")</f>
        <v>Assessed Valuation (2010 budget column)</v>
      </c>
      <c r="B53" s="351"/>
      <c r="C53" s="288"/>
      <c r="D53" s="28"/>
      <c r="E53" s="197">
        <v>1671345</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11">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Solomon Rapids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15, 2011 at 7:30 PM at Jim Walter's residence for the purpose of hearing and</v>
      </c>
      <c r="C6" s="667"/>
      <c r="D6" s="667"/>
      <c r="E6" s="667"/>
      <c r="F6" s="667"/>
      <c r="G6" s="667"/>
      <c r="H6" s="667"/>
      <c r="I6" s="667"/>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746</v>
      </c>
      <c r="H16" s="666"/>
      <c r="I16" s="26" t="s">
        <v>43</v>
      </c>
      <c r="J16" s="159"/>
    </row>
    <row r="17" spans="2:10" ht="15.75">
      <c r="B17" s="95" t="str">
        <f>inputPrYr!B16</f>
        <v>General</v>
      </c>
      <c r="C17" s="66">
        <f>IF(gen!$C$42&lt;&gt;0,gen!$C$42,"  ")</f>
        <v>924</v>
      </c>
      <c r="D17" s="581" t="str">
        <f>IF(inputPrYr!D41&gt;0,inputPrYr!D41,"  ")</f>
        <v>  </v>
      </c>
      <c r="E17" s="32">
        <f>IF(gen!$D$42&lt;&gt;0,gen!$D$42,"  ")</f>
        <v>1793</v>
      </c>
      <c r="F17" s="250" t="str">
        <f>IF(inputOth!D17&gt;0,inputOth!D17,"  ")</f>
        <v>  </v>
      </c>
      <c r="G17" s="32">
        <f>IF(gen!$E$42&lt;&gt;0,gen!$E$42,"  ")</f>
        <v>1035</v>
      </c>
      <c r="H17" s="32" t="str">
        <f>IF(gen!$E$49&lt;&gt;0,gen!$E$49," ")</f>
        <v> </v>
      </c>
      <c r="I17" s="583" t="str">
        <f>IF(gen!E49&gt;0,ROUND(H17/$G$26*1000,3)," ")</f>
        <v> </v>
      </c>
      <c r="J17" s="159"/>
    </row>
    <row r="18" spans="2:14" ht="15.75">
      <c r="B18" s="95" t="str">
        <f>IF(inputPrYr!$B18&gt;"  ",inputPrYr!$B18,"  ")</f>
        <v>Road</v>
      </c>
      <c r="C18" s="32">
        <f>IF(road!$C$39&lt;&gt;0,road!$C$39,"  ")</f>
        <v>29807</v>
      </c>
      <c r="D18" s="581">
        <f>IF(inputPrYr!D43&gt;0,inputPrYr!D43,"  ")</f>
        <v>19.633</v>
      </c>
      <c r="E18" s="32">
        <f>IF(road!$D$39&lt;&gt;0,road!$D$39,"  ")</f>
        <v>41090</v>
      </c>
      <c r="F18" s="250">
        <f>IF(inputOth!D19&gt;0,inputOth!D19,"  ")</f>
        <v>20.243</v>
      </c>
      <c r="G18" s="32">
        <f>IF(road!$E$39&lt;&gt;0,road!$E$39,"  ")</f>
        <v>46850</v>
      </c>
      <c r="H18" s="32">
        <f>IF(road!$E$46&lt;&gt;0,road!$E$46,"  ")</f>
        <v>34425</v>
      </c>
      <c r="I18" s="583">
        <f>IF(road!E46&gt;0,ROUND(H18/$G$26*1000,3)," ")</f>
        <v>19.944</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297</v>
      </c>
      <c r="C20" s="527" t="str">
        <f>IF(road!C60&lt;&gt;0,road!C60,"  ")</f>
        <v>  </v>
      </c>
      <c r="D20" s="528"/>
      <c r="E20" s="582"/>
      <c r="F20" s="528"/>
      <c r="G20" s="582"/>
      <c r="H20" s="582"/>
      <c r="I20" s="528"/>
      <c r="K20" s="573"/>
      <c r="L20" s="573"/>
      <c r="M20" s="573"/>
      <c r="N20" s="573"/>
    </row>
    <row r="21" spans="2:14" ht="15.75">
      <c r="B21" s="82" t="s">
        <v>298</v>
      </c>
      <c r="C21" s="584">
        <f aca="true" t="shared" si="0" ref="C21:I21">SUM(C17:C20)</f>
        <v>30731</v>
      </c>
      <c r="D21" s="526">
        <f t="shared" si="0"/>
        <v>19.633</v>
      </c>
      <c r="E21" s="584">
        <f t="shared" si="0"/>
        <v>42883</v>
      </c>
      <c r="F21" s="526">
        <f t="shared" si="0"/>
        <v>20.243</v>
      </c>
      <c r="G21" s="584">
        <f t="shared" si="0"/>
        <v>47885</v>
      </c>
      <c r="H21" s="584">
        <f t="shared" si="0"/>
        <v>34425</v>
      </c>
      <c r="I21" s="587">
        <f t="shared" si="0"/>
        <v>19.944</v>
      </c>
      <c r="K21" s="658" t="str">
        <f>CONCATENATE("Impact On Keeping The Same Mill Rate As For ",I1-1,"")</f>
        <v>Impact On Keeping The Same Mill Rate As For 2011</v>
      </c>
      <c r="L21" s="659"/>
      <c r="M21" s="659"/>
      <c r="N21" s="660"/>
    </row>
    <row r="22" spans="2:14" ht="15.75">
      <c r="B22" s="82" t="s">
        <v>44</v>
      </c>
      <c r="C22" s="32">
        <f>transfer!C29</f>
        <v>5000</v>
      </c>
      <c r="D22" s="14"/>
      <c r="E22" s="32">
        <f>transfer!D29</f>
        <v>0</v>
      </c>
      <c r="F22" s="61"/>
      <c r="G22" s="32">
        <f>transfer!E29</f>
        <v>0</v>
      </c>
      <c r="H22" s="14"/>
      <c r="I22" s="14"/>
      <c r="K22" s="569"/>
      <c r="L22" s="565"/>
      <c r="M22" s="565"/>
      <c r="N22" s="570"/>
    </row>
    <row r="23" spans="2:14" ht="16.5" thickBot="1">
      <c r="B23" s="82" t="s">
        <v>45</v>
      </c>
      <c r="C23" s="585">
        <f>C21-C22</f>
        <v>25731</v>
      </c>
      <c r="D23" s="14"/>
      <c r="E23" s="585">
        <f>E21-E22</f>
        <v>42883</v>
      </c>
      <c r="F23" s="14"/>
      <c r="G23" s="585">
        <f>G21-G22</f>
        <v>47885</v>
      </c>
      <c r="H23" s="14"/>
      <c r="I23" s="14"/>
      <c r="K23" s="569" t="str">
        <f>CONCATENATE("",I1," Ad Valorem Tax Revenue:")</f>
        <v>2012 Ad Valorem Tax Revenue:</v>
      </c>
      <c r="L23" s="565"/>
      <c r="M23" s="565"/>
      <c r="N23" s="566">
        <f>H21</f>
        <v>34425</v>
      </c>
    </row>
    <row r="24" spans="2:14" ht="16.5" thickTop="1">
      <c r="B24" s="82" t="s">
        <v>46</v>
      </c>
      <c r="C24" s="586">
        <f>inputPrYr!E52</f>
        <v>32812</v>
      </c>
      <c r="D24" s="61"/>
      <c r="E24" s="586">
        <f>inputPrYr!E25</f>
        <v>33467</v>
      </c>
      <c r="F24" s="14"/>
      <c r="G24" s="577" t="s">
        <v>299</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744</v>
      </c>
      <c r="L25" s="572"/>
      <c r="M25" s="572"/>
      <c r="N25" s="567" t="e">
        <f>N23-N24</f>
        <v>#REF!</v>
      </c>
    </row>
    <row r="26" spans="2:14" ht="15.75">
      <c r="B26" s="595" t="s">
        <v>48</v>
      </c>
      <c r="C26" s="31">
        <f>inputPrYr!E53</f>
        <v>1671345</v>
      </c>
      <c r="D26" s="14"/>
      <c r="E26" s="32">
        <f>inputOth!E28</f>
        <v>1653259</v>
      </c>
      <c r="F26" s="14"/>
      <c r="G26" s="32">
        <f>inputOth!E7</f>
        <v>1726100</v>
      </c>
      <c r="H26" s="14"/>
      <c r="I26" s="14"/>
      <c r="K26" s="568"/>
      <c r="L26" s="568"/>
      <c r="M26" s="568"/>
      <c r="N26" s="573"/>
    </row>
    <row r="27" spans="2:14" ht="15.75">
      <c r="B27" s="22"/>
      <c r="C27" s="14"/>
      <c r="D27" s="14"/>
      <c r="E27" s="14"/>
      <c r="F27" s="14"/>
      <c r="G27" s="14"/>
      <c r="H27" s="14"/>
      <c r="I27" s="14"/>
      <c r="K27" s="658" t="s">
        <v>745</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Solomon Rapids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1726100</v>
      </c>
      <c r="E18" s="14"/>
      <c r="F18" s="139"/>
    </row>
    <row r="19" spans="1:6" ht="15.75">
      <c r="A19" s="14"/>
      <c r="B19" s="14"/>
      <c r="C19" s="14"/>
      <c r="D19" s="14"/>
      <c r="E19" s="14"/>
      <c r="F19" s="139"/>
    </row>
    <row r="20" spans="1:6" ht="15.75">
      <c r="A20" s="14"/>
      <c r="B20" s="671" t="s">
        <v>376</v>
      </c>
      <c r="C20" s="671"/>
      <c r="D20" s="147">
        <f>IF(D18&gt;0,(D18*0.001),"")</f>
        <v>1726.1000000000001</v>
      </c>
      <c r="E20" s="14"/>
      <c r="F20" s="139"/>
    </row>
    <row r="21" spans="1:6" ht="15.75">
      <c r="A21" s="14"/>
      <c r="B21" s="48"/>
      <c r="C21" s="48"/>
      <c r="D21" s="148"/>
      <c r="E21" s="14"/>
      <c r="F21" s="139"/>
    </row>
    <row r="22" spans="1:6" ht="15.75">
      <c r="A22" s="669" t="s">
        <v>378</v>
      </c>
      <c r="B22" s="614"/>
      <c r="C22" s="614"/>
      <c r="D22" s="149">
        <f>inputOth!E13</f>
        <v>0</v>
      </c>
      <c r="E22" s="150"/>
      <c r="F22" s="150"/>
    </row>
    <row r="23" spans="1:6" ht="15.75">
      <c r="A23" s="150"/>
      <c r="B23" s="150"/>
      <c r="C23" s="150"/>
      <c r="D23" s="151"/>
      <c r="E23" s="150"/>
      <c r="F23" s="150"/>
    </row>
    <row r="24" spans="1:6" ht="15.75">
      <c r="A24" s="150"/>
      <c r="B24" s="669" t="s">
        <v>379</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9" t="s">
        <v>130</v>
      </c>
      <c r="B1" s="679"/>
      <c r="C1" s="679"/>
      <c r="D1" s="679"/>
      <c r="E1" s="679"/>
      <c r="F1" s="679"/>
      <c r="G1" s="679"/>
    </row>
    <row r="2" ht="15.75">
      <c r="A2" s="1"/>
    </row>
    <row r="3" spans="1:7" ht="15.75">
      <c r="A3" s="680" t="s">
        <v>131</v>
      </c>
      <c r="B3" s="680"/>
      <c r="C3" s="680"/>
      <c r="D3" s="680"/>
      <c r="E3" s="680"/>
      <c r="F3" s="680"/>
      <c r="G3" s="680"/>
    </row>
    <row r="4" ht="15.75">
      <c r="A4" s="2"/>
    </row>
    <row r="5" ht="15.75">
      <c r="A5" s="2"/>
    </row>
    <row r="6" spans="1:9" ht="15.75">
      <c r="A6" s="8" t="str">
        <f>CONCATENATE("A resolution expressing the property taxation policy of the Board of ",(inputPrYr!D2)," ")</f>
        <v>A resolution expressing the property taxation policy of the Board of Solomon Rapids Township </v>
      </c>
      <c r="I6">
        <f>CONCATENATE(I7)</f>
      </c>
    </row>
    <row r="7" spans="1:7" ht="15.75">
      <c r="A7" s="681" t="str">
        <f>CONCATENATE("   with respect to financing the ",inputPrYr!D5," annual budget for ",(inputPrYr!D2)," , ",(inputPrYr!D3)," , Kansas.")</f>
        <v>   with respect to financing the 2012 annual budget for Solomon Rapids Township , Mitchell County , Kansas.</v>
      </c>
      <c r="B7" s="674"/>
      <c r="C7" s="674"/>
      <c r="D7" s="674"/>
      <c r="E7" s="674"/>
      <c r="F7" s="674"/>
      <c r="G7" s="674"/>
    </row>
    <row r="8" spans="1:7" ht="15.75">
      <c r="A8" s="674"/>
      <c r="B8" s="674"/>
      <c r="C8" s="674"/>
      <c r="D8" s="674"/>
      <c r="E8" s="674"/>
      <c r="F8" s="674"/>
      <c r="G8" s="674"/>
    </row>
    <row r="9" ht="15.75">
      <c r="A9" s="1"/>
    </row>
    <row r="10" ht="15.75">
      <c r="A10" s="9" t="s">
        <v>132</v>
      </c>
    </row>
    <row r="11" ht="15.75">
      <c r="A11" s="7" t="str">
        <f>CONCATENATE("to finance the ",inputPrYr!D5," ",(inputPrYr!D2)," budget exceed the amount levied to finance the ",inputPrYr!D5-1,"")</f>
        <v>to finance the 2012 Solomon Rapids Township budget exceed the amount levied to finance the 2011</v>
      </c>
    </row>
    <row r="12" spans="1:7" ht="15.75">
      <c r="A12" s="677" t="str">
        <f>CONCATENATE((inputPrYr!D2)," Township budget, except with regard to revenue produced and attributable to the taxation of 1) new improvements to real property; 2) increased personal property valuation, other than increased")</f>
        <v>Solomon Rapids Township Township budget, except with regard to revenue produced and attributable to the taxation of 1) new improvements to real property; 2) increased personal property valuation, other than increased</v>
      </c>
      <c r="B12" s="674"/>
      <c r="C12" s="674"/>
      <c r="D12" s="674"/>
      <c r="E12" s="674"/>
      <c r="F12" s="674"/>
      <c r="G12" s="674"/>
    </row>
    <row r="13" spans="1:7" ht="15.75">
      <c r="A13" s="674"/>
      <c r="B13" s="674"/>
      <c r="C13" s="674"/>
      <c r="D13" s="674"/>
      <c r="E13" s="674"/>
      <c r="F13" s="674"/>
      <c r="G13" s="674"/>
    </row>
    <row r="14" spans="1:7" ht="15.75">
      <c r="A14" s="677" t="s">
        <v>137</v>
      </c>
      <c r="B14" s="674"/>
      <c r="C14" s="674"/>
      <c r="D14" s="674"/>
      <c r="E14" s="674"/>
      <c r="F14" s="674"/>
      <c r="G14" s="674"/>
    </row>
    <row r="15" spans="1:7" ht="15.75">
      <c r="A15" s="674"/>
      <c r="B15" s="674"/>
      <c r="C15" s="674"/>
      <c r="D15" s="674"/>
      <c r="E15" s="674"/>
      <c r="F15" s="674"/>
      <c r="G15" s="674"/>
    </row>
    <row r="16" spans="1:7" ht="15.75">
      <c r="A16" s="678"/>
      <c r="B16" s="678"/>
      <c r="C16" s="678"/>
      <c r="D16" s="678"/>
      <c r="E16" s="678"/>
      <c r="F16" s="678"/>
      <c r="G16" s="678"/>
    </row>
    <row r="17" ht="15.75">
      <c r="A17" s="2"/>
    </row>
    <row r="18" spans="1:7" ht="15.75">
      <c r="A18" s="673" t="s">
        <v>133</v>
      </c>
      <c r="B18" s="674"/>
      <c r="C18" s="674"/>
      <c r="D18" s="674"/>
      <c r="E18" s="674"/>
      <c r="F18" s="674"/>
      <c r="G18" s="674"/>
    </row>
    <row r="19" spans="1:7" ht="15.75">
      <c r="A19" s="674"/>
      <c r="B19" s="674"/>
      <c r="C19" s="674"/>
      <c r="D19" s="674"/>
      <c r="E19" s="674"/>
      <c r="F19" s="674"/>
      <c r="G19" s="674"/>
    </row>
    <row r="20" ht="15.75">
      <c r="A20" s="2"/>
    </row>
    <row r="21" spans="1:7" ht="15.75">
      <c r="A21" s="673" t="str">
        <f>CONCATENATE("Whereas, ",(inputPrYr!D2)," provides essential services to protect the safety and well being of the citizens of the township; and")</f>
        <v>Whereas, Solomon Rapids Township provides essential services to protect the safety and well being of the citizens of the township; and</v>
      </c>
      <c r="B21" s="674"/>
      <c r="C21" s="674"/>
      <c r="D21" s="674"/>
      <c r="E21" s="674"/>
      <c r="F21" s="674"/>
      <c r="G21" s="674"/>
    </row>
    <row r="22" spans="1:7" ht="15.75">
      <c r="A22" s="674"/>
      <c r="B22" s="674"/>
      <c r="C22" s="674"/>
      <c r="D22" s="674"/>
      <c r="E22" s="674"/>
      <c r="F22" s="674"/>
      <c r="G22" s="674"/>
    </row>
    <row r="23" ht="15.75">
      <c r="A23" s="4"/>
    </row>
    <row r="24" ht="15.75">
      <c r="A24" s="3" t="s">
        <v>134</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Solomon Rapids Township of Mitchell County, Kansas that is our desire to notify the public of increased property taxes to finance the 2012 Solomon Rapids Township  budget as defined above.</v>
      </c>
      <c r="B26" s="674"/>
      <c r="C26" s="674"/>
      <c r="D26" s="674"/>
      <c r="E26" s="674"/>
      <c r="F26" s="674"/>
      <c r="G26" s="674"/>
    </row>
    <row r="27" spans="1:7" ht="15.75">
      <c r="A27" s="674"/>
      <c r="B27" s="674"/>
      <c r="C27" s="674"/>
      <c r="D27" s="674"/>
      <c r="E27" s="674"/>
      <c r="F27" s="674"/>
      <c r="G27" s="674"/>
    </row>
    <row r="28" spans="1:7" ht="15.75">
      <c r="A28" s="674"/>
      <c r="B28" s="674"/>
      <c r="C28" s="674"/>
      <c r="D28" s="674"/>
      <c r="E28" s="674"/>
      <c r="F28" s="674"/>
      <c r="G28" s="674"/>
    </row>
    <row r="29" ht="15.75">
      <c r="A29" s="4"/>
    </row>
    <row r="30" spans="1:7" ht="15.75">
      <c r="A30" s="676" t="str">
        <f>CONCATENATE("Adopted this _________ day of ___________, ",inputPrYr!D5-1," by the ",(inputPrYr!D2)," Board, ",(inputPrYr!D3),", Kansas.")</f>
        <v>Adopted this _________ day of ___________, 2011 by the Solomon Rapids Township Board, Mitchell County, Kansas.</v>
      </c>
      <c r="B30" s="674"/>
      <c r="C30" s="674"/>
      <c r="D30" s="674"/>
      <c r="E30" s="674"/>
      <c r="F30" s="674"/>
      <c r="G30" s="674"/>
    </row>
    <row r="31" spans="1:7" ht="15.75">
      <c r="A31" s="674"/>
      <c r="B31" s="674"/>
      <c r="C31" s="674"/>
      <c r="D31" s="674"/>
      <c r="E31" s="674"/>
      <c r="F31" s="674"/>
      <c r="G31" s="674"/>
    </row>
    <row r="32" ht="15.75">
      <c r="A32" s="4"/>
    </row>
    <row r="33" spans="4:7" ht="15.75">
      <c r="D33" s="675" t="str">
        <f>CONCATENATE((inputPrYr!D2)," Board")</f>
        <v>Solomon Rapids Township Board</v>
      </c>
      <c r="E33" s="675"/>
      <c r="F33" s="675"/>
      <c r="G33" s="675"/>
    </row>
    <row r="35" spans="4:7" ht="15.75">
      <c r="D35" s="672" t="s">
        <v>135</v>
      </c>
      <c r="E35" s="672"/>
      <c r="F35" s="672"/>
      <c r="G35" s="672"/>
    </row>
    <row r="36" spans="1:7" ht="15.75">
      <c r="A36" s="5"/>
      <c r="D36" s="672" t="s">
        <v>139</v>
      </c>
      <c r="E36" s="672"/>
      <c r="F36" s="672"/>
      <c r="G36" s="672"/>
    </row>
    <row r="37" spans="4:7" ht="15.75">
      <c r="D37" s="672"/>
      <c r="E37" s="672"/>
      <c r="F37" s="672"/>
      <c r="G37" s="672"/>
    </row>
    <row r="38" spans="4:7" ht="15.75">
      <c r="D38" s="672" t="s">
        <v>135</v>
      </c>
      <c r="E38" s="672"/>
      <c r="F38" s="672"/>
      <c r="G38" s="672"/>
    </row>
    <row r="39" spans="1:7" ht="15.75">
      <c r="A39" s="4"/>
      <c r="D39" s="672" t="s">
        <v>140</v>
      </c>
      <c r="E39" s="672"/>
      <c r="F39" s="672"/>
      <c r="G39" s="672"/>
    </row>
    <row r="40" spans="4:7" ht="15.75">
      <c r="D40" s="672"/>
      <c r="E40" s="672"/>
      <c r="F40" s="672"/>
      <c r="G40" s="672"/>
    </row>
    <row r="41" spans="4:7" ht="15.75">
      <c r="D41" s="672" t="s">
        <v>138</v>
      </c>
      <c r="E41" s="672"/>
      <c r="F41" s="672"/>
      <c r="G41" s="672"/>
    </row>
    <row r="42" spans="1:7" ht="15.75">
      <c r="A42" s="4"/>
      <c r="D42" s="672" t="s">
        <v>141</v>
      </c>
      <c r="E42" s="672"/>
      <c r="F42" s="672"/>
      <c r="G42" s="672"/>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1" t="s">
        <v>648</v>
      </c>
      <c r="C6" s="699"/>
      <c r="D6" s="699"/>
      <c r="E6" s="699"/>
      <c r="F6" s="699"/>
      <c r="G6" s="699"/>
      <c r="H6" s="699"/>
      <c r="I6" s="699"/>
      <c r="J6" s="699"/>
      <c r="K6" s="699"/>
      <c r="L6" s="443"/>
    </row>
    <row r="7" spans="1:12" ht="40.5" customHeight="1">
      <c r="A7" s="440"/>
      <c r="B7" s="710" t="s">
        <v>649</v>
      </c>
      <c r="C7" s="711"/>
      <c r="D7" s="711"/>
      <c r="E7" s="711"/>
      <c r="F7" s="711"/>
      <c r="G7" s="711"/>
      <c r="H7" s="711"/>
      <c r="I7" s="711"/>
      <c r="J7" s="711"/>
      <c r="K7" s="711"/>
      <c r="L7" s="440"/>
    </row>
    <row r="8" spans="1:12" ht="14.25">
      <c r="A8" s="440"/>
      <c r="B8" s="707" t="s">
        <v>650</v>
      </c>
      <c r="C8" s="707"/>
      <c r="D8" s="707"/>
      <c r="E8" s="707"/>
      <c r="F8" s="707"/>
      <c r="G8" s="707"/>
      <c r="H8" s="707"/>
      <c r="I8" s="707"/>
      <c r="J8" s="707"/>
      <c r="K8" s="707"/>
      <c r="L8" s="440"/>
    </row>
    <row r="9" spans="1:12" ht="14.25">
      <c r="A9" s="440"/>
      <c r="L9" s="440"/>
    </row>
    <row r="10" spans="1:12" ht="14.25">
      <c r="A10" s="440"/>
      <c r="B10" s="707" t="s">
        <v>651</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2" t="s">
        <v>652</v>
      </c>
      <c r="C12" s="692"/>
      <c r="D12" s="692"/>
      <c r="E12" s="692"/>
      <c r="F12" s="692"/>
      <c r="G12" s="692"/>
      <c r="H12" s="692"/>
      <c r="I12" s="692"/>
      <c r="J12" s="692"/>
      <c r="K12" s="692"/>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694">
        <v>133685008</v>
      </c>
      <c r="G23" s="694"/>
      <c r="L23" s="440"/>
    </row>
    <row r="24" spans="1:12" ht="14.25">
      <c r="A24" s="440"/>
      <c r="L24" s="440"/>
    </row>
    <row r="25" spans="1:12" ht="14.25">
      <c r="A25" s="440"/>
      <c r="C25" s="708">
        <f>F23</f>
        <v>133685008</v>
      </c>
      <c r="D25" s="708"/>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649</v>
      </c>
      <c r="C30" s="696"/>
      <c r="D30" s="696"/>
      <c r="E30" s="696"/>
      <c r="F30" s="696"/>
      <c r="G30" s="696"/>
      <c r="H30" s="696"/>
      <c r="I30" s="696"/>
      <c r="J30" s="696"/>
      <c r="K30" s="696"/>
      <c r="L30" s="440"/>
    </row>
    <row r="31" spans="1:12" ht="14.25">
      <c r="A31" s="440"/>
      <c r="B31" s="707" t="s">
        <v>663</v>
      </c>
      <c r="C31" s="707"/>
      <c r="D31" s="707"/>
      <c r="E31" s="707"/>
      <c r="F31" s="707"/>
      <c r="G31" s="707"/>
      <c r="H31" s="707"/>
      <c r="I31" s="707"/>
      <c r="J31" s="707"/>
      <c r="K31" s="707"/>
      <c r="L31" s="440"/>
    </row>
    <row r="32" spans="1:12" ht="14.25">
      <c r="A32" s="440"/>
      <c r="L32" s="440"/>
    </row>
    <row r="33" spans="1:12" ht="14.25">
      <c r="A33" s="440"/>
      <c r="B33" s="707" t="s">
        <v>664</v>
      </c>
      <c r="C33" s="707"/>
      <c r="D33" s="707"/>
      <c r="E33" s="707"/>
      <c r="F33" s="707"/>
      <c r="G33" s="707"/>
      <c r="H33" s="707"/>
      <c r="I33" s="707"/>
      <c r="J33" s="707"/>
      <c r="K33" s="707"/>
      <c r="L33" s="440"/>
    </row>
    <row r="34" spans="1:12" ht="14.25">
      <c r="A34" s="440"/>
      <c r="L34" s="440"/>
    </row>
    <row r="35" spans="1:12" ht="89.25" customHeight="1">
      <c r="A35" s="440"/>
      <c r="B35" s="692" t="s">
        <v>665</v>
      </c>
      <c r="C35" s="702"/>
      <c r="D35" s="702"/>
      <c r="E35" s="702"/>
      <c r="F35" s="702"/>
      <c r="G35" s="702"/>
      <c r="H35" s="702"/>
      <c r="I35" s="702"/>
      <c r="J35" s="702"/>
      <c r="K35" s="702"/>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709">
        <v>3120000</v>
      </c>
      <c r="D41" s="709"/>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694">
        <v>133685008</v>
      </c>
      <c r="C48" s="694"/>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703" t="s">
        <v>673</v>
      </c>
      <c r="H50" s="704"/>
      <c r="I50" s="453" t="s">
        <v>659</v>
      </c>
      <c r="J50" s="463">
        <f>B50/F50</f>
        <v>52.8690023342034</v>
      </c>
      <c r="K50" s="455"/>
      <c r="L50" s="440"/>
    </row>
    <row r="51" spans="1:15" ht="15" thickBot="1">
      <c r="A51" s="440"/>
      <c r="B51" s="456"/>
      <c r="C51" s="457"/>
      <c r="D51" s="457"/>
      <c r="E51" s="457"/>
      <c r="F51" s="457"/>
      <c r="G51" s="457"/>
      <c r="H51" s="457"/>
      <c r="I51" s="705" t="s">
        <v>674</v>
      </c>
      <c r="J51" s="705"/>
      <c r="K51" s="706"/>
      <c r="L51" s="440"/>
      <c r="O51" s="464"/>
    </row>
    <row r="52" spans="1:12" ht="40.5" customHeight="1">
      <c r="A52" s="440"/>
      <c r="B52" s="696" t="s">
        <v>649</v>
      </c>
      <c r="C52" s="696"/>
      <c r="D52" s="696"/>
      <c r="E52" s="696"/>
      <c r="F52" s="696"/>
      <c r="G52" s="696"/>
      <c r="H52" s="696"/>
      <c r="I52" s="696"/>
      <c r="J52" s="696"/>
      <c r="K52" s="696"/>
      <c r="L52" s="440"/>
    </row>
    <row r="53" spans="1:12" ht="14.25">
      <c r="A53" s="440"/>
      <c r="B53" s="707" t="s">
        <v>675</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1" t="s">
        <v>676</v>
      </c>
      <c r="C55" s="691"/>
      <c r="D55" s="691"/>
      <c r="E55" s="691"/>
      <c r="F55" s="691"/>
      <c r="G55" s="691"/>
      <c r="H55" s="691"/>
      <c r="I55" s="691"/>
      <c r="J55" s="691"/>
      <c r="K55" s="691"/>
      <c r="L55" s="440"/>
    </row>
    <row r="56" spans="1:12" ht="15" customHeight="1">
      <c r="A56" s="440"/>
      <c r="L56" s="440"/>
    </row>
    <row r="57" spans="1:24" ht="74.25" customHeight="1">
      <c r="A57" s="440"/>
      <c r="B57" s="692" t="s">
        <v>677</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2"/>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694">
        <v>133685008</v>
      </c>
      <c r="D74" s="694"/>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694">
        <v>5000</v>
      </c>
      <c r="D77" s="694"/>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694">
        <v>100000</v>
      </c>
      <c r="D80" s="694"/>
      <c r="E80" s="453" t="s">
        <v>299</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695">
        <f>H80</f>
        <v>11500</v>
      </c>
      <c r="D83" s="695"/>
      <c r="E83" s="453" t="s">
        <v>299</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649</v>
      </c>
      <c r="C85" s="696"/>
      <c r="D85" s="696"/>
      <c r="E85" s="696"/>
      <c r="F85" s="696"/>
      <c r="G85" s="696"/>
      <c r="H85" s="696"/>
      <c r="I85" s="696"/>
      <c r="J85" s="696"/>
      <c r="K85" s="696"/>
      <c r="L85" s="440"/>
    </row>
    <row r="86" spans="1:12" ht="14.25">
      <c r="A86" s="440"/>
      <c r="B86" s="691" t="s">
        <v>697</v>
      </c>
      <c r="C86" s="691"/>
      <c r="D86" s="691"/>
      <c r="E86" s="691"/>
      <c r="F86" s="691"/>
      <c r="G86" s="691"/>
      <c r="H86" s="691"/>
      <c r="I86" s="691"/>
      <c r="J86" s="691"/>
      <c r="K86" s="691"/>
      <c r="L86" s="440"/>
    </row>
    <row r="87" spans="1:12" ht="14.25">
      <c r="A87" s="440"/>
      <c r="B87" s="480"/>
      <c r="C87" s="480"/>
      <c r="D87" s="480"/>
      <c r="E87" s="480"/>
      <c r="F87" s="480"/>
      <c r="G87" s="480"/>
      <c r="H87" s="480"/>
      <c r="I87" s="480"/>
      <c r="J87" s="480"/>
      <c r="K87" s="480"/>
      <c r="L87" s="440"/>
    </row>
    <row r="88" spans="1:12" ht="14.25">
      <c r="A88" s="440"/>
      <c r="B88" s="691" t="s">
        <v>698</v>
      </c>
      <c r="C88" s="691"/>
      <c r="D88" s="691"/>
      <c r="E88" s="691"/>
      <c r="F88" s="691"/>
      <c r="G88" s="691"/>
      <c r="H88" s="691"/>
      <c r="I88" s="691"/>
      <c r="J88" s="691"/>
      <c r="K88" s="691"/>
      <c r="L88" s="440"/>
    </row>
    <row r="89" spans="1:12" ht="14.25">
      <c r="A89" s="440"/>
      <c r="B89" s="481"/>
      <c r="C89" s="481"/>
      <c r="D89" s="481"/>
      <c r="E89" s="481"/>
      <c r="F89" s="481"/>
      <c r="G89" s="481"/>
      <c r="H89" s="481"/>
      <c r="I89" s="481"/>
      <c r="J89" s="481"/>
      <c r="K89" s="481"/>
      <c r="L89" s="440"/>
    </row>
    <row r="90" spans="1:12" ht="45" customHeight="1">
      <c r="A90" s="440"/>
      <c r="B90" s="692" t="s">
        <v>699</v>
      </c>
      <c r="C90" s="692"/>
      <c r="D90" s="692"/>
      <c r="E90" s="692"/>
      <c r="F90" s="692"/>
      <c r="G90" s="692"/>
      <c r="H90" s="692"/>
      <c r="I90" s="692"/>
      <c r="J90" s="692"/>
      <c r="K90" s="692"/>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694">
        <v>133685008</v>
      </c>
      <c r="D94" s="694"/>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694">
        <v>50000</v>
      </c>
      <c r="D97" s="694"/>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694">
        <v>2500000</v>
      </c>
      <c r="D100" s="694"/>
      <c r="E100" s="453" t="s">
        <v>299</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695">
        <f>H100</f>
        <v>750000</v>
      </c>
      <c r="D103" s="695"/>
      <c r="E103" s="453" t="s">
        <v>299</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649</v>
      </c>
      <c r="C105" s="697"/>
      <c r="D105" s="697"/>
      <c r="E105" s="697"/>
      <c r="F105" s="697"/>
      <c r="G105" s="697"/>
      <c r="H105" s="697"/>
      <c r="I105" s="697"/>
      <c r="J105" s="697"/>
      <c r="K105" s="697"/>
      <c r="L105" s="440"/>
    </row>
    <row r="106" spans="1:12" ht="15" customHeight="1">
      <c r="A106" s="440"/>
      <c r="B106" s="698" t="s">
        <v>701</v>
      </c>
      <c r="C106" s="699"/>
      <c r="D106" s="699"/>
      <c r="E106" s="699"/>
      <c r="F106" s="699"/>
      <c r="G106" s="699"/>
      <c r="H106" s="699"/>
      <c r="I106" s="699"/>
      <c r="J106" s="699"/>
      <c r="K106" s="699"/>
      <c r="L106" s="440"/>
    </row>
    <row r="107" spans="1:12" ht="15" customHeight="1">
      <c r="A107" s="440"/>
      <c r="B107" s="486"/>
      <c r="C107" s="494"/>
      <c r="D107" s="494"/>
      <c r="E107" s="453"/>
      <c r="F107" s="463"/>
      <c r="G107" s="453"/>
      <c r="H107" s="453"/>
      <c r="I107" s="453"/>
      <c r="J107" s="475"/>
      <c r="K107" s="486"/>
      <c r="L107" s="440"/>
    </row>
    <row r="108" spans="1:12" ht="15" customHeight="1">
      <c r="A108" s="440"/>
      <c r="B108" s="698" t="s">
        <v>702</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703</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694">
        <v>133685008</v>
      </c>
      <c r="D114" s="694"/>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694">
        <v>50000</v>
      </c>
      <c r="D117" s="694"/>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694">
        <v>2500000</v>
      </c>
      <c r="D120" s="694"/>
      <c r="E120" s="453" t="s">
        <v>299</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695">
        <f>H120</f>
        <v>625000</v>
      </c>
      <c r="D123" s="695"/>
      <c r="E123" s="453" t="s">
        <v>299</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649</v>
      </c>
      <c r="C125" s="696"/>
      <c r="D125" s="696"/>
      <c r="E125" s="696"/>
      <c r="F125" s="696"/>
      <c r="G125" s="696"/>
      <c r="H125" s="696"/>
      <c r="I125" s="696"/>
      <c r="J125" s="696"/>
      <c r="K125" s="696"/>
      <c r="L125" s="495"/>
    </row>
    <row r="126" spans="1:12" ht="14.25">
      <c r="A126" s="440"/>
      <c r="B126" s="691" t="s">
        <v>704</v>
      </c>
      <c r="C126" s="691"/>
      <c r="D126" s="691"/>
      <c r="E126" s="691"/>
      <c r="F126" s="691"/>
      <c r="G126" s="691"/>
      <c r="H126" s="691"/>
      <c r="I126" s="691"/>
      <c r="J126" s="691"/>
      <c r="K126" s="691"/>
      <c r="L126" s="495"/>
    </row>
    <row r="127" spans="1:12" ht="14.25">
      <c r="A127" s="440"/>
      <c r="B127" s="444"/>
      <c r="C127" s="444"/>
      <c r="D127" s="444"/>
      <c r="E127" s="444"/>
      <c r="F127" s="444"/>
      <c r="G127" s="444"/>
      <c r="H127" s="444"/>
      <c r="I127" s="444"/>
      <c r="J127" s="444"/>
      <c r="K127" s="444"/>
      <c r="L127" s="495"/>
    </row>
    <row r="128" spans="1:12" ht="14.25">
      <c r="A128" s="440"/>
      <c r="B128" s="691" t="s">
        <v>705</v>
      </c>
      <c r="C128" s="691"/>
      <c r="D128" s="691"/>
      <c r="E128" s="691"/>
      <c r="F128" s="691"/>
      <c r="G128" s="691"/>
      <c r="H128" s="691"/>
      <c r="I128" s="691"/>
      <c r="J128" s="691"/>
      <c r="K128" s="691"/>
      <c r="L128" s="495"/>
    </row>
    <row r="129" spans="1:12" ht="14.25">
      <c r="A129" s="440"/>
      <c r="B129" s="481"/>
      <c r="C129" s="481"/>
      <c r="D129" s="481"/>
      <c r="E129" s="481"/>
      <c r="F129" s="481"/>
      <c r="G129" s="481"/>
      <c r="H129" s="481"/>
      <c r="I129" s="481"/>
      <c r="J129" s="481"/>
      <c r="K129" s="481"/>
      <c r="L129" s="495"/>
    </row>
    <row r="130" spans="1:12" ht="74.25" customHeight="1">
      <c r="A130" s="440"/>
      <c r="B130" s="692" t="s">
        <v>706</v>
      </c>
      <c r="C130" s="692"/>
      <c r="D130" s="692"/>
      <c r="E130" s="692"/>
      <c r="F130" s="692"/>
      <c r="G130" s="692"/>
      <c r="H130" s="692"/>
      <c r="I130" s="692"/>
      <c r="J130" s="692"/>
      <c r="K130" s="692"/>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693" t="s">
        <v>707</v>
      </c>
      <c r="D133" s="693"/>
      <c r="E133" s="452"/>
      <c r="F133" s="453" t="s">
        <v>708</v>
      </c>
      <c r="G133" s="452"/>
      <c r="H133" s="693" t="s">
        <v>693</v>
      </c>
      <c r="I133" s="693"/>
      <c r="J133" s="452"/>
      <c r="K133" s="455"/>
      <c r="L133" s="440"/>
    </row>
    <row r="134" spans="1:12" ht="14.25">
      <c r="A134" s="440"/>
      <c r="B134" s="461" t="s">
        <v>686</v>
      </c>
      <c r="C134" s="694">
        <v>100000</v>
      </c>
      <c r="D134" s="694"/>
      <c r="E134" s="453" t="s">
        <v>299</v>
      </c>
      <c r="F134" s="453">
        <v>0.115</v>
      </c>
      <c r="G134" s="453" t="s">
        <v>659</v>
      </c>
      <c r="H134" s="683">
        <f>C134*F134</f>
        <v>11500</v>
      </c>
      <c r="I134" s="68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2" t="s">
        <v>693</v>
      </c>
      <c r="D136" s="682"/>
      <c r="E136" s="472"/>
      <c r="F136" s="473" t="s">
        <v>709</v>
      </c>
      <c r="G136" s="473"/>
      <c r="H136" s="472"/>
      <c r="I136" s="472"/>
      <c r="J136" s="472" t="s">
        <v>710</v>
      </c>
      <c r="K136" s="474"/>
      <c r="L136" s="440"/>
    </row>
    <row r="137" spans="1:12" ht="14.25">
      <c r="A137" s="440"/>
      <c r="B137" s="461" t="s">
        <v>689</v>
      </c>
      <c r="C137" s="683">
        <f>H134</f>
        <v>11500</v>
      </c>
      <c r="D137" s="683"/>
      <c r="E137" s="453" t="s">
        <v>299</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713</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683" t="s">
        <v>714</v>
      </c>
      <c r="D147" s="683"/>
      <c r="E147" s="453"/>
      <c r="F147" s="513" t="s">
        <v>715</v>
      </c>
      <c r="G147" s="453"/>
      <c r="H147" s="453"/>
      <c r="I147" s="453"/>
      <c r="J147" s="687" t="s">
        <v>716</v>
      </c>
      <c r="K147" s="688"/>
      <c r="L147" s="440"/>
    </row>
    <row r="148" spans="1:12" ht="14.25">
      <c r="A148" s="440"/>
      <c r="B148" s="461"/>
      <c r="C148" s="689">
        <v>52.869</v>
      </c>
      <c r="D148" s="689"/>
      <c r="E148" s="453" t="s">
        <v>299</v>
      </c>
      <c r="F148" s="518">
        <v>133685008</v>
      </c>
      <c r="G148" s="519" t="s">
        <v>660</v>
      </c>
      <c r="H148" s="453">
        <v>1000</v>
      </c>
      <c r="I148" s="453" t="s">
        <v>659</v>
      </c>
      <c r="J148" s="683">
        <f>C148*(F148/1000)</f>
        <v>7067792.687952</v>
      </c>
      <c r="K148" s="69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Solomon Rapids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160</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1726100</v>
      </c>
    </row>
    <row r="8" spans="1:5" ht="15.75">
      <c r="A8" s="22" t="str">
        <f>CONCATENATE("New Improvements for ",E1-1,"")</f>
        <v>New Improvements for 2011</v>
      </c>
      <c r="B8" s="19"/>
      <c r="C8" s="19"/>
      <c r="D8" s="19"/>
      <c r="E8" s="306">
        <v>34146</v>
      </c>
    </row>
    <row r="9" spans="1:5" ht="15.75">
      <c r="A9" s="22" t="str">
        <f>CONCATENATE("Personal Property excluding oil, gas, and mobile homes - ",E1-1,"")</f>
        <v>Personal Property excluding oil, gas, and mobile homes - 2011</v>
      </c>
      <c r="B9" s="19"/>
      <c r="C9" s="19"/>
      <c r="D9" s="19"/>
      <c r="E9" s="306">
        <v>32374</v>
      </c>
    </row>
    <row r="10" spans="1:5" ht="15.75">
      <c r="A10" s="22" t="str">
        <f>CONCATENATE("Property that has changed in use for ",E1-1,"")</f>
        <v>Property that has changed in use for 2011</v>
      </c>
      <c r="B10" s="19"/>
      <c r="C10" s="19"/>
      <c r="D10" s="19"/>
      <c r="E10" s="306">
        <v>13913</v>
      </c>
    </row>
    <row r="11" spans="1:5" ht="15.75">
      <c r="A11" s="22" t="str">
        <f>CONCATENATE("Personal Property excluding oil, gas, and mobile homes- ",E1-2,"")</f>
        <v>Personal Property excluding oil, gas, and mobile homes- 2010</v>
      </c>
      <c r="B11" s="19"/>
      <c r="C11" s="19"/>
      <c r="D11" s="19"/>
      <c r="E11" s="306">
        <v>34387</v>
      </c>
    </row>
    <row r="12" spans="1:5" ht="15.75">
      <c r="A12" s="22" t="str">
        <f>CONCATENATE("Gross earnings (intangible) tax estimate for ",E1,"")</f>
        <v>Gross earnings (intangible) tax estimate for 2012</v>
      </c>
      <c r="B12" s="19"/>
      <c r="C12" s="19"/>
      <c r="D12" s="19"/>
      <c r="E12" s="306">
        <v>485</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295</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20.243</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20.243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1653259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1859</v>
      </c>
    </row>
    <row r="32" spans="1:5" ht="15.75">
      <c r="A32" s="319" t="s">
        <v>286</v>
      </c>
      <c r="B32" s="288"/>
      <c r="C32" s="288"/>
      <c r="D32" s="31"/>
      <c r="E32" s="34">
        <v>25</v>
      </c>
    </row>
    <row r="33" spans="1:5" ht="15.75">
      <c r="A33" s="319" t="s">
        <v>162</v>
      </c>
      <c r="B33" s="288"/>
      <c r="C33" s="288"/>
      <c r="D33" s="31"/>
      <c r="E33" s="34">
        <v>351</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2444</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216</v>
      </c>
      <c r="B45" s="324" t="s">
        <v>217</v>
      </c>
      <c r="C45" s="325" t="s">
        <v>218</v>
      </c>
      <c r="D45" s="326"/>
      <c r="E45" s="326"/>
    </row>
    <row r="46" spans="1:5" ht="15.75">
      <c r="A46" s="327" t="str">
        <f>inputPrYr!B16</f>
        <v>General</v>
      </c>
      <c r="B46" s="36">
        <v>1474</v>
      </c>
      <c r="C46" s="325" t="s">
        <v>219</v>
      </c>
      <c r="D46" s="326"/>
      <c r="E46" s="326"/>
    </row>
    <row r="47" spans="1:5" ht="15.75">
      <c r="A47" s="327" t="str">
        <f>inputPrYr!B17</f>
        <v>Debt Service</v>
      </c>
      <c r="B47" s="36"/>
      <c r="C47" s="325"/>
      <c r="D47" s="326"/>
      <c r="E47" s="326"/>
    </row>
    <row r="48" spans="1:5" ht="15.75">
      <c r="A48" s="327" t="str">
        <f>inputPrYr!B18</f>
        <v>Road</v>
      </c>
      <c r="B48" s="36">
        <v>37072</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803</v>
      </c>
    </row>
    <row r="2" ht="15.75">
      <c r="A2" s="594" t="s">
        <v>804</v>
      </c>
    </row>
    <row r="4" ht="15.75">
      <c r="A4" s="398" t="s">
        <v>800</v>
      </c>
    </row>
    <row r="5" ht="15.75">
      <c r="A5" s="90" t="s">
        <v>801</v>
      </c>
    </row>
    <row r="6" ht="15.75">
      <c r="A6" s="90" t="s">
        <v>802</v>
      </c>
    </row>
    <row r="8" ht="15.75">
      <c r="A8" s="398" t="s">
        <v>774</v>
      </c>
    </row>
    <row r="9" ht="15.75">
      <c r="A9" s="594" t="s">
        <v>775</v>
      </c>
    </row>
    <row r="10" ht="15.75">
      <c r="A10" s="594" t="s">
        <v>776</v>
      </c>
    </row>
    <row r="11" ht="31.5">
      <c r="A11" s="593" t="s">
        <v>777</v>
      </c>
    </row>
    <row r="12" ht="15.75">
      <c r="A12" s="594" t="s">
        <v>778</v>
      </c>
    </row>
    <row r="13" ht="15.75">
      <c r="A13" s="594" t="s">
        <v>779</v>
      </c>
    </row>
    <row r="14" ht="15.75">
      <c r="A14" s="594" t="s">
        <v>780</v>
      </c>
    </row>
    <row r="15" ht="15.75">
      <c r="A15" s="594" t="s">
        <v>781</v>
      </c>
    </row>
    <row r="16" ht="15.75">
      <c r="A16" s="594" t="s">
        <v>782</v>
      </c>
    </row>
    <row r="17" ht="15.75">
      <c r="A17" s="594" t="s">
        <v>783</v>
      </c>
    </row>
    <row r="18" ht="15.75">
      <c r="A18" s="594" t="s">
        <v>784</v>
      </c>
    </row>
    <row r="19" ht="15.75">
      <c r="A19" s="594" t="s">
        <v>785</v>
      </c>
    </row>
    <row r="20" ht="15.75">
      <c r="A20" s="594" t="s">
        <v>786</v>
      </c>
    </row>
    <row r="21" ht="15.75">
      <c r="A21" s="594" t="s">
        <v>796</v>
      </c>
    </row>
    <row r="22" ht="15.75">
      <c r="A22" s="594" t="s">
        <v>787</v>
      </c>
    </row>
    <row r="23" ht="15.75">
      <c r="A23" s="594" t="s">
        <v>788</v>
      </c>
    </row>
    <row r="24" ht="15.75">
      <c r="A24" s="594" t="s">
        <v>789</v>
      </c>
    </row>
    <row r="25" ht="15.75">
      <c r="A25" s="594" t="s">
        <v>790</v>
      </c>
    </row>
    <row r="26" ht="15.75">
      <c r="A26" s="594" t="s">
        <v>791</v>
      </c>
    </row>
    <row r="27" ht="15.75">
      <c r="A27" s="594" t="s">
        <v>792</v>
      </c>
    </row>
    <row r="28" ht="15.75">
      <c r="A28" s="594" t="s">
        <v>793</v>
      </c>
    </row>
    <row r="29" ht="15.75">
      <c r="A29" s="594" t="s">
        <v>794</v>
      </c>
    </row>
    <row r="30" ht="15.75">
      <c r="A30" s="594" t="s">
        <v>795</v>
      </c>
    </row>
    <row r="31" ht="15.75">
      <c r="A31" s="594" t="s">
        <v>799</v>
      </c>
    </row>
    <row r="33" ht="15.75">
      <c r="A33" s="398" t="s">
        <v>640</v>
      </c>
    </row>
    <row r="34" ht="39" customHeight="1">
      <c r="A34" s="357" t="s">
        <v>641</v>
      </c>
    </row>
    <row r="35" ht="23.25" customHeight="1"/>
    <row r="36" ht="15.75">
      <c r="A36" s="398" t="s">
        <v>636</v>
      </c>
    </row>
    <row r="37" ht="15.75">
      <c r="A37" s="90" t="s">
        <v>637</v>
      </c>
    </row>
    <row r="38" ht="15.75">
      <c r="A38" s="90" t="s">
        <v>638</v>
      </c>
    </row>
    <row r="39" ht="15.75">
      <c r="A39" s="90" t="s">
        <v>639</v>
      </c>
    </row>
    <row r="41" ht="15.75">
      <c r="A41" s="401" t="s">
        <v>625</v>
      </c>
    </row>
    <row r="42" ht="15.75">
      <c r="A42" s="90" t="s">
        <v>635</v>
      </c>
    </row>
    <row r="44" ht="15.75">
      <c r="A44" s="398" t="s">
        <v>599</v>
      </c>
    </row>
    <row r="45" ht="15.75">
      <c r="A45" s="399" t="s">
        <v>600</v>
      </c>
    </row>
    <row r="46" ht="15.75">
      <c r="A46" s="399" t="s">
        <v>601</v>
      </c>
    </row>
    <row r="47" ht="15.75">
      <c r="A47" s="399" t="s">
        <v>602</v>
      </c>
    </row>
    <row r="48" ht="15.75">
      <c r="A48" s="397" t="s">
        <v>603</v>
      </c>
    </row>
    <row r="50" ht="15.75">
      <c r="A50" s="370"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7" t="s">
        <v>368</v>
      </c>
    </row>
    <row r="63" ht="15.75">
      <c r="A63" s="357" t="s">
        <v>377</v>
      </c>
    </row>
    <row r="64" ht="15.75">
      <c r="A64" s="372" t="s">
        <v>380</v>
      </c>
    </row>
    <row r="65" ht="15.75">
      <c r="A65" s="373" t="s">
        <v>381</v>
      </c>
    </row>
    <row r="67" ht="15.75">
      <c r="A67" s="370" t="s">
        <v>321</v>
      </c>
    </row>
    <row r="68" ht="15.75">
      <c r="A68" s="90" t="s">
        <v>322</v>
      </c>
    </row>
    <row r="69" ht="15.75">
      <c r="A69" s="90" t="s">
        <v>323</v>
      </c>
    </row>
    <row r="71" ht="15.75">
      <c r="A71" s="370" t="s">
        <v>319</v>
      </c>
    </row>
    <row r="72" ht="15.75">
      <c r="A72" s="90" t="s">
        <v>320</v>
      </c>
    </row>
    <row r="74" ht="15.75">
      <c r="A74" s="370" t="s">
        <v>317</v>
      </c>
    </row>
    <row r="75" ht="15.75">
      <c r="A75" s="90" t="s">
        <v>318</v>
      </c>
    </row>
    <row r="77" ht="15.75">
      <c r="A77" s="370"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7" t="s">
        <v>276</v>
      </c>
    </row>
    <row r="96" ht="15.75">
      <c r="A96" s="90" t="s">
        <v>261</v>
      </c>
    </row>
    <row r="97" ht="15.75">
      <c r="A97" s="90" t="s">
        <v>262</v>
      </c>
    </row>
    <row r="98" ht="15.75">
      <c r="A98" s="90" t="s">
        <v>263</v>
      </c>
    </row>
    <row r="99" ht="15.75">
      <c r="A99" s="90" t="s">
        <v>264</v>
      </c>
    </row>
    <row r="100" ht="31.5">
      <c r="A100" s="357" t="s">
        <v>244</v>
      </c>
    </row>
    <row r="101" ht="31.5">
      <c r="A101" s="357" t="s">
        <v>272</v>
      </c>
    </row>
    <row r="102" ht="31.5">
      <c r="A102" s="357" t="s">
        <v>265</v>
      </c>
    </row>
    <row r="103" ht="15.75">
      <c r="A103" s="357" t="s">
        <v>266</v>
      </c>
    </row>
    <row r="104" ht="31.5">
      <c r="A104" s="357"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7" t="s">
        <v>273</v>
      </c>
    </row>
    <row r="110" ht="38.25" customHeight="1">
      <c r="A110" s="357" t="s">
        <v>238</v>
      </c>
    </row>
    <row r="111" ht="33.75" customHeight="1">
      <c r="A111" s="357" t="s">
        <v>245</v>
      </c>
    </row>
    <row r="112" ht="33.75" customHeight="1">
      <c r="A112" s="357" t="s">
        <v>239</v>
      </c>
    </row>
    <row r="113" ht="33.75" customHeight="1">
      <c r="A113" s="357" t="s">
        <v>240</v>
      </c>
    </row>
    <row r="114" ht="33.75" customHeight="1">
      <c r="A114" s="357" t="s">
        <v>241</v>
      </c>
    </row>
    <row r="115" ht="31.5">
      <c r="A115" s="357" t="s">
        <v>242</v>
      </c>
    </row>
    <row r="116" ht="31.5">
      <c r="A116" s="357" t="s">
        <v>246</v>
      </c>
    </row>
    <row r="117" ht="31.5">
      <c r="A117" s="357" t="s">
        <v>243</v>
      </c>
    </row>
    <row r="118" ht="31.5">
      <c r="A118" s="357" t="s">
        <v>247</v>
      </c>
    </row>
    <row r="119" ht="15.75">
      <c r="A119" s="357" t="s">
        <v>253</v>
      </c>
    </row>
    <row r="121" ht="15.75">
      <c r="A121" s="90" t="s">
        <v>193</v>
      </c>
    </row>
    <row r="122" ht="47.25">
      <c r="A122" s="357"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7"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10" t="s">
        <v>382</v>
      </c>
      <c r="B2" s="611"/>
      <c r="C2" s="611"/>
      <c r="D2" s="611"/>
      <c r="E2" s="611"/>
      <c r="F2" s="611"/>
    </row>
    <row r="4" spans="1:6" ht="15.75">
      <c r="A4" s="380"/>
      <c r="B4" s="380"/>
      <c r="C4" s="380"/>
      <c r="D4" s="382"/>
      <c r="E4" s="380"/>
      <c r="F4" s="380"/>
    </row>
    <row r="5" spans="1:6" ht="15.75">
      <c r="A5" s="381" t="s">
        <v>383</v>
      </c>
      <c r="B5" s="383" t="s">
        <v>819</v>
      </c>
      <c r="C5" s="384"/>
      <c r="D5" s="381" t="s">
        <v>798</v>
      </c>
      <c r="E5" s="380"/>
      <c r="F5" s="380"/>
    </row>
    <row r="6" spans="1:6" ht="15.75">
      <c r="A6" s="381"/>
      <c r="B6" s="385"/>
      <c r="C6" s="386"/>
      <c r="D6" s="381" t="s">
        <v>797</v>
      </c>
      <c r="E6" s="380"/>
      <c r="F6" s="380"/>
    </row>
    <row r="7" spans="1:6" ht="15.75">
      <c r="A7" s="381" t="s">
        <v>384</v>
      </c>
      <c r="B7" s="383" t="s">
        <v>820</v>
      </c>
      <c r="C7" s="387"/>
      <c r="D7" s="381"/>
      <c r="E7" s="380"/>
      <c r="F7" s="380"/>
    </row>
    <row r="8" spans="1:6" ht="15.75">
      <c r="A8" s="381"/>
      <c r="B8" s="381"/>
      <c r="C8" s="381"/>
      <c r="D8" s="381"/>
      <c r="E8" s="380"/>
      <c r="F8" s="380"/>
    </row>
    <row r="9" spans="1:6" ht="15.75">
      <c r="A9" s="381" t="s">
        <v>385</v>
      </c>
      <c r="B9" s="388" t="s">
        <v>821</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809</v>
      </c>
      <c r="C12" s="388"/>
      <c r="D12" s="388"/>
      <c r="E12" s="389"/>
      <c r="F12" s="380"/>
    </row>
    <row r="15" spans="1:6" ht="15.75">
      <c r="A15" s="612" t="s">
        <v>387</v>
      </c>
      <c r="B15" s="612"/>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4">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153</v>
      </c>
      <c r="C4" s="155"/>
      <c r="D4" s="155"/>
      <c r="E4" s="155"/>
      <c r="F4" s="155"/>
      <c r="G4" s="155"/>
    </row>
    <row r="5" s="14" customFormat="1" ht="15.75">
      <c r="D5" s="424" t="str">
        <f>inputPrYr!D2</f>
        <v>Solomon Rapids Township</v>
      </c>
    </row>
    <row r="6" spans="2:7" s="14" customFormat="1" ht="15.75">
      <c r="B6" s="622" t="s">
        <v>151</v>
      </c>
      <c r="C6" s="623"/>
      <c r="D6" s="623"/>
      <c r="E6" s="623"/>
      <c r="F6" s="623"/>
      <c r="G6" s="623"/>
    </row>
    <row r="7" spans="2:7" s="14" customFormat="1" ht="15.75" customHeight="1">
      <c r="B7" s="624" t="s">
        <v>152</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287</v>
      </c>
      <c r="F12" s="616" t="str">
        <f>CONCATENATE("Amount of ",H1-1," Ad Valorem Tax")</f>
        <v>Amount of 2011 Ad Valorem Tax</v>
      </c>
      <c r="G12" s="23" t="s">
        <v>288</v>
      </c>
    </row>
    <row r="13" spans="4:7" s="14" customFormat="1" ht="15.75">
      <c r="D13" s="23" t="s">
        <v>289</v>
      </c>
      <c r="E13" s="579" t="s">
        <v>217</v>
      </c>
      <c r="F13" s="617"/>
      <c r="G13" s="166" t="s">
        <v>290</v>
      </c>
    </row>
    <row r="14" spans="2:7" s="14" customFormat="1" ht="15.75">
      <c r="B14" s="81" t="s">
        <v>291</v>
      </c>
      <c r="C14" s="20"/>
      <c r="D14" s="26" t="s">
        <v>292</v>
      </c>
      <c r="E14" s="580" t="s">
        <v>746</v>
      </c>
      <c r="F14" s="618"/>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IF(gen!C53&gt;0,gen!C53,"  ")</f>
        <v>6</v>
      </c>
      <c r="E20" s="170">
        <f>IF(gen!$E$42&lt;&gt;0,gen!$E$42,"  ")</f>
        <v>1035</v>
      </c>
      <c r="F20" s="170">
        <f>IF(gen!$E$49&lt;&gt;0,gen!$E$49,0)</f>
        <v>0</v>
      </c>
      <c r="G20" s="167" t="str">
        <f>IF(AND(gen!E49=0,$C$38&gt;=0),"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IF(road!C63&gt;0,road!C63,"  ")</f>
        <v>7</v>
      </c>
      <c r="E22" s="170">
        <f>IF(road!$E$39&lt;&gt;0,road!$E$39,"  ")</f>
        <v>46850</v>
      </c>
      <c r="F22" s="170">
        <f>IF(road!$E$46&lt;&gt;0,road!$E$46,"  ")</f>
        <v>34425</v>
      </c>
      <c r="G22" s="167" t="str">
        <f>IF(AND(road!E46=0,$C$38&gt;=0),"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IF(road!C63&gt;0,road!C63,"  ")</f>
        <v>7</v>
      </c>
      <c r="E32" s="189"/>
      <c r="F32" s="189"/>
      <c r="G32" s="167"/>
    </row>
    <row r="33" spans="2:7" s="14" customFormat="1" ht="16.5" thickBot="1">
      <c r="B33" s="287" t="s">
        <v>298</v>
      </c>
      <c r="C33" s="288"/>
      <c r="D33" s="169" t="s">
        <v>299</v>
      </c>
      <c r="E33" s="289">
        <f>SUM(E20:E28)</f>
        <v>47885</v>
      </c>
      <c r="F33" s="289">
        <f>SUM(F20:F28)</f>
        <v>34425</v>
      </c>
      <c r="G33" s="290">
        <f>IF(SUM(G20:G28)&gt;0,SUM(G20:G28),"")</f>
      </c>
    </row>
    <row r="34" spans="2:4" s="14" customFormat="1" ht="16.5" thickTop="1">
      <c r="B34" s="27" t="s">
        <v>172</v>
      </c>
      <c r="C34" s="280"/>
      <c r="D34" s="285">
        <f>summ!D33</f>
        <v>8</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26" t="s">
        <v>125</v>
      </c>
      <c r="D37" s="627"/>
      <c r="E37" s="295"/>
      <c r="G37" s="22" t="s">
        <v>300</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301</v>
      </c>
      <c r="E40" s="19"/>
      <c r="G40" s="22"/>
    </row>
    <row r="41" spans="2:7" s="14" customFormat="1" ht="15.75">
      <c r="B41" s="298" t="s">
        <v>805</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806</v>
      </c>
      <c r="C44" s="298"/>
      <c r="D44" s="22"/>
    </row>
    <row r="45" spans="2:7" s="14" customFormat="1" ht="15.75">
      <c r="B45" s="299" t="s">
        <v>807</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150</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303</v>
      </c>
      <c r="C52" s="14"/>
      <c r="D52" s="14"/>
      <c r="E52" s="613" t="s">
        <v>302</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Solomon Rapids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33467</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33467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34146</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32374</v>
      </c>
      <c r="F14" s="267"/>
      <c r="G14" s="55"/>
      <c r="H14" s="55"/>
      <c r="I14" s="53"/>
      <c r="J14" s="55"/>
    </row>
    <row r="15" spans="1:10" ht="15.75">
      <c r="A15" s="266"/>
      <c r="B15" s="14" t="s">
        <v>88</v>
      </c>
      <c r="C15" s="14" t="str">
        <f>CONCATENATE("Personal Property ",J1-2,"")</f>
        <v>Personal Property 2010</v>
      </c>
      <c r="D15" s="266" t="s">
        <v>83</v>
      </c>
      <c r="E15" s="270">
        <f>inputOth!E11</f>
        <v>34387</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13913</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48059</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1726100</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1678041</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0.028639943839274488</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958</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34425</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34425</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Solomon Rapids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236</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33467</v>
      </c>
      <c r="E13" s="250">
        <f>IF(inputOth!D19&gt;0,inputOth!D19,"  ")</f>
        <v>20.243</v>
      </c>
      <c r="F13" s="251"/>
      <c r="G13" s="95">
        <f>IF(inputPrYr!E18=0,0,ROUND(D13*$G$30,0))</f>
        <v>1859</v>
      </c>
      <c r="H13" s="252"/>
      <c r="I13" s="95">
        <f>IF(inputPrYr!$E$18=0,0,ROUND($D$13*$I$32,0))</f>
        <v>25</v>
      </c>
      <c r="J13" s="95">
        <f>IF(inputPrYr!E18=0,0,ROUND($D13*$J$34,0))</f>
        <v>351</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33467</v>
      </c>
      <c r="E20" s="256">
        <f>SUM(E11:E19)</f>
        <v>20.243</v>
      </c>
      <c r="F20" s="257"/>
      <c r="G20" s="255">
        <f>SUM(G11:G19)</f>
        <v>1859</v>
      </c>
      <c r="H20" s="255"/>
      <c r="I20" s="255">
        <f>SUM(I11:I19)</f>
        <v>25</v>
      </c>
      <c r="J20" s="255">
        <f>SUM(J11:J19)</f>
        <v>351</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1859</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25</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351</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0.055547255505423256</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0.0007470045119072519</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0.010487943347177817</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Solomon Rapids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173</v>
      </c>
      <c r="B5" s="615"/>
      <c r="C5" s="615"/>
      <c r="D5" s="615"/>
      <c r="E5" s="615"/>
      <c r="F5" s="615"/>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gen!$C$35</f>
        <v>0</v>
      </c>
      <c r="D11" s="237">
        <f>gen!$D$35</f>
        <v>0</v>
      </c>
      <c r="E11" s="237">
        <f>gen!$E$35</f>
        <v>0</v>
      </c>
      <c r="F11" s="83">
        <f>IF(C11+D11+E11&gt;0,"80-1406b","")</f>
      </c>
    </row>
    <row r="12" spans="1:6" ht="15" customHeight="1">
      <c r="A12" s="83" t="s">
        <v>258</v>
      </c>
      <c r="B12" s="83" t="s">
        <v>297</v>
      </c>
      <c r="C12" s="237">
        <f>gen!$C$37</f>
        <v>0</v>
      </c>
      <c r="D12" s="237">
        <f>gen!$D$37</f>
        <v>0</v>
      </c>
      <c r="E12" s="237">
        <f>gen!$E$37</f>
        <v>0</v>
      </c>
      <c r="F12" s="83">
        <f>IF(C12+D12+E12&gt;0,"80-122","")</f>
      </c>
    </row>
    <row r="13" spans="1:6" ht="15" customHeight="1">
      <c r="A13" s="83" t="s">
        <v>284</v>
      </c>
      <c r="B13" s="83" t="s">
        <v>297</v>
      </c>
      <c r="C13" s="237">
        <f>road!$C$34</f>
        <v>5000</v>
      </c>
      <c r="D13" s="237">
        <f>road!$D$34</f>
        <v>0</v>
      </c>
      <c r="E13" s="237">
        <f>road!$E$34</f>
        <v>0</v>
      </c>
      <c r="F13" s="83" t="str">
        <f>IF(C13+D13+E13&gt;0,"68-141g","")</f>
        <v>68-141g</v>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5000</v>
      </c>
      <c r="D27" s="242">
        <f>SUM(D10:D26)</f>
        <v>0</v>
      </c>
      <c r="E27" s="242">
        <f>SUM(E10:E26)</f>
        <v>0</v>
      </c>
      <c r="F27" s="139"/>
    </row>
    <row r="28" spans="1:6" ht="15.75">
      <c r="A28" s="139"/>
      <c r="B28" s="241" t="s">
        <v>630</v>
      </c>
      <c r="C28" s="139"/>
      <c r="D28" s="238"/>
      <c r="E28" s="238"/>
      <c r="F28" s="139"/>
    </row>
    <row r="29" spans="1:6" ht="15.75">
      <c r="A29" s="139"/>
      <c r="B29" s="189" t="s">
        <v>181</v>
      </c>
      <c r="C29" s="243">
        <f>C27</f>
        <v>5000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738</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739</v>
      </c>
    </row>
    <row r="13" ht="15.75">
      <c r="A13" s="174"/>
    </row>
    <row r="14" ht="15.75">
      <c r="A14" s="174"/>
    </row>
    <row r="15" ht="63">
      <c r="A15" s="529"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2011-07-19T20:29:35Z</cp:lastPrinted>
  <dcterms:created xsi:type="dcterms:W3CDTF">1998-08-26T16:30:41Z</dcterms:created>
  <dcterms:modified xsi:type="dcterms:W3CDTF">2011-07-19T20:31:23Z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