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3"/>
  </bookViews>
  <sheets>
    <sheet name="instructions" sheetId="1" r:id="rId1"/>
    <sheet name="inputPrYr" sheetId="2" r:id="rId2"/>
    <sheet name="inputOth" sheetId="3" r:id="rId3"/>
    <sheet name="inputBudSum" sheetId="4" r:id="rId4"/>
    <sheet name="SCert" sheetId="5" r:id="rId5"/>
    <sheet name="cert" sheetId="6" r:id="rId6"/>
    <sheet name="NPub" sheetId="7" r:id="rId7"/>
    <sheet name="computation" sheetId="8" r:id="rId8"/>
    <sheet name="mvalloc" sheetId="9" r:id="rId9"/>
    <sheet name="transfer" sheetId="10" r:id="rId10"/>
    <sheet name="TransferStatutes" sheetId="11" r:id="rId11"/>
    <sheet name="debt-lease" sheetId="12" r:id="rId12"/>
    <sheet name="gen"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'DebtService'!$B$1:$E$62</definedName>
    <definedName name="_xlnm.Print_Area" localSheetId="12">'gen'!$B$1:$E$61</definedName>
    <definedName name="_xlnm.Print_Area" localSheetId="1">'inputPrYr'!$A$1:$E$83</definedName>
    <definedName name="_xlnm.Print_Area" localSheetId="14">'road'!$B$1:$F$68</definedName>
    <definedName name="_xlnm.Print_Area" localSheetId="21">'summ'!$B$1:$I$47</definedName>
  </definedNames>
  <calcPr fullCalcOnLoad="1"/>
</workbook>
</file>

<file path=xl/sharedStrings.xml><?xml version="1.0" encoding="utf-8"?>
<sst xmlns="http://schemas.openxmlformats.org/spreadsheetml/2006/main" count="1370" uniqueCount="820">
  <si>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</si>
  <si>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</si>
  <si>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</si>
  <si>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</si>
  <si>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</si>
  <si>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</si>
  <si>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</si>
  <si>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</si>
  <si>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</si>
  <si>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</si>
  <si>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</si>
  <si>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</si>
  <si>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</si>
  <si>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</si>
  <si>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</si>
  <si>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</si>
  <si>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</si>
  <si>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</si>
  <si>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</si>
  <si>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</si>
  <si>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</si>
  <si>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</si>
  <si>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</si>
  <si>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</si>
  <si>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</si>
  <si>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</si>
  <si>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</si>
  <si>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</si>
  <si>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</si>
  <si>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</si>
  <si>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</si>
  <si>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</si>
  <si>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</si>
  <si>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</si>
  <si>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</si>
  <si>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</si>
  <si>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</si>
  <si>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</si>
  <si>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</si>
  <si>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</si>
  <si>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</si>
  <si>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</si>
  <si>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</si>
  <si>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</si>
  <si>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</si>
  <si>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</si>
  <si>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</si>
  <si>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</si>
  <si>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</si>
  <si>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</si>
  <si>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</si>
  <si>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</si>
  <si>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</si>
  <si>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</si>
  <si>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</si>
  <si>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</si>
  <si>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</si>
  <si>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</si>
  <si>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</si>
  <si>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</si>
  <si>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</si>
  <si>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</si>
  <si>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</si>
  <si>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</si>
  <si>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</si>
  <si>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</si>
  <si>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</si>
  <si>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</si>
  <si>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</si>
  <si>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</si>
  <si>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</si>
  <si>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</si>
  <si>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</si>
  <si>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</si>
  <si>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</si>
  <si>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</si>
  <si>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</si>
  <si>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</si>
  <si>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</si>
  <si>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</si>
  <si>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</si>
  <si>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</si>
  <si>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</si>
  <si>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</si>
  <si>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</si>
  <si>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</si>
  <si>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</si>
  <si>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</si>
  <si>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</si>
  <si>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</si>
  <si>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</si>
  <si>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</si>
  <si>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</si>
  <si>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</si>
  <si>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</si>
  <si>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</si>
  <si>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</si>
  <si>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</si>
  <si>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</si>
  <si>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</si>
  <si>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</si>
  <si>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</si>
  <si>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</si>
  <si>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</si>
  <si>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</si>
  <si>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</si>
  <si>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</si>
  <si>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</si>
  <si>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</si>
  <si>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</si>
  <si>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</si>
  <si>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</si>
  <si>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</si>
  <si>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</si>
  <si>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</si>
  <si>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</si>
  <si>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</si>
  <si>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</si>
  <si>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</si>
  <si>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</si>
  <si>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</si>
  <si>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</si>
  <si>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</si>
  <si>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</si>
  <si>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</si>
  <si>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</si>
  <si>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</si>
  <si>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</si>
  <si>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</si>
  <si>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</si>
  <si>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</si>
  <si>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</si>
  <si>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</si>
  <si>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</si>
  <si>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</si>
  <si>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</si>
  <si>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</si>
  <si>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</si>
  <si>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</si>
  <si>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</si>
  <si>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</si>
  <si>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</si>
  <si>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</si>
  <si>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</si>
  <si>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</si>
  <si>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</si>
  <si>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</si>
  <si>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</si>
  <si>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</si>
  <si>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</si>
  <si>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</si>
  <si>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</si>
  <si>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</si>
  <si>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</si>
  <si>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</si>
  <si>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</si>
  <si>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</si>
  <si>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</si>
  <si>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</si>
  <si>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</si>
  <si>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</si>
  <si>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</si>
  <si>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</si>
  <si>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</si>
  <si>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</si>
  <si>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</si>
  <si>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</si>
  <si>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</si>
  <si>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</si>
  <si>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</si>
  <si>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</si>
  <si>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</si>
  <si>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</si>
  <si>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</si>
  <si>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</si>
  <si>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</si>
  <si>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</si>
  <si>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</si>
  <si>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</si>
  <si>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</si>
  <si>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</si>
  <si>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</si>
  <si>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</si>
  <si>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</si>
  <si>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</si>
  <si>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</si>
  <si>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</si>
  <si>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</si>
  <si>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</si>
  <si>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</si>
  <si>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</si>
  <si>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</si>
  <si>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</si>
  <si>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</si>
  <si>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</si>
  <si>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</si>
  <si>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</si>
  <si>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</si>
  <si>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</si>
  <si>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</si>
  <si>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</si>
  <si>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</si>
  <si>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</si>
  <si>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</si>
  <si>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</si>
  <si>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</si>
  <si>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</si>
  <si>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</si>
  <si>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</si>
  <si>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</si>
  <si>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</si>
  <si>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</si>
  <si>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</si>
  <si>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</si>
  <si>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</si>
  <si>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</si>
  <si>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</si>
  <si>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</si>
  <si>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</si>
  <si>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</si>
  <si>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</si>
  <si>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</si>
  <si>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</si>
  <si>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</si>
  <si>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</si>
  <si>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</si>
  <si>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</si>
  <si>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</si>
  <si>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</si>
  <si>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</si>
  <si>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</si>
  <si>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</si>
  <si>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</si>
  <si>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</si>
  <si>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</si>
  <si>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</si>
  <si>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</si>
  <si>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</si>
  <si>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</si>
  <si>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</si>
  <si>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</si>
  <si>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</si>
  <si>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</si>
  <si>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</si>
  <si>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</si>
  <si>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</si>
  <si>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</si>
  <si>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</si>
  <si>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</si>
  <si>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</si>
  <si>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</si>
  <si>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</si>
  <si>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</si>
  <si>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</si>
  <si>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</si>
  <si>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</si>
  <si>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</si>
  <si>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</si>
  <si>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</si>
  <si>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</si>
  <si>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</si>
  <si>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</si>
  <si>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</si>
  <si>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</si>
  <si>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</si>
  <si>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</si>
  <si>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</si>
  <si>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</si>
  <si>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</si>
  <si>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</si>
  <si>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</si>
  <si>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</si>
  <si>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</si>
  <si>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</si>
  <si>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</si>
  <si>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</si>
  <si>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</si>
  <si>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</si>
  <si>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</si>
  <si>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</si>
  <si>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</si>
  <si>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</si>
  <si>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</si>
  <si>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</si>
  <si>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</si>
  <si>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</si>
  <si>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</si>
  <si>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</si>
  <si>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</si>
  <si>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</si>
  <si>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</si>
  <si>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</si>
  <si>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</si>
  <si>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</si>
  <si>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</si>
  <si>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</si>
  <si>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</si>
  <si>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</si>
  <si>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</si>
  <si>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</si>
  <si>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</si>
  <si>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</si>
  <si>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</si>
  <si>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</si>
  <si>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</si>
  <si>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</si>
  <si>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</si>
  <si>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</si>
  <si>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</si>
  <si>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</si>
  <si>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</si>
  <si>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</si>
  <si>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</si>
  <si>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</si>
  <si>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</si>
  <si>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</si>
  <si>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</si>
  <si>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</si>
  <si>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</si>
  <si>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</si>
  <si>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</si>
  <si>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</si>
  <si>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</si>
  <si>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</si>
  <si>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</si>
  <si>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</si>
  <si>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</si>
  <si>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</si>
  <si>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</si>
  <si>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</si>
  <si>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</si>
  <si>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</si>
  <si>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</si>
  <si>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</si>
  <si>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</si>
  <si>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</si>
  <si>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</si>
  <si>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</si>
  <si>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</si>
  <si>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</si>
  <si>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</si>
  <si>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</si>
  <si>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</si>
  <si>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</si>
  <si>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</si>
  <si>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</si>
  <si>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</si>
  <si>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</si>
  <si>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</si>
  <si>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</si>
  <si>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</si>
  <si>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</si>
  <si>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</si>
  <si>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</si>
  <si>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</si>
  <si>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</si>
  <si>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</si>
  <si>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</si>
  <si>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</si>
  <si>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</si>
  <si>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</si>
  <si>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</si>
  <si>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</si>
  <si>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</si>
  <si>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</si>
  <si>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</si>
  <si>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</si>
  <si>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</si>
  <si>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</si>
  <si>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</si>
  <si>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</si>
  <si>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</si>
  <si>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</si>
  <si>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</si>
  <si>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</si>
  <si>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</si>
  <si>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</si>
  <si>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</si>
  <si>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</si>
  <si>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</si>
  <si>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</si>
  <si>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</si>
  <si>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</si>
  <si>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</si>
  <si>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</si>
  <si>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</si>
  <si>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</si>
  <si>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</si>
  <si>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</si>
  <si>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</si>
  <si>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</si>
  <si>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</si>
  <si>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</si>
  <si>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</si>
  <si>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</si>
  <si>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</si>
  <si>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</si>
  <si>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</si>
  <si>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</si>
  <si>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</si>
  <si>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</si>
  <si>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</si>
  <si>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</si>
  <si>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</si>
  <si>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</si>
  <si>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</si>
  <si>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</si>
  <si>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</si>
  <si>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</si>
  <si>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</si>
  <si>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</si>
  <si>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</si>
  <si>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</si>
  <si>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</si>
  <si>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</si>
  <si>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</si>
  <si>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</si>
  <si>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</si>
  <si>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</si>
  <si>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</si>
  <si>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</si>
  <si>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</si>
  <si>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</si>
  <si>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</si>
  <si>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</si>
  <si>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</si>
  <si>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</si>
  <si>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</si>
  <si>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</si>
  <si>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</si>
  <si>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</si>
  <si>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</si>
  <si>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</si>
  <si>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</si>
  <si>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</si>
  <si>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</si>
  <si>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</si>
  <si>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</si>
  <si>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</si>
  <si>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</si>
  <si>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</si>
  <si>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</si>
  <si>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</si>
  <si>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</si>
  <si>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</si>
  <si>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</si>
  <si>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</si>
  <si>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</si>
  <si>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</si>
  <si>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</si>
  <si>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</si>
  <si>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</si>
  <si>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</si>
  <si>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</si>
  <si>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</si>
  <si>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</si>
  <si>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</si>
  <si>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</si>
  <si>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</si>
  <si>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</si>
  <si>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</si>
  <si>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</si>
  <si>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</si>
  <si>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</si>
  <si>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</si>
  <si>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</si>
  <si>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</si>
  <si>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</si>
  <si>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</si>
  <si>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</si>
  <si>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</si>
  <si>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</si>
  <si>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</si>
  <si>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</si>
  <si>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</si>
  <si>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</si>
  <si>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</si>
  <si>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</si>
  <si>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</si>
  <si>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</si>
  <si>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</si>
  <si>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</si>
  <si>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</si>
  <si>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</si>
  <si>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</si>
  <si>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</si>
  <si>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</si>
  <si>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</si>
  <si>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</si>
  <si>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</si>
  <si>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</si>
  <si>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</si>
  <si>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</si>
  <si>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</si>
  <si>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</si>
  <si>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</si>
  <si>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</si>
  <si>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</si>
  <si>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</si>
  <si>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</si>
  <si>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</si>
  <si>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</si>
  <si>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</si>
  <si>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</si>
  <si>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</si>
  <si>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</si>
  <si>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</si>
  <si>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</si>
  <si>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</si>
  <si>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</si>
  <si>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</si>
  <si>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</si>
  <si>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</si>
  <si>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</si>
  <si>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</si>
  <si>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</si>
  <si>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</si>
  <si>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</si>
  <si>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</si>
  <si>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</si>
  <si>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</si>
  <si>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</si>
  <si>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</si>
  <si>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</si>
  <si>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</si>
  <si>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</si>
  <si>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</si>
  <si>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</si>
  <si>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</si>
  <si>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</si>
  <si>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</si>
  <si>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</si>
  <si>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</si>
  <si>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</si>
  <si>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</si>
  <si>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</si>
  <si>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</si>
  <si>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</si>
  <si>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</si>
  <si>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</si>
  <si>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</si>
  <si>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</si>
  <si>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</si>
  <si>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</si>
  <si>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</si>
  <si>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</si>
  <si>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</si>
  <si>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</si>
  <si>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</si>
  <si>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</si>
  <si>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</si>
  <si>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</si>
  <si>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</si>
  <si>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</si>
  <si>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</si>
  <si>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</si>
  <si>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</si>
  <si>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</si>
  <si>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</si>
  <si>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</si>
  <si>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</si>
  <si>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</si>
  <si>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</si>
  <si>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</si>
  <si>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</si>
  <si>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</si>
  <si>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</si>
  <si>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</si>
  <si>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</si>
  <si>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</si>
  <si>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</si>
  <si>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</si>
  <si>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</si>
  <si>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</si>
  <si>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</si>
  <si>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</si>
  <si>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</si>
  <si>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</si>
  <si>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</si>
  <si>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</si>
  <si>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</si>
  <si>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</si>
  <si>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</si>
  <si>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</si>
  <si>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</si>
  <si>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</si>
  <si>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</si>
  <si>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</si>
  <si>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</si>
  <si>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</si>
  <si>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</si>
  <si>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</si>
  <si>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</si>
  <si>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</si>
  <si>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</si>
  <si>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</si>
  <si>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</si>
  <si>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</si>
  <si>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</si>
  <si>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</si>
  <si>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</si>
  <si>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</si>
  <si>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</si>
  <si>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</si>
  <si>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</si>
  <si>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</si>
  <si>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</si>
  <si>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</si>
  <si>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</si>
  <si>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</si>
  <si>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</si>
  <si>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</si>
  <si>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</si>
  <si>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</si>
  <si>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</si>
  <si>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</si>
  <si>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</si>
  <si>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</si>
  <si>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</si>
  <si>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</si>
  <si>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</si>
  <si>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</si>
  <si>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</si>
  <si>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</si>
  <si>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</si>
  <si>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</si>
  <si>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</si>
  <si>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</si>
  <si>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</si>
  <si>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</si>
  <si>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</si>
  <si>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</si>
  <si>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</si>
  <si>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</si>
  <si>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</si>
  <si>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</si>
  <si>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</si>
  <si>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</si>
  <si>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</si>
  <si>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</si>
  <si>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</si>
  <si>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</si>
  <si>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</si>
  <si>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</si>
  <si>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</si>
  <si>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</si>
  <si>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</si>
  <si>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</si>
  <si>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</si>
  <si>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</si>
  <si>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</si>
  <si>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</si>
  <si>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</si>
  <si>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</si>
  <si>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</si>
  <si>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</si>
  <si>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</si>
  <si>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</si>
  <si>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</si>
  <si>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</si>
  <si>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</si>
  <si>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</si>
  <si>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</si>
  <si>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</si>
  <si>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</si>
  <si>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</si>
  <si>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</si>
  <si>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</si>
  <si>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</si>
  <si>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</si>
  <si>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</si>
  <si>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</si>
  <si>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</si>
  <si>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</si>
  <si>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</si>
  <si>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</si>
  <si>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</si>
  <si>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</si>
  <si>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</si>
  <si>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</si>
  <si>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</si>
  <si>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</si>
  <si>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</si>
  <si>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</si>
  <si>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</si>
  <si>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</si>
  <si>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</si>
  <si>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</si>
  <si>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</si>
  <si>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</si>
  <si>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</si>
  <si>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</si>
  <si>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</si>
  <si>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</si>
  <si>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</si>
  <si>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</si>
  <si>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</si>
  <si>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</si>
  <si>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</si>
  <si>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</si>
  <si>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</si>
  <si>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</si>
  <si>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</si>
  <si>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</si>
  <si>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</si>
  <si>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</si>
  <si>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</si>
  <si>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</si>
  <si>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</si>
  <si>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</si>
  <si>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</si>
  <si>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</si>
  <si>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</si>
  <si>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</si>
  <si>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</si>
  <si>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</si>
  <si>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</si>
  <si>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</si>
  <si>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</si>
  <si>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</si>
  <si>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</si>
  <si>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</si>
  <si>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</si>
  <si>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</si>
  <si>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</si>
  <si>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</si>
  <si>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</si>
  <si>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</si>
  <si>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</si>
  <si>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</si>
  <si>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</si>
  <si>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</si>
  <si>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</si>
  <si>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</si>
  <si>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</si>
  <si>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</si>
  <si>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</si>
  <si>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</si>
  <si>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</si>
  <si>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</si>
  <si>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</si>
  <si>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</si>
  <si>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</si>
  <si>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</si>
  <si>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</si>
  <si>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</si>
  <si>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</si>
  <si>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</si>
  <si>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</si>
  <si>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</si>
  <si>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</si>
  <si>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</si>
  <si>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</si>
  <si>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</si>
  <si>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</si>
  <si>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</si>
  <si>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</si>
  <si>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</si>
  <si>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</si>
  <si>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</si>
  <si>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</si>
  <si>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</si>
  <si>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</si>
  <si>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</si>
  <si>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</si>
  <si>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</si>
  <si>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</si>
  <si>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</si>
  <si>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</si>
  <si>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</si>
  <si>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</si>
  <si>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</si>
  <si>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</si>
  <si>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</si>
  <si>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</si>
  <si>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</si>
  <si>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</si>
  <si>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</si>
  <si>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</si>
  <si>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</si>
  <si>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</si>
  <si>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</si>
  <si>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</si>
  <si>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</si>
  <si>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</si>
  <si>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</si>
  <si>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</si>
  <si>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</si>
  <si>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</si>
  <si>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</si>
  <si>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</si>
  <si>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</si>
  <si>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</si>
  <si>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</si>
  <si>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</si>
  <si>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</si>
  <si>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</si>
  <si>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</si>
  <si>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</si>
  <si>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</si>
  <si>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</si>
  <si>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</si>
  <si>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</si>
  <si>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</si>
  <si>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</si>
  <si>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</si>
  <si>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</si>
  <si>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</si>
  <si>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</si>
  <si>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</si>
  <si>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</si>
  <si>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</si>
  <si>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</si>
  <si>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</si>
  <si>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Logansport Township</t>
  </si>
  <si>
    <t>Logan</t>
  </si>
  <si>
    <t>8:00 p.m.</t>
  </si>
  <si>
    <t>Mike Kough Residence @ 1110 CR 290, Russell Springs, KS</t>
  </si>
  <si>
    <t>August 15, 2011</t>
  </si>
  <si>
    <t>Mike Kough, Trustee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</si>
</sst>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twoCellAnchor editAs="oneCell">
    <xdr:from>
      <xdr:col>0</xdr:col>
      <xdr:colOff>0</xdr:colOff>
      <xdr:row>85</xdr:row>
      <xdr:rowOff>0</xdr:rowOff>
    </xdr:from>
    <xdr:to>
      <xdr:col>14</xdr:col>
      <xdr:colOff>409575</xdr:colOff>
      <xdr:row>168</xdr:row>
      <xdr:rowOff>85725</xdr:rowOff>
    </xdr:to>
    <xdr:pic>
      <xdr:nvPicPr>
        <xdr:cNvPr id="2" name="Picture 2"/>
        <xdr:cNvPicPr preferRelativeResize="1">
          <a:picLocks noChangeAspect="1"/>
        </xdr:cNvPicPr>
      </xdr:nvPicPr>
      <xdr:blipFill>
        <a:blip r:embed="rId2"/>
        <a:stretch>
          <a:fillRect/>
        </a:stretch>
      </xdr:blipFill>
      <xdr:spPr>
        <a:xfrm>
          <a:off x="0" y="17002125"/>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Logansport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Logansport Township</v>
      </c>
      <c r="B1" s="179"/>
      <c r="C1" s="179"/>
      <c r="D1" s="179"/>
      <c r="E1" s="179"/>
      <c r="F1" s="179"/>
      <c r="G1" s="179"/>
      <c r="H1" s="179"/>
      <c r="I1" s="14"/>
      <c r="J1" s="14"/>
      <c r="K1" s="15">
        <f>inputPrYr!D5</f>
        <v>2012</v>
      </c>
    </row>
    <row r="2" spans="1:11" ht="15.75">
      <c r="A2" s="178" t="str">
        <f>inputPrYr!$D$3</f>
        <v>Logan</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3">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Logansport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2074</v>
      </c>
      <c r="D6" s="418">
        <f>C51</f>
        <v>4488</v>
      </c>
      <c r="E6" s="32">
        <f>D51</f>
        <v>4483</v>
      </c>
    </row>
    <row r="7" spans="2:5" ht="15.75">
      <c r="B7" s="27" t="s">
        <v>124</v>
      </c>
      <c r="C7" s="418"/>
      <c r="D7" s="418"/>
      <c r="E7" s="33"/>
    </row>
    <row r="8" spans="2:5" ht="15.75">
      <c r="B8" s="27" t="s">
        <v>16</v>
      </c>
      <c r="C8" s="29">
        <v>3445</v>
      </c>
      <c r="D8" s="418">
        <f>inputPrYr!E16</f>
        <v>3000</v>
      </c>
      <c r="E8" s="33" t="s">
        <v>302</v>
      </c>
    </row>
    <row r="9" spans="2:5" ht="15.75">
      <c r="B9" s="27" t="s">
        <v>17</v>
      </c>
      <c r="C9" s="29"/>
      <c r="D9" s="29"/>
      <c r="E9" s="34"/>
    </row>
    <row r="10" spans="2:5" ht="15.75">
      <c r="B10" s="27" t="s">
        <v>18</v>
      </c>
      <c r="C10" s="29">
        <v>35</v>
      </c>
      <c r="D10" s="29">
        <v>140</v>
      </c>
      <c r="E10" s="32">
        <f>mvalloc!G11</f>
        <v>57</v>
      </c>
    </row>
    <row r="11" spans="2:5" ht="15.75">
      <c r="B11" s="27" t="s">
        <v>19</v>
      </c>
      <c r="C11" s="29"/>
      <c r="D11" s="29"/>
      <c r="E11" s="32">
        <f>mvalloc!I11</f>
        <v>0</v>
      </c>
    </row>
    <row r="12" spans="2:5" ht="15.75">
      <c r="B12" s="35" t="s">
        <v>72</v>
      </c>
      <c r="C12" s="29"/>
      <c r="D12" s="29">
        <v>22</v>
      </c>
      <c r="E12" s="32">
        <f>mvalloc!J11</f>
        <v>9</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144</v>
      </c>
      <c r="D16" s="29"/>
      <c r="E16" s="32">
        <f>inputOth!E12</f>
        <v>87</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3624</v>
      </c>
      <c r="D26" s="420">
        <f>SUM(D8:D24)</f>
        <v>3162</v>
      </c>
      <c r="E26" s="42">
        <f>SUM(E8:E24)</f>
        <v>153</v>
      </c>
    </row>
    <row r="27" spans="2:5" ht="15.75">
      <c r="B27" s="43" t="s">
        <v>24</v>
      </c>
      <c r="C27" s="420">
        <f>C26+C6</f>
        <v>5698</v>
      </c>
      <c r="D27" s="420">
        <f>D26+D6</f>
        <v>7650</v>
      </c>
      <c r="E27" s="42">
        <f>E26+E6</f>
        <v>4636</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v>1210</v>
      </c>
      <c r="D33" s="29">
        <v>3167</v>
      </c>
      <c r="E33" s="34">
        <v>3000</v>
      </c>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1210</v>
      </c>
      <c r="D50" s="412">
        <f>SUM(D29:D48)</f>
        <v>3167</v>
      </c>
      <c r="E50" s="47">
        <f>SUM(E29:E43,E45,E47:E48)</f>
        <v>3000</v>
      </c>
      <c r="G50" s="534"/>
      <c r="H50" s="535"/>
      <c r="I50" s="535"/>
      <c r="J50" s="536"/>
    </row>
    <row r="51" spans="2:10" ht="15.75">
      <c r="B51" s="27" t="s">
        <v>123</v>
      </c>
      <c r="C51" s="413">
        <f>C27-C50</f>
        <v>4488</v>
      </c>
      <c r="D51" s="413">
        <f>SUM(D27-D50)</f>
        <v>4483</v>
      </c>
      <c r="E51" s="33" t="s">
        <v>302</v>
      </c>
      <c r="G51" s="537">
        <f>D51</f>
        <v>4483</v>
      </c>
      <c r="H51" s="538" t="str">
        <f>CONCATENATE("",E1-1," Ending Cash Balance (est.)")</f>
        <v>2011 Ending Cash Balance (est.)</v>
      </c>
      <c r="I51" s="539"/>
      <c r="J51" s="536"/>
    </row>
    <row r="52" spans="2:10" ht="15.75">
      <c r="B52" s="48" t="str">
        <f>CONCATENATE("",E1-2,"/",E1-1," Budget Authority Amount:")</f>
        <v>2010/2011 Budget Authority Amount:</v>
      </c>
      <c r="C52" s="143">
        <f>inputOth!B46</f>
        <v>3167</v>
      </c>
      <c r="D52" s="172">
        <f>inputPrYr!D16</f>
        <v>3167</v>
      </c>
      <c r="E52" s="33" t="s">
        <v>302</v>
      </c>
      <c r="F52" s="50"/>
      <c r="G52" s="537">
        <f>E26</f>
        <v>153</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3000</v>
      </c>
      <c r="G54" s="537">
        <f>SUM(G51:G53)</f>
        <v>4636</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1270.5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3365.5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Logansport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3">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Logansport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6586</v>
      </c>
      <c r="D6" s="418">
        <f>C44</f>
        <v>6791</v>
      </c>
      <c r="E6" s="32">
        <f>D44</f>
        <v>2640</v>
      </c>
    </row>
    <row r="7" spans="2:5" ht="15.75">
      <c r="B7" s="27" t="s">
        <v>124</v>
      </c>
      <c r="C7" s="418"/>
      <c r="D7" s="418"/>
      <c r="E7" s="33"/>
    </row>
    <row r="8" spans="2:5" ht="15.75">
      <c r="B8" s="27" t="s">
        <v>16</v>
      </c>
      <c r="C8" s="29">
        <v>9469</v>
      </c>
      <c r="D8" s="418">
        <f>inputPrYr!E18</f>
        <v>4341</v>
      </c>
      <c r="E8" s="33" t="s">
        <v>302</v>
      </c>
    </row>
    <row r="9" spans="2:5" ht="15.75">
      <c r="B9" s="27" t="s">
        <v>17</v>
      </c>
      <c r="C9" s="29"/>
      <c r="D9" s="29"/>
      <c r="E9" s="34"/>
    </row>
    <row r="10" spans="2:5" ht="15.75">
      <c r="B10" s="27" t="s">
        <v>18</v>
      </c>
      <c r="C10" s="29"/>
      <c r="D10" s="29"/>
      <c r="E10" s="32">
        <f>mvalloc!G13</f>
        <v>83</v>
      </c>
    </row>
    <row r="11" spans="2:5" ht="15.75">
      <c r="B11" s="27" t="s">
        <v>19</v>
      </c>
      <c r="C11" s="29"/>
      <c r="D11" s="29"/>
      <c r="E11" s="32">
        <f>mvalloc!I13</f>
        <v>0</v>
      </c>
    </row>
    <row r="12" spans="2:5" ht="15.75">
      <c r="B12" s="27" t="s">
        <v>103</v>
      </c>
      <c r="C12" s="29"/>
      <c r="D12" s="29"/>
      <c r="E12" s="32">
        <f>mvalloc!J13</f>
        <v>13</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9469</v>
      </c>
      <c r="D23" s="420">
        <f>SUM(D8:D21)</f>
        <v>4341</v>
      </c>
      <c r="E23" s="42">
        <f>SUM(E8:E21)</f>
        <v>96</v>
      </c>
    </row>
    <row r="24" spans="2:5" ht="15.75">
      <c r="B24" s="43" t="s">
        <v>24</v>
      </c>
      <c r="C24" s="420">
        <f>C23+C6</f>
        <v>16055</v>
      </c>
      <c r="D24" s="420">
        <f>D23+D6</f>
        <v>11132</v>
      </c>
      <c r="E24" s="42">
        <f>E23+E6</f>
        <v>2736</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v>9264</v>
      </c>
      <c r="D28" s="29">
        <v>8492</v>
      </c>
      <c r="E28" s="34">
        <v>10649</v>
      </c>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2640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96</v>
      </c>
      <c r="H42" s="540" t="str">
        <f>CONCATENATE("",E1," Non-AV Receipts (est.)")</f>
        <v>2012 Non-AV Receipts (est.)</v>
      </c>
      <c r="I42" s="540"/>
      <c r="J42" s="536"/>
    </row>
    <row r="43" spans="2:10" ht="15.75">
      <c r="B43" s="43" t="s">
        <v>26</v>
      </c>
      <c r="C43" s="420">
        <f>SUM(C26:C38,C40:C41)</f>
        <v>9264</v>
      </c>
      <c r="D43" s="420">
        <f>SUM(D26:D38,D40:D41)</f>
        <v>8492</v>
      </c>
      <c r="E43" s="42">
        <f>SUM(E26:E38,E40:E41)</f>
        <v>10649</v>
      </c>
      <c r="G43" s="541">
        <f>E50</f>
        <v>7913</v>
      </c>
      <c r="H43" s="540" t="str">
        <f>CONCATENATE("",E1," Ad Valorem Tax (est.)")</f>
        <v>2012 Ad Valorem Tax (est.)</v>
      </c>
      <c r="I43" s="540"/>
      <c r="J43" s="536"/>
    </row>
    <row r="44" spans="2:10" ht="15.75">
      <c r="B44" s="27" t="s">
        <v>123</v>
      </c>
      <c r="C44" s="413">
        <f>C24-C43</f>
        <v>6791</v>
      </c>
      <c r="D44" s="413">
        <f>D24-D43</f>
        <v>2640</v>
      </c>
      <c r="E44" s="33" t="s">
        <v>302</v>
      </c>
      <c r="G44" s="537">
        <f>SUM(G41:G43)</f>
        <v>10649</v>
      </c>
      <c r="H44" s="540" t="str">
        <f>CONCATENATE("Total ",E1," Resources Available")</f>
        <v>Total 2012 Resources Available</v>
      </c>
      <c r="I44" s="539"/>
      <c r="J44" s="536"/>
    </row>
    <row r="45" spans="2:10" ht="15.75">
      <c r="B45" s="48" t="str">
        <f>CONCATENATE("",E1-2,"/",E1-1," Budget Authority Amount:")</f>
        <v>2010/2011 Budget Authority Amount:</v>
      </c>
      <c r="C45" s="143">
        <f>inputOth!B48</f>
        <v>8492</v>
      </c>
      <c r="D45" s="172">
        <f>inputPrYr!D18</f>
        <v>8492</v>
      </c>
      <c r="E45" s="33" t="s">
        <v>302</v>
      </c>
      <c r="F45" s="50"/>
      <c r="G45" s="542"/>
      <c r="H45" s="540"/>
      <c r="I45" s="540"/>
      <c r="J45" s="536"/>
    </row>
    <row r="46" spans="2:10" ht="15.75">
      <c r="B46" s="48"/>
      <c r="C46" s="652" t="s">
        <v>646</v>
      </c>
      <c r="D46" s="653"/>
      <c r="E46" s="34"/>
      <c r="F46" s="533">
        <f>IF(E43/0.95-E43&lt;E46,"Exceeds 5%","")</f>
      </c>
      <c r="G46" s="541">
        <f>C43*0.05+C43</f>
        <v>9727.2</v>
      </c>
      <c r="H46" s="540" t="str">
        <f>CONCATENATE("Less ",E1-2," Expenditures + 5%")</f>
        <v>Less 2010 Expenditures + 5%</v>
      </c>
      <c r="I46" s="539"/>
      <c r="J46" s="536"/>
    </row>
    <row r="47" spans="2:10" ht="15.75">
      <c r="B47" s="436" t="str">
        <f>CONCATENATE(C74,"     ",D74)</f>
        <v>See Tab A     </v>
      </c>
      <c r="C47" s="654" t="s">
        <v>647</v>
      </c>
      <c r="D47" s="655"/>
      <c r="E47" s="32">
        <f>E43+E46</f>
        <v>10649</v>
      </c>
      <c r="G47" s="543">
        <f>G44-G46</f>
        <v>921.7999999999993</v>
      </c>
      <c r="H47" s="544" t="str">
        <f>CONCATENATE("Projected ",E1+1," Carryover (est.)")</f>
        <v>Projected 2013 Carryover (est.)</v>
      </c>
      <c r="I47" s="545"/>
      <c r="J47" s="546"/>
    </row>
    <row r="48" spans="2:5" ht="15.75">
      <c r="B48" s="436" t="str">
        <f>CONCATENATE(C75,"     ",D75)</f>
        <v>     </v>
      </c>
      <c r="C48" s="60"/>
      <c r="D48" s="52" t="s">
        <v>28</v>
      </c>
      <c r="E48" s="46">
        <f>IF(E47-E24&gt;0,E47-E24,0)</f>
        <v>7913</v>
      </c>
    </row>
    <row r="49" spans="2:10" ht="15.75">
      <c r="B49" s="52"/>
      <c r="C49" s="440" t="s">
        <v>648</v>
      </c>
      <c r="D49" s="432">
        <f>inputOth!$E$40</f>
        <v>0</v>
      </c>
      <c r="E49" s="32">
        <f>ROUND(IF(D49&gt;0,(E48*D49),0),0)</f>
        <v>0</v>
      </c>
      <c r="G49" s="560">
        <f>IF(inputOth!E7=0,"",ROUND(E50/inputOth!E7*1000,3))</f>
        <v>9.599</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7913</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v>7</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Logansport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Logansport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Logansport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Logansport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3167</v>
      </c>
      <c r="E16" s="200">
        <v>3000</v>
      </c>
    </row>
    <row r="17" spans="1:5" ht="15.75">
      <c r="A17" s="14"/>
      <c r="B17" s="83" t="s">
        <v>312</v>
      </c>
      <c r="C17" s="172" t="s">
        <v>157</v>
      </c>
      <c r="D17" s="200"/>
      <c r="E17" s="200"/>
    </row>
    <row r="18" spans="1:5" ht="15.75">
      <c r="A18" s="14"/>
      <c r="B18" s="83" t="s">
        <v>287</v>
      </c>
      <c r="C18" s="192" t="s">
        <v>327</v>
      </c>
      <c r="D18" s="200">
        <v>8492</v>
      </c>
      <c r="E18" s="200">
        <v>4341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7341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11659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10.62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10.62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7321</v>
      </c>
    </row>
    <row r="53" spans="1:5" ht="15.75">
      <c r="A53" s="353" t="str">
        <f>CONCATENATE("Assessed Valuation (",D5-2," budget column)")</f>
        <v>Assessed Valuation (2010 budget column)</v>
      </c>
      <c r="B53" s="354"/>
      <c r="C53" s="291"/>
      <c r="D53" s="28"/>
      <c r="E53" s="200">
        <v>689390</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Logansport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B44" sqref="B44:C4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Logansport Township</v>
      </c>
      <c r="C4" s="679"/>
      <c r="D4" s="679"/>
      <c r="E4" s="679"/>
      <c r="F4" s="679"/>
      <c r="G4" s="679"/>
      <c r="H4" s="679"/>
      <c r="I4" s="679"/>
    </row>
    <row r="5" spans="2:9" ht="15.75">
      <c r="B5" s="679" t="str">
        <f>inputPrYr!D3</f>
        <v>Logan</v>
      </c>
      <c r="C5" s="679"/>
      <c r="D5" s="679"/>
      <c r="E5" s="679"/>
      <c r="F5" s="679"/>
      <c r="G5" s="679"/>
      <c r="H5" s="679"/>
      <c r="I5" s="679"/>
    </row>
    <row r="6" spans="2:9" ht="15.75">
      <c r="B6" s="678" t="str">
        <f>CONCATENATE("will meet on ",inputBudSum!B5," at ",inputBudSum!B7," at ",inputBudSum!B9," for the purpose of hearing and")</f>
        <v>will meet on August 15, 2011 at 8:00 p.m. at Mike Kough Residence @ 1110 CR 290, Russell Springs,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1210</v>
      </c>
      <c r="D17" s="592" t="str">
        <f>IF(inputPrYr!D41&gt;0,inputPrYr!D41,"  ")</f>
        <v>  </v>
      </c>
      <c r="E17" s="32">
        <f>IF(gen!$D$50&lt;&gt;0,gen!$D$50,"  ")</f>
        <v>3167</v>
      </c>
      <c r="F17" s="253">
        <f>IF(inputOth!D17&gt;0,inputOth!D17,"  ")</f>
        <v>3.764</v>
      </c>
      <c r="G17" s="32">
        <f>IF(gen!$E$50&lt;&gt;0,gen!$E$50,"  ")</f>
        <v>3000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9264</v>
      </c>
      <c r="D19" s="592">
        <f>IF(inputPrYr!D43&gt;0,inputPrYr!D43,"  ")</f>
        <v>10.62</v>
      </c>
      <c r="E19" s="32">
        <f>IF(road!$D$43&lt;&gt;0,road!$D$43,"  ")</f>
        <v>8492</v>
      </c>
      <c r="F19" s="253">
        <f>IF(inputOth!D19&gt;0,inputOth!D19,"  ")</f>
        <v>5.447</v>
      </c>
      <c r="G19" s="32">
        <f>IF(road!$E$43&lt;&gt;0,road!$E$43,"  ")</f>
        <v>10649</v>
      </c>
      <c r="H19" s="32">
        <f>IF(road!$E$50&lt;&gt;0,road!$E$50,"  ")</f>
        <v>7913</v>
      </c>
      <c r="I19" s="594">
        <f>IF(road!E50&gt;0,ROUND(H19/$G$35*1000,3)," ")</f>
        <v>9.599</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824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9.211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-320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10474</v>
      </c>
      <c r="D30" s="529">
        <f t="shared" si="0"/>
        <v>10.62</v>
      </c>
      <c r="E30" s="595">
        <f t="shared" si="0"/>
        <v>11659</v>
      </c>
      <c r="F30" s="529">
        <f t="shared" si="0"/>
        <v>9.211</v>
      </c>
      <c r="G30" s="595">
        <f t="shared" si="0"/>
        <v>13649</v>
      </c>
      <c r="H30" s="595">
        <f t="shared" si="0"/>
        <v>7913</v>
      </c>
      <c r="I30" s="598">
        <f t="shared" si="0"/>
        <v>9.599</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10474</v>
      </c>
      <c r="D32" s="14"/>
      <c r="E32" s="596">
        <f>E30-E31</f>
        <v>11659</v>
      </c>
      <c r="F32" s="14"/>
      <c r="G32" s="596">
        <f>G30-G31</f>
        <v>13649</v>
      </c>
      <c r="H32" s="14"/>
      <c r="I32" s="14"/>
      <c r="K32" s="575" t="str">
        <f>CONCATENATE("",I1," Ad Valorem Tax Revenue:")</f>
        <v>2012 Ad Valorem Tax Revenue:</v>
      </c>
      <c r="L32" s="569"/>
      <c r="M32" s="569"/>
      <c r="N32" s="570">
        <f>H30</f>
        <v>7913</v>
      </c>
    </row>
    <row r="33" spans="2:14" ht="16.5" thickTop="1">
      <c r="B33" s="83" t="s">
        <v>46</v>
      </c>
      <c r="C33" s="597">
        <f>inputPrYr!E52</f>
        <v>7321</v>
      </c>
      <c r="D33" s="62"/>
      <c r="E33" s="597">
        <f>inputPrYr!E25</f>
        <v>7341</v>
      </c>
      <c r="F33" s="14"/>
      <c r="G33" s="588" t="s">
        <v>302</v>
      </c>
      <c r="H33" s="14"/>
      <c r="I33" s="14"/>
      <c r="K33" s="575" t="str">
        <f>CONCATENATE("",I1-1," Ad Valorem Tax Revenue:")</f>
        <v>2011 Ad Valorem Tax Revenue:</v>
      </c>
      <c r="L33" s="569"/>
      <c r="M33" s="569"/>
      <c r="N33" s="583">
        <f>ROUND(G35*N25/1000,0)</f>
        <v>7593</v>
      </c>
    </row>
    <row r="34" spans="2:14" ht="15.75">
      <c r="B34" s="279" t="s">
        <v>47</v>
      </c>
      <c r="C34" s="55"/>
      <c r="D34" s="62"/>
      <c r="E34" s="55"/>
      <c r="F34" s="62"/>
      <c r="G34" s="14"/>
      <c r="H34" s="14"/>
      <c r="I34" s="14"/>
      <c r="K34" s="580" t="s">
        <v>747</v>
      </c>
      <c r="L34" s="581"/>
      <c r="M34" s="581"/>
      <c r="N34" s="573">
        <f>N32-N33</f>
        <v>320</v>
      </c>
    </row>
    <row r="35" spans="2:14" ht="15.75">
      <c r="B35" s="606" t="s">
        <v>48</v>
      </c>
      <c r="C35" s="31">
        <f>inputPrYr!E53</f>
        <v>689390</v>
      </c>
      <c r="D35" s="14"/>
      <c r="E35" s="32">
        <f>inputOth!E28</f>
        <v>796964</v>
      </c>
      <c r="F35" s="14"/>
      <c r="G35" s="32">
        <f>inputOth!E7</f>
        <v>824369</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9.599</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819</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Logansport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824369</v>
      </c>
      <c r="E18" s="14"/>
      <c r="F18" s="140"/>
    </row>
    <row r="19" spans="1:6" ht="15.75">
      <c r="A19" s="14"/>
      <c r="B19" s="14"/>
      <c r="C19" s="14"/>
      <c r="D19" s="14"/>
      <c r="E19" s="14"/>
      <c r="F19" s="140"/>
    </row>
    <row r="20" spans="1:6" ht="15.75">
      <c r="A20" s="14"/>
      <c r="B20" s="682" t="s">
        <v>379</v>
      </c>
      <c r="C20" s="682"/>
      <c r="D20" s="148">
        <f>IF(D18&gt;0,(D18*0.001),"")</f>
        <v>824.369</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Logansport Township </v>
      </c>
      <c r="I6">
        <f>CONCATENATE(I7)</f>
      </c>
    </row>
    <row r="7" spans="1:7" ht="15.75">
      <c r="A7" s="688" t="str">
        <f>CONCATENATE("   with respect to financing the ",inputPrYr!D5," annual budget for ",(inputPrYr!D2)," , ",(inputPrYr!D3)," , Kansas.")</f>
        <v>   with respect to financing the 2012 annual budget for Logansport Township , Logan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Logansport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Logansport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Logansport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Logansport Township of Logan, Kansas that is our desire to notify the public of increased property taxes to finance the 2012 Logansport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Logansport Township Board, Logan,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Logansport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Logansport Township</v>
      </c>
      <c r="B1" s="101"/>
      <c r="C1" s="101"/>
      <c r="D1" s="101"/>
      <c r="E1" s="101">
        <f>inputPrYr!D5</f>
        <v>2012</v>
      </c>
    </row>
    <row r="2" spans="1:5" ht="15.75">
      <c r="A2" s="99" t="str">
        <f>inputPrYr!D3</f>
        <v>Logan</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824369</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13141</v>
      </c>
    </row>
    <row r="10" spans="1:5" ht="15.75">
      <c r="A10" s="22" t="str">
        <f>CONCATENATE("Property that has changed in use for ",E1-1,"")</f>
        <v>Property that has changed in use for 2011</v>
      </c>
      <c r="B10" s="19"/>
      <c r="C10" s="19"/>
      <c r="D10" s="19"/>
      <c r="E10" s="309">
        <v>54410</v>
      </c>
    </row>
    <row r="11" spans="1:5" ht="15.75">
      <c r="A11" s="22" t="str">
        <f>CONCATENATE("Personal Property excluding oil, gas, and mobile homes- ",E1-2,"")</f>
        <v>Personal Property excluding oil, gas, and mobile homes- 2010</v>
      </c>
      <c r="B11" s="19"/>
      <c r="C11" s="19"/>
      <c r="D11" s="19"/>
      <c r="E11" s="309">
        <v>7994</v>
      </c>
    </row>
    <row r="12" spans="1:5" ht="15.75">
      <c r="A12" s="22" t="str">
        <f>CONCATENATE("Gross earnings (intangible) tax estimate for ",E1,"")</f>
        <v>Gross earnings (intangible) tax estimate for 2012</v>
      </c>
      <c r="B12" s="19"/>
      <c r="C12" s="19"/>
      <c r="D12" s="19"/>
      <c r="E12" s="309">
        <v>87</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3.764</v>
      </c>
      <c r="E17" s="312"/>
    </row>
    <row r="18" spans="1:5" ht="15.75">
      <c r="A18" s="82" t="str">
        <f>inputPrYr!B17</f>
        <v>Debt Service</v>
      </c>
      <c r="B18" s="291"/>
      <c r="C18" s="19"/>
      <c r="D18" s="315"/>
      <c r="E18" s="312"/>
    </row>
    <row r="19" spans="1:5" ht="15.75">
      <c r="A19" s="82" t="str">
        <f>inputPrYr!B18</f>
        <v>Road</v>
      </c>
      <c r="B19" s="291"/>
      <c r="C19" s="19"/>
      <c r="D19" s="315">
        <v>5.447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9.211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796964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140</v>
      </c>
    </row>
    <row r="32" spans="1:5" ht="15.75">
      <c r="A32" s="322" t="s">
        <v>289</v>
      </c>
      <c r="B32" s="291"/>
      <c r="C32" s="291"/>
      <c r="D32" s="31"/>
      <c r="E32" s="34"/>
    </row>
    <row r="33" spans="1:5" ht="15.75">
      <c r="A33" s="322" t="s">
        <v>165</v>
      </c>
      <c r="B33" s="291"/>
      <c r="C33" s="291"/>
      <c r="D33" s="31"/>
      <c r="E33" s="34">
        <v>22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3167</v>
      </c>
      <c r="C46" s="328" t="s">
        <v>222</v>
      </c>
      <c r="D46" s="329"/>
      <c r="E46" s="329"/>
    </row>
    <row r="47" spans="1:5" ht="15.75">
      <c r="A47" s="330" t="str">
        <f>inputPrYr!B17</f>
        <v>Debt Service</v>
      </c>
      <c r="B47" s="36"/>
      <c r="C47" s="328"/>
      <c r="D47" s="329"/>
      <c r="E47" s="329"/>
    </row>
    <row r="48" spans="1:5" ht="15.75">
      <c r="A48" s="330" t="str">
        <f>inputPrYr!B18</f>
        <v>Road</v>
      </c>
      <c r="B48" s="36">
        <v>8492</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818</v>
      </c>
      <c r="C5" s="387"/>
      <c r="D5" s="384" t="s">
        <v>802</v>
      </c>
      <c r="E5" s="383"/>
      <c r="F5" s="383"/>
    </row>
    <row r="6" spans="1:6" ht="15.75">
      <c r="A6" s="384"/>
      <c r="B6" s="388"/>
      <c r="C6" s="389"/>
      <c r="D6" s="384" t="s">
        <v>801</v>
      </c>
      <c r="E6" s="383"/>
      <c r="F6" s="383"/>
    </row>
    <row r="7" spans="1:6" ht="15.75">
      <c r="A7" s="384" t="s">
        <v>387</v>
      </c>
      <c r="B7" s="386" t="s">
        <v>816</v>
      </c>
      <c r="C7" s="390"/>
      <c r="D7" s="384"/>
      <c r="E7" s="383"/>
      <c r="F7" s="383"/>
    </row>
    <row r="8" spans="1:6" ht="15.75">
      <c r="A8" s="384"/>
      <c r="B8" s="384"/>
      <c r="C8" s="384"/>
      <c r="D8" s="384"/>
      <c r="E8" s="383"/>
      <c r="F8" s="383"/>
    </row>
    <row r="9" spans="1:6" ht="15.75">
      <c r="A9" s="384" t="s">
        <v>388</v>
      </c>
      <c r="B9" s="391" t="s">
        <v>817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Logan, State of Kansas</v>
      </c>
      <c r="C3" s="634"/>
      <c r="D3" s="634"/>
      <c r="E3" s="634"/>
      <c r="F3" s="634"/>
      <c r="G3" s="634"/>
      <c r="H3" s="634"/>
    </row>
    <row r="4" spans="2:7" s="14" customFormat="1" ht="15.75">
      <c r="B4" s="158" t="s">
        <v>156</v>
      </c>
      <c r="C4" s="156"/>
      <c r="D4" s="156"/>
      <c r="E4" s="156"/>
      <c r="F4" s="156"/>
      <c r="G4" s="156"/>
    </row>
    <row r="5" s="14" customFormat="1" ht="15.75">
      <c r="D5" s="427" t="str">
        <f>inputPrYr!D2</f>
        <v>Logansport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3000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10649</v>
      </c>
      <c r="F22" s="172">
        <f>IF(road!$E$50&lt;&gt;0,road!$E$50,"  ")</f>
        <v>7913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13649</v>
      </c>
      <c r="F33" s="292">
        <f>SUM(F20:F28)</f>
        <v>7913</v>
      </c>
      <c r="G33" s="293">
        <f>IF(SUM(G20:G28)&gt;0,SUM(G20:G28),"")</f>
      </c>
    </row>
    <row r="34" spans="2:4" s="14" customFormat="1" ht="16.5" thickTop="1">
      <c r="B34" s="27" t="s">
        <v>175</v>
      </c>
      <c r="C34" s="283"/>
      <c r="D34" s="288">
        <f>summ!D47</f>
        <v>8</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84" sqref="B84"/>
    </sheetView>
  </sheetViews>
  <sheetFormatPr defaultColWidth="8.796875" defaultRowHeig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Logansport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7341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7341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13141</v>
      </c>
      <c r="F14" s="270"/>
      <c r="G14" s="55"/>
      <c r="H14" s="55"/>
      <c r="I14" s="53"/>
      <c r="J14" s="55"/>
    </row>
    <row r="15" spans="1:10" ht="15.75">
      <c r="A15" s="269"/>
      <c r="B15" s="14" t="s">
        <v>91</v>
      </c>
      <c r="C15" s="14" t="str">
        <f>CONCATENATE("Personal Property ",J1-2,"")</f>
        <v>Personal Property 2010</v>
      </c>
      <c r="D15" s="269" t="s">
        <v>86</v>
      </c>
      <c r="E15" s="273">
        <f>inputOth!E11</f>
        <v>7994</v>
      </c>
      <c r="F15" s="270"/>
      <c r="G15" s="53"/>
      <c r="H15" s="53"/>
      <c r="I15" s="55"/>
      <c r="J15" s="55"/>
    </row>
    <row r="16" spans="1:10" ht="15.75">
      <c r="A16" s="269"/>
      <c r="B16" s="14" t="s">
        <v>92</v>
      </c>
      <c r="C16" s="14" t="s">
        <v>112</v>
      </c>
      <c r="D16" s="14"/>
      <c r="E16" s="55"/>
      <c r="F16" s="55" t="s">
        <v>15</v>
      </c>
      <c r="G16" s="271">
        <f>IF(E14&gt;E15,E14-E15,0)</f>
        <v>5147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54410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59557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824369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764812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0.07787142461153852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572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7913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7913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Logansport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3000</v>
      </c>
      <c r="E11" s="253">
        <f>IF(inputOth!D17&gt;0,inputOth!D17,"  ")</f>
        <v>3.764</v>
      </c>
      <c r="F11" s="254"/>
      <c r="G11" s="96">
        <f>IF(inputPrYr!E16=0,0,G22-SUM(G12:G19))</f>
        <v>57</v>
      </c>
      <c r="H11" s="255"/>
      <c r="I11" s="96">
        <f>IF(inputPrYr!E16=0,0,I24-SUM(I12:I19))</f>
        <v>0</v>
      </c>
      <c r="J11" s="96">
        <f>IF(inputPrYr!E16=0,0,J26-SUM(J12:J19))</f>
        <v>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4341</v>
      </c>
      <c r="E13" s="253">
        <f>IF(inputOth!D19&gt;0,inputOth!D19,"  ")</f>
        <v>5.447</v>
      </c>
      <c r="F13" s="254"/>
      <c r="G13" s="96">
        <f>IF(inputPrYr!E18=0,0,ROUND(D13*$G$30,0))</f>
        <v>83</v>
      </c>
      <c r="H13" s="255"/>
      <c r="I13" s="96">
        <f>IF(inputPrYr!$E$18=0,0,ROUND($D$13*$I$32,0))</f>
        <v>0</v>
      </c>
      <c r="J13" s="96">
        <f>IF(inputPrYr!E18=0,0,ROUND($D13*$J$34,0))</f>
        <v>13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7341</v>
      </c>
      <c r="E20" s="259">
        <f>SUM(E11:E19)</f>
        <v>9.211</v>
      </c>
      <c r="F20" s="260"/>
      <c r="G20" s="258">
        <f>SUM(G11:G19)</f>
        <v>140</v>
      </c>
      <c r="H20" s="258"/>
      <c r="I20" s="258">
        <f>SUM(I11:I19)</f>
        <v>0</v>
      </c>
      <c r="J20" s="258">
        <f>SUM(J11:J19)</f>
        <v>22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0.019070971257321892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0.0029968669118648687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2011-07-13T20:30:18Z</cp:lastPrinted>
  <dcterms:created xsi:type="dcterms:W3CDTF">1998-08-26T16:30:41Z</dcterms:created>
  <dcterms:modified xsi:type="dcterms:W3CDTF">2012-01-08T15:21:34Z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