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6"/>
  </bookViews>
  <sheets>
    <sheet name="instructions" sheetId="1" r:id="rId1"/>
    <sheet name="inputPrYr" sheetId="2" r:id="rId2"/>
    <sheet name="inputOth" sheetId="3" r:id="rId3"/>
    <sheet name="inputBudSum" sheetId="4" r:id="rId4"/>
    <sheet name="Signed Cert" sheetId="5" r:id="rId5"/>
    <sheet name="cert" sheetId="6" r:id="rId6"/>
    <sheet name="Publication" sheetId="7" r:id="rId7"/>
    <sheet name="computation" sheetId="8" r:id="rId8"/>
    <sheet name="mvalloc" sheetId="9" r:id="rId9"/>
    <sheet name="transfer" sheetId="10" state="hidden" r:id="rId10"/>
    <sheet name="TransferStatutes" sheetId="11" state="hidden" r:id="rId11"/>
    <sheet name="debt" sheetId="12" r:id="rId12"/>
    <sheet name="gen" sheetId="13" r:id="rId13"/>
    <sheet name="DebtService" sheetId="14" state="hidden" r:id="rId14"/>
    <sheet name="road" sheetId="15" r:id="rId15"/>
    <sheet name="FireMaint" sheetId="16" r:id="rId16"/>
    <sheet name="FireEquip" sheetId="17" r:id="rId17"/>
    <sheet name="levypage11" sheetId="18" state="hidden" r:id="rId18"/>
    <sheet name="levypage12" sheetId="19" state="hidden" r:id="rId19"/>
    <sheet name="nolevypage13" sheetId="20" state="hidden" r:id="rId20"/>
    <sheet name="nolevypage14" sheetId="21" state="hidden" r:id="rId21"/>
    <sheet name="nonbud" sheetId="22" state="hidden" r:id="rId22"/>
    <sheet name="NonBudFunds" sheetId="23" state="hidden" r:id="rId23"/>
    <sheet name="summ" sheetId="24" r:id="rId24"/>
    <sheet name="nhood" sheetId="25" state="hidden" r:id="rId25"/>
    <sheet name="Resolution"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<sst xmlns="http://schemas.openxmlformats.org/spreadsheetml/2006/main" count="1509" uniqueCount="850">
  <si>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</si>
  <si>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</si>
  <si>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</si>
  <si>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</si>
  <si>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</si>
  <si>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</si>
  <si>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</si>
  <si>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</si>
  <si>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</si>
  <si>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</si>
  <si>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</si>
  <si>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</si>
  <si>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</si>
  <si>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</si>
  <si>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</si>
  <si>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</si>
  <si>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</si>
  <si>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</si>
  <si>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</si>
  <si>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</si>
  <si>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</si>
  <si>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</si>
  <si>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</si>
  <si>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</si>
  <si>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</si>
  <si>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</si>
  <si>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</si>
  <si>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</si>
  <si>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</si>
  <si>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</si>
  <si>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</si>
  <si>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</si>
  <si>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</si>
  <si>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</si>
  <si>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</si>
  <si>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</si>
  <si>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</si>
  <si>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</si>
  <si>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</si>
  <si>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</si>
  <si>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</si>
  <si>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</si>
  <si>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</si>
  <si>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</si>
  <si>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</si>
  <si>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</si>
  <si>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</si>
  <si>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</si>
  <si>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</si>
  <si>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</si>
  <si>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</si>
  <si>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</si>
  <si>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</si>
  <si>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</si>
  <si>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</si>
  <si>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</si>
  <si>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</si>
  <si>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</si>
  <si>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</si>
  <si>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</si>
  <si>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</si>
  <si>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</si>
  <si>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</si>
  <si>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</si>
  <si>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</si>
  <si>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</si>
  <si>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</si>
  <si>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</si>
  <si>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</si>
  <si>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</si>
  <si>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</si>
  <si>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</si>
  <si>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</si>
  <si>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</si>
  <si>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</si>
  <si>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</si>
  <si>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</si>
  <si>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</si>
  <si>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</si>
  <si>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</si>
  <si>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</si>
  <si>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</si>
  <si>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</si>
  <si>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</si>
  <si>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</si>
  <si>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</si>
  <si>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</si>
  <si>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</si>
  <si>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</si>
  <si>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</si>
  <si>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</si>
  <si>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</si>
  <si>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</si>
  <si>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</si>
  <si>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</si>
  <si>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</si>
  <si>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</si>
  <si>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</si>
  <si>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</si>
  <si>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</si>
  <si>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</si>
  <si>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</si>
  <si>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</si>
  <si>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</si>
  <si>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</si>
  <si>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</si>
  <si>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</si>
  <si>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</si>
  <si>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</si>
  <si>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</si>
  <si>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</si>
  <si>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</si>
  <si>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</si>
  <si>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</si>
  <si>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</si>
  <si>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</si>
  <si>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</si>
  <si>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</si>
  <si>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</si>
  <si>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</si>
  <si>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</si>
  <si>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</si>
  <si>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</si>
  <si>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</si>
  <si>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</si>
  <si>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</si>
  <si>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</si>
  <si>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</si>
  <si>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</si>
  <si>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</si>
  <si>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</si>
  <si>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</si>
  <si>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</si>
  <si>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</si>
  <si>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</si>
  <si>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</si>
  <si>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</si>
  <si>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</si>
  <si>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</si>
  <si>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</si>
  <si>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</si>
  <si>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</si>
  <si>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</si>
  <si>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</si>
  <si>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</si>
  <si>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</si>
  <si>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</si>
  <si>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</si>
  <si>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</si>
  <si>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</si>
  <si>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</si>
  <si>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</si>
  <si>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</si>
  <si>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</si>
  <si>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</si>
  <si>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</si>
  <si>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</si>
  <si>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</si>
  <si>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</si>
  <si>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</si>
  <si>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</si>
  <si>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</si>
  <si>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</si>
  <si>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</si>
  <si>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</si>
  <si>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</si>
  <si>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</si>
  <si>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</si>
  <si>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</si>
  <si>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</si>
  <si>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</si>
  <si>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</si>
  <si>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</si>
  <si>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</si>
  <si>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</si>
  <si>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</si>
  <si>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</si>
  <si>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</si>
  <si>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</si>
  <si>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</si>
  <si>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</si>
  <si>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</si>
  <si>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</si>
  <si>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</si>
  <si>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</si>
  <si>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</si>
  <si>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</si>
  <si>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</si>
  <si>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</si>
  <si>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</si>
  <si>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</si>
  <si>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</si>
  <si>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</si>
  <si>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</si>
  <si>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</si>
  <si>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</si>
  <si>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</si>
  <si>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</si>
  <si>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</si>
  <si>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</si>
  <si>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</si>
  <si>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</si>
  <si>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</si>
  <si>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</si>
  <si>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</si>
  <si>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</si>
  <si>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</si>
  <si>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</si>
  <si>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</si>
  <si>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</si>
  <si>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</si>
  <si>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</si>
  <si>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</si>
  <si>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</si>
  <si>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</si>
  <si>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</si>
  <si>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</si>
  <si>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</si>
  <si>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</si>
  <si>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</si>
  <si>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</si>
  <si>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</si>
  <si>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</si>
  <si>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</si>
  <si>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</si>
  <si>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</si>
  <si>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</si>
  <si>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</si>
  <si>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</si>
  <si>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</si>
  <si>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</si>
  <si>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</si>
  <si>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</si>
  <si>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</si>
  <si>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</si>
  <si>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</si>
  <si>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</si>
  <si>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</si>
  <si>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</si>
  <si>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</si>
  <si>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</si>
  <si>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</si>
  <si>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</si>
  <si>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</si>
  <si>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</si>
  <si>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</si>
  <si>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</si>
  <si>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</si>
  <si>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</si>
  <si>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</si>
  <si>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</si>
  <si>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</si>
  <si>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</si>
  <si>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</si>
  <si>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</si>
  <si>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</si>
  <si>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</si>
  <si>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</si>
  <si>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</si>
  <si>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</si>
  <si>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</si>
  <si>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</si>
  <si>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</si>
  <si>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</si>
  <si>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</si>
  <si>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</si>
  <si>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</si>
  <si>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</si>
  <si>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</si>
  <si>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</si>
  <si>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</si>
  <si>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</si>
  <si>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</si>
  <si>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</si>
  <si>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</si>
  <si>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</si>
  <si>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</si>
  <si>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</si>
  <si>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</si>
  <si>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</si>
  <si>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</si>
  <si>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</si>
  <si>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</si>
  <si>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</si>
  <si>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</si>
  <si>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</si>
  <si>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</si>
  <si>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</si>
  <si>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</si>
  <si>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</si>
  <si>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</si>
  <si>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</si>
  <si>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</si>
  <si>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</si>
  <si>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</si>
  <si>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</si>
  <si>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</si>
  <si>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</si>
  <si>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</si>
  <si>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</si>
  <si>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</si>
  <si>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</si>
  <si>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</si>
  <si>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</si>
  <si>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</si>
  <si>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</si>
  <si>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</si>
  <si>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</si>
  <si>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</si>
  <si>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</si>
  <si>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</si>
  <si>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</si>
  <si>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</si>
  <si>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</si>
  <si>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</si>
  <si>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</si>
  <si>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</si>
  <si>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</si>
  <si>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</si>
  <si>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</si>
  <si>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</si>
  <si>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</si>
  <si>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</si>
  <si>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</si>
  <si>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</si>
  <si>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</si>
  <si>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</si>
  <si>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</si>
  <si>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</si>
  <si>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</si>
  <si>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</si>
  <si>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</si>
  <si>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</si>
  <si>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</si>
  <si>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</si>
  <si>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</si>
  <si>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</si>
  <si>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</si>
  <si>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</si>
  <si>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</si>
  <si>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</si>
  <si>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</si>
  <si>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</si>
  <si>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</si>
  <si>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</si>
  <si>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</si>
  <si>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</si>
  <si>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</si>
  <si>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</si>
  <si>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</si>
  <si>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</si>
  <si>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</si>
  <si>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</si>
  <si>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</si>
  <si>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</si>
  <si>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</si>
  <si>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</si>
  <si>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</si>
  <si>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</si>
  <si>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</si>
  <si>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</si>
  <si>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</si>
  <si>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</si>
  <si>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</si>
  <si>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</si>
  <si>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</si>
  <si>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</si>
  <si>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</si>
  <si>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</si>
  <si>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</si>
  <si>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</si>
  <si>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</si>
  <si>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</si>
  <si>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</si>
  <si>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</si>
  <si>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</si>
  <si>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</si>
  <si>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</si>
  <si>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</si>
  <si>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</si>
  <si>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</si>
  <si>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</si>
  <si>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</si>
  <si>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</si>
  <si>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</si>
  <si>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</si>
  <si>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</si>
  <si>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</si>
  <si>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</si>
  <si>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</si>
  <si>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</si>
  <si>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</si>
  <si>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</si>
  <si>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</si>
  <si>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</si>
  <si>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</si>
  <si>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</si>
  <si>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</si>
  <si>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</si>
  <si>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</si>
  <si>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</si>
  <si>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</si>
  <si>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</si>
  <si>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</si>
  <si>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</si>
  <si>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</si>
  <si>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</si>
  <si>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</si>
  <si>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</si>
  <si>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</si>
  <si>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</si>
  <si>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</si>
  <si>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</si>
  <si>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</si>
  <si>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</si>
  <si>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</si>
  <si>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</si>
  <si>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</si>
  <si>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</si>
  <si>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</si>
  <si>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</si>
  <si>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</si>
  <si>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</si>
  <si>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</si>
  <si>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</si>
  <si>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</si>
  <si>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</si>
  <si>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</si>
  <si>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</si>
  <si>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</si>
  <si>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</si>
  <si>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</si>
  <si>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</si>
  <si>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</si>
  <si>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</si>
  <si>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</si>
  <si>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</si>
  <si>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</si>
  <si>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</si>
  <si>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</si>
  <si>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</si>
  <si>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</si>
  <si>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</si>
  <si>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</si>
  <si>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</si>
  <si>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</si>
  <si>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</si>
  <si>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</si>
  <si>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</si>
  <si>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</si>
  <si>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</si>
  <si>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</si>
  <si>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</si>
  <si>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</si>
  <si>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</si>
  <si>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</si>
  <si>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</si>
  <si>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</si>
  <si>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</si>
  <si>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</si>
  <si>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</si>
  <si>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</si>
  <si>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</si>
  <si>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</si>
  <si>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</si>
  <si>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</si>
  <si>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</si>
  <si>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</si>
  <si>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</si>
  <si>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</si>
  <si>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</si>
  <si>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</si>
  <si>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</si>
  <si>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</si>
  <si>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</si>
  <si>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</si>
  <si>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</si>
  <si>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</si>
  <si>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</si>
  <si>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</si>
  <si>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</si>
  <si>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</si>
  <si>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</si>
  <si>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</si>
  <si>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</si>
  <si>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</si>
  <si>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</si>
  <si>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</si>
  <si>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</si>
  <si>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</si>
  <si>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</si>
  <si>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</si>
  <si>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</si>
  <si>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</si>
  <si>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</si>
  <si>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</si>
  <si>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</si>
  <si>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</si>
  <si>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</si>
  <si>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</si>
  <si>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</si>
  <si>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</si>
  <si>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</si>
  <si>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</si>
  <si>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</si>
  <si>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</si>
  <si>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</si>
  <si>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</si>
  <si>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</si>
  <si>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</si>
  <si>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</si>
  <si>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</si>
  <si>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</si>
  <si>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</si>
  <si>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</si>
  <si>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</si>
  <si>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</si>
  <si>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</si>
  <si>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</si>
  <si>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</si>
  <si>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</si>
  <si>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</si>
  <si>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</si>
  <si>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</si>
  <si>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</si>
  <si>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</si>
  <si>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</si>
  <si>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</si>
  <si>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</si>
  <si>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</si>
  <si>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</si>
  <si>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</si>
  <si>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</si>
  <si>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</si>
  <si>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</si>
  <si>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</si>
  <si>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</si>
  <si>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</si>
  <si>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</si>
  <si>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</si>
  <si>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</si>
  <si>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</si>
  <si>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</si>
  <si>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</si>
  <si>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</si>
  <si>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</si>
  <si>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</si>
  <si>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</si>
  <si>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</si>
  <si>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</si>
  <si>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</si>
  <si>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</si>
  <si>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</si>
  <si>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</si>
  <si>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</si>
  <si>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</si>
  <si>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</si>
  <si>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</si>
  <si>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</si>
  <si>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</si>
  <si>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</si>
  <si>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</si>
  <si>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</si>
  <si>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</si>
  <si>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</si>
  <si>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</si>
  <si>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</si>
  <si>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</si>
  <si>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</si>
  <si>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</si>
  <si>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</si>
  <si>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</si>
  <si>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</si>
  <si>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</si>
  <si>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</si>
  <si>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</si>
  <si>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</si>
  <si>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</si>
  <si>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</si>
  <si>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</si>
  <si>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</si>
  <si>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</si>
  <si>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</si>
  <si>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</si>
  <si>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</si>
  <si>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</si>
  <si>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</si>
  <si>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</si>
  <si>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</si>
  <si>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</si>
  <si>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</si>
  <si>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</si>
  <si>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</si>
  <si>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</si>
  <si>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</si>
  <si>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</si>
  <si>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</si>
  <si>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</si>
  <si>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</si>
  <si>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</si>
  <si>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</si>
  <si>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</si>
  <si>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</si>
  <si>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</si>
  <si>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</si>
  <si>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</si>
  <si>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</si>
  <si>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</si>
  <si>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</si>
  <si>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</si>
  <si>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</si>
  <si>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</si>
  <si>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</si>
  <si>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</si>
  <si>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</si>
  <si>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</si>
  <si>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</si>
  <si>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</si>
  <si>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</si>
  <si>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</si>
  <si>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</si>
  <si>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</si>
  <si>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</si>
  <si>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</si>
  <si>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</si>
  <si>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</si>
  <si>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</si>
  <si>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</si>
  <si>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</si>
  <si>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</si>
  <si>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</si>
  <si>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</si>
  <si>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</si>
  <si>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</si>
  <si>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</si>
  <si>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</si>
  <si>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</si>
  <si>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</si>
  <si>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</si>
  <si>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</si>
  <si>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</si>
  <si>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</si>
  <si>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</si>
  <si>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</si>
  <si>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</si>
  <si>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</si>
  <si>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</si>
  <si>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</si>
  <si>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</si>
  <si>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</si>
  <si>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</si>
  <si>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</si>
  <si>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</si>
  <si>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</si>
  <si>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</si>
  <si>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</si>
  <si>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</si>
  <si>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</si>
  <si>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</si>
  <si>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</si>
  <si>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</si>
  <si>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</si>
  <si>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</si>
  <si>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</si>
  <si>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</si>
  <si>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</si>
  <si>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</si>
  <si>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</si>
  <si>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</si>
  <si>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</si>
  <si>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</si>
  <si>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</si>
  <si>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</si>
  <si>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</si>
  <si>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</si>
  <si>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</si>
  <si>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</si>
  <si>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</si>
  <si>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</si>
  <si>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</si>
  <si>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</si>
  <si>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</si>
  <si>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</si>
  <si>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</si>
  <si>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</si>
  <si>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</si>
  <si>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</si>
  <si>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</si>
  <si>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</si>
  <si>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</si>
  <si>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</si>
  <si>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</si>
  <si>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</si>
  <si>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</si>
  <si>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</si>
  <si>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</si>
  <si>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</si>
  <si>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</si>
  <si>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</si>
  <si>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</si>
  <si>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</si>
  <si>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</si>
  <si>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</si>
  <si>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</si>
  <si>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</si>
  <si>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</si>
  <si>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</si>
  <si>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</si>
  <si>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</si>
  <si>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</si>
  <si>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</si>
  <si>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</si>
  <si>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</si>
  <si>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</si>
  <si>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</si>
  <si>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</si>
  <si>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</si>
  <si>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</si>
  <si>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</si>
  <si>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</si>
  <si>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</si>
  <si>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</si>
  <si>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</si>
  <si>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</si>
  <si>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</si>
  <si>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</si>
  <si>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</si>
  <si>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</si>
  <si>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</si>
  <si>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</si>
  <si>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</si>
  <si>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</si>
  <si>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</si>
  <si>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</si>
  <si>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</si>
  <si>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</si>
  <si>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</si>
  <si>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</si>
  <si>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</si>
  <si>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</si>
  <si>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</si>
  <si>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</si>
  <si>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</si>
  <si>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</si>
  <si>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</si>
  <si>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</si>
  <si>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</si>
  <si>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</si>
  <si>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</si>
  <si>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</si>
  <si>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</si>
  <si>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</si>
  <si>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</si>
  <si>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</si>
  <si>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</si>
  <si>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</si>
  <si>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</si>
  <si>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</si>
  <si>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</si>
  <si>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</si>
  <si>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</si>
  <si>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</si>
  <si>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</si>
  <si>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</si>
  <si>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</si>
  <si>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</si>
  <si>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</si>
  <si>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</si>
  <si>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</si>
  <si>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</si>
  <si>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</si>
  <si>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</si>
  <si>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</si>
  <si>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</si>
  <si>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</si>
  <si>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</si>
  <si>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</si>
  <si>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</si>
  <si>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</si>
  <si>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</si>
  <si>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</si>
  <si>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</si>
  <si>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</si>
  <si>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</si>
  <si>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</si>
  <si>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</si>
  <si>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</si>
  <si>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</si>
  <si>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</si>
  <si>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</si>
  <si>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</si>
  <si>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</si>
  <si>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</si>
  <si>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</si>
  <si>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</si>
  <si>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</si>
  <si>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</si>
  <si>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</si>
  <si>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</si>
  <si>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</si>
  <si>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</si>
  <si>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</si>
  <si>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</si>
  <si>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</si>
  <si>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</si>
  <si>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</si>
  <si>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</si>
  <si>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</si>
  <si>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</si>
  <si>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</si>
  <si>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</si>
  <si>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</si>
  <si>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</si>
  <si>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</si>
  <si>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</si>
  <si>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</si>
  <si>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</si>
  <si>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</si>
  <si>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</si>
  <si>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</si>
  <si>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</si>
  <si>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</si>
  <si>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</si>
  <si>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</si>
  <si>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</si>
  <si>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</si>
  <si>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</si>
  <si>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</si>
  <si>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Tonganoxie</t>
  </si>
  <si>
    <t>Leavenworth</t>
  </si>
  <si>
    <t>Union Fire #9</t>
  </si>
  <si>
    <t>City of Tonganoxie</t>
  </si>
  <si>
    <t>Fire Maintenance</t>
  </si>
  <si>
    <t>Fire Equipment</t>
  </si>
  <si>
    <t>Mileage</t>
  </si>
  <si>
    <t>Administration</t>
  </si>
  <si>
    <t>Tonganoxie Fire Dept.</t>
  </si>
  <si>
    <t>Building Maintenance</t>
  </si>
  <si>
    <t>Supplies/Fire Operations</t>
  </si>
  <si>
    <t>Other Operating</t>
  </si>
  <si>
    <t>Utilities</t>
  </si>
  <si>
    <t>Building Expense</t>
  </si>
  <si>
    <t>Operations</t>
  </si>
  <si>
    <t>Fire Operations</t>
  </si>
  <si>
    <t>Radio Equipment</t>
  </si>
  <si>
    <t>911 Communications Radios</t>
  </si>
  <si>
    <t>August 18, 2011</t>
  </si>
  <si>
    <t>7:00 pm</t>
  </si>
  <si>
    <t>Tonganoxie Township Fire Station</t>
  </si>
  <si>
    <t>Steve LaForge's Residence, 25563 Evans Rd., Tonganoxie, KS 66086</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</si>
</sst>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419100</xdr:colOff>
      <xdr:row>39</xdr:row>
      <xdr:rowOff>180975</xdr:rowOff>
    </xdr:to>
    <xdr:pic>
      <xdr:nvPicPr>
        <xdr:cNvPr id="1" name="Picture 1"/>
        <xdr:cNvPicPr preferRelativeResize="1">
          <a:picLocks noChangeAspect="1"/>
        </xdr:cNvPicPr>
      </xdr:nvPicPr>
      <xdr:blipFill>
        <a:blip r:embed="rId1"/>
        <a:stretch>
          <a:fillRect/>
        </a:stretch>
      </xdr:blipFill>
      <xdr:spPr>
        <a:xfrm>
          <a:off x="0" y="0"/>
          <a:ext cx="6286500" cy="798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123825</xdr:colOff>
      <xdr:row>43</xdr:row>
      <xdr:rowOff>76200</xdr:rowOff>
    </xdr:to>
    <xdr:pic>
      <xdr:nvPicPr>
        <xdr:cNvPr id="1" name="Picture 1"/>
        <xdr:cNvPicPr preferRelativeResize="1">
          <a:picLocks noChangeAspect="1"/>
        </xdr:cNvPicPr>
      </xdr:nvPicPr>
      <xdr:blipFill>
        <a:blip r:embed="rId1"/>
        <a:stretch>
          <a:fillRect/>
        </a:stretch>
      </xdr:blipFill>
      <xdr:spPr>
        <a:xfrm>
          <a:off x="0" y="0"/>
          <a:ext cx="6829425" cy="867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132</v>
      </c>
    </row>
    <row r="4" ht="15.75">
      <c r="A4" s="220"/>
    </row>
    <row r="5" ht="52.5" customHeight="1">
      <c r="A5" s="221" t="s">
        <v>345</v>
      </c>
    </row>
    <row r="6" ht="15.75">
      <c r="A6" s="221"/>
    </row>
    <row r="7" ht="51" customHeight="1">
      <c r="A7" s="221" t="s">
        <v>364</v>
      </c>
    </row>
    <row r="8" ht="15.75">
      <c r="A8" s="221"/>
    </row>
    <row r="9" ht="15.75">
      <c r="A9" s="221" t="s">
        <v>133</v>
      </c>
    </row>
    <row r="12" ht="15.75">
      <c r="A12" s="218" t="s">
        <v>192</v>
      </c>
    </row>
    <row r="14" ht="15.75">
      <c r="A14" s="220" t="s">
        <v>193</v>
      </c>
    </row>
    <row r="17" ht="38.25" customHeight="1">
      <c r="A17" s="222" t="s">
        <v>317</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793</v>
      </c>
    </row>
    <row r="42" ht="52.5" customHeight="1">
      <c r="A42" s="228" t="s">
        <v>140</v>
      </c>
    </row>
    <row r="43" ht="33" customHeight="1">
      <c r="A43" s="221" t="s">
        <v>170</v>
      </c>
    </row>
    <row r="44" ht="10.5" customHeight="1">
      <c r="A44" s="221"/>
    </row>
    <row r="45" ht="108" customHeight="1">
      <c r="A45" s="221" t="s">
        <v>794</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608" t="s">
        <v>795</v>
      </c>
    </row>
    <row r="74" ht="78.75" customHeight="1">
      <c r="A74" s="608" t="s">
        <v>796</v>
      </c>
    </row>
    <row r="75" ht="73.5" customHeight="1">
      <c r="A75" s="221" t="s">
        <v>797</v>
      </c>
    </row>
    <row r="76" ht="120.75" customHeight="1">
      <c r="A76" s="221" t="s">
        <v>798</v>
      </c>
    </row>
    <row r="77" ht="72.75" customHeight="1">
      <c r="A77" s="221" t="s">
        <v>799</v>
      </c>
    </row>
    <row r="78" ht="72.75" customHeight="1">
      <c r="A78" s="608" t="s">
        <v>800</v>
      </c>
    </row>
    <row r="79" ht="100.5" customHeight="1">
      <c r="A79" s="221" t="s">
        <v>801</v>
      </c>
    </row>
    <row r="80" ht="110.25" customHeight="1">
      <c r="A80" s="221" t="s">
        <v>802</v>
      </c>
    </row>
    <row r="81" ht="100.5" customHeight="1">
      <c r="A81" s="229" t="s">
        <v>803</v>
      </c>
    </row>
    <row r="82" ht="61.5" customHeight="1">
      <c r="A82" s="383" t="s">
        <v>804</v>
      </c>
    </row>
    <row r="83" ht="118.5" customHeight="1">
      <c r="A83" s="221" t="s">
        <v>805</v>
      </c>
    </row>
    <row r="84" ht="86.25" customHeight="1">
      <c r="A84" s="229" t="s">
        <v>806</v>
      </c>
    </row>
    <row r="85" ht="101.25" customHeight="1">
      <c r="A85" s="229" t="s">
        <v>807</v>
      </c>
    </row>
    <row r="86" ht="133.5" customHeight="1">
      <c r="A86" s="221" t="s">
        <v>808</v>
      </c>
    </row>
    <row r="87" ht="137.25" customHeight="1">
      <c r="A87" s="221" t="s">
        <v>809</v>
      </c>
    </row>
    <row r="88" ht="101.25" customHeight="1">
      <c r="A88" s="221" t="s">
        <v>810</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608" t="s">
        <v>817</v>
      </c>
    </row>
    <row r="98" ht="116.25" customHeight="1">
      <c r="A98" s="608" t="s">
        <v>818</v>
      </c>
    </row>
    <row r="99" ht="90" customHeight="1">
      <c r="A99" s="221" t="s">
        <v>811</v>
      </c>
    </row>
    <row r="100" ht="48.75" customHeight="1">
      <c r="A100" s="221" t="s">
        <v>812</v>
      </c>
    </row>
    <row r="101" ht="61.5" customHeight="1">
      <c r="A101" s="221" t="s">
        <v>813</v>
      </c>
    </row>
    <row r="102" ht="9" customHeight="1"/>
    <row r="103" ht="78.75" customHeight="1">
      <c r="A103" s="221" t="s">
        <v>424</v>
      </c>
    </row>
    <row r="105" ht="73.5" customHeight="1">
      <c r="A105" s="608" t="s">
        <v>814</v>
      </c>
    </row>
    <row r="106" ht="108" customHeight="1">
      <c r="A106" s="608" t="s">
        <v>815</v>
      </c>
    </row>
    <row r="107" ht="96" customHeight="1">
      <c r="A107" s="608" t="s">
        <v>816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Tonganoxie</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123</v>
      </c>
      <c r="B5" s="661"/>
      <c r="C5" s="661"/>
      <c r="D5" s="661"/>
      <c r="E5" s="661"/>
      <c r="F5" s="661"/>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2010</v>
      </c>
      <c r="D9" s="260">
        <f>F1-1</f>
        <v>2011</v>
      </c>
      <c r="E9" s="260">
        <f>F1</f>
        <v>2012</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646</v>
      </c>
      <c r="C28" s="66"/>
      <c r="D28" s="184"/>
      <c r="E28" s="184"/>
      <c r="F28" s="196"/>
    </row>
    <row r="29" spans="1:6" ht="15.75">
      <c r="A29" s="196"/>
      <c r="B29" s="90" t="s">
        <v>131</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0">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Tonganoxie</v>
      </c>
      <c r="B1" s="281"/>
      <c r="C1" s="281"/>
      <c r="D1" s="281"/>
      <c r="E1" s="281"/>
      <c r="F1" s="281"/>
      <c r="G1" s="281"/>
      <c r="H1" s="281"/>
      <c r="I1" s="66"/>
      <c r="J1" s="66"/>
      <c r="K1" s="231">
        <f>inputPrYr!D9</f>
        <v>2012</v>
      </c>
    </row>
    <row r="2" spans="1:11" ht="15.75">
      <c r="A2" s="280" t="str">
        <f>inputPrYr!$D$4</f>
        <v>Leavenworth</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2011</v>
      </c>
      <c r="I6" s="289"/>
      <c r="J6" s="288">
        <f>K1</f>
        <v>2012</v>
      </c>
      <c r="K6" s="289"/>
    </row>
    <row r="7" spans="1:11" ht="15.75">
      <c r="A7" s="290" t="s">
        <v>11</v>
      </c>
      <c r="B7" s="237" t="s">
        <v>12</v>
      </c>
      <c r="C7" s="237" t="s">
        <v>301</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1,2011</v>
      </c>
      <c r="G23" s="237">
        <f>K1-1</f>
        <v>2011</v>
      </c>
      <c r="H23" s="237">
        <f>K1</f>
        <v>2012</v>
      </c>
      <c r="I23" s="311"/>
      <c r="J23" s="311"/>
      <c r="K23" s="311"/>
    </row>
    <row r="24" spans="1:11" s="312" customFormat="1" ht="15.75">
      <c r="A24" s="295" t="s">
        <v>845</v>
      </c>
      <c r="B24" s="296">
        <v>40416</v>
      </c>
      <c r="C24" s="319">
        <v>94</v>
      </c>
      <c r="D24" s="297">
        <v>0</v>
      </c>
      <c r="E24" s="175">
        <v>51010.12</v>
      </c>
      <c r="F24" s="175">
        <v>51010.12</v>
      </c>
      <c r="G24" s="175">
        <v>7287.16</v>
      </c>
      <c r="H24" s="175">
        <v>7287</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51010.12</v>
      </c>
      <c r="G36" s="308">
        <f>SUM(G24:G35)</f>
        <v>7287.16</v>
      </c>
      <c r="H36" s="308">
        <f>SUM(H24:H35)</f>
        <v>7287</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50">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Tonganoxie</v>
      </c>
      <c r="C1" s="66"/>
      <c r="D1" s="66"/>
      <c r="E1" s="231">
        <f>inputPrYr!D9</f>
        <v>2012</v>
      </c>
    </row>
    <row r="2" spans="2:5" ht="15.75">
      <c r="B2" s="610" t="s">
        <v>792</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98</v>
      </c>
      <c r="D6" s="418">
        <f>C47</f>
        <v>26407.910000000003</v>
      </c>
      <c r="E6" s="267">
        <f>D47</f>
        <v>26309.910000000003</v>
      </c>
    </row>
    <row r="7" spans="2:5" ht="15.75">
      <c r="B7" s="82" t="s">
        <v>75</v>
      </c>
      <c r="C7" s="418"/>
      <c r="D7" s="418"/>
      <c r="E7" s="328"/>
    </row>
    <row r="8" spans="2:5" ht="15.75">
      <c r="B8" s="82" t="s">
        <v>288</v>
      </c>
      <c r="C8" s="326">
        <v>30102.74</v>
      </c>
      <c r="D8" s="418">
        <f>inputPrYr!E20</f>
        <v>32649</v>
      </c>
      <c r="E8" s="328" t="s">
        <v>267</v>
      </c>
    </row>
    <row r="9" spans="2:5" ht="15.75">
      <c r="B9" s="82" t="s">
        <v>289</v>
      </c>
      <c r="C9" s="326">
        <v>1280.92</v>
      </c>
      <c r="D9" s="326"/>
      <c r="E9" s="175"/>
    </row>
    <row r="10" spans="2:5" ht="15.75">
      <c r="B10" s="82" t="s">
        <v>290</v>
      </c>
      <c r="C10" s="326">
        <v>4749.32</v>
      </c>
      <c r="D10" s="326">
        <v>5520</v>
      </c>
      <c r="E10" s="267">
        <f>mvalloc!G12</f>
        <v>5436.48</v>
      </c>
    </row>
    <row r="11" spans="2:5" ht="15.75">
      <c r="B11" s="82" t="s">
        <v>291</v>
      </c>
      <c r="C11" s="326">
        <v>82.16</v>
      </c>
      <c r="D11" s="326">
        <v>103</v>
      </c>
      <c r="E11" s="267">
        <f>mvalloc!I12</f>
        <v>110.89999999999998</v>
      </c>
    </row>
    <row r="12" spans="2:5" ht="15.75">
      <c r="B12" s="329" t="s">
        <v>24</v>
      </c>
      <c r="C12" s="326">
        <v>59.24</v>
      </c>
      <c r="D12" s="326">
        <v>112</v>
      </c>
      <c r="E12" s="267">
        <f>mvalloc!J12</f>
        <v>116</v>
      </c>
    </row>
    <row r="13" spans="2:5" ht="15.75">
      <c r="B13" s="329" t="s">
        <v>116</v>
      </c>
      <c r="C13" s="326"/>
      <c r="D13" s="326"/>
      <c r="E13" s="267">
        <f>inputOth!E70</f>
        <v>0</v>
      </c>
    </row>
    <row r="14" spans="2:5" ht="15.75">
      <c r="B14" s="329" t="s">
        <v>117</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36274.380000000005</v>
      </c>
      <c r="D25" s="421">
        <f>SUM(D8:D23)</f>
        <v>38384</v>
      </c>
      <c r="E25" s="335">
        <f>SUM(E8:E23)</f>
        <v>5663.379999999999</v>
      </c>
    </row>
    <row r="26" spans="2:5" ht="15.75">
      <c r="B26" s="100" t="s">
        <v>296</v>
      </c>
      <c r="C26" s="421">
        <f>C25+C6</f>
        <v>36372.380000000005</v>
      </c>
      <c r="D26" s="421">
        <f>D25+D6</f>
        <v>64791.91</v>
      </c>
      <c r="E26" s="335">
        <f>E25+E6</f>
        <v>31973.29</v>
      </c>
    </row>
    <row r="27" spans="2:5" ht="15.75">
      <c r="B27" s="82" t="s">
        <v>297</v>
      </c>
      <c r="C27" s="418"/>
      <c r="D27" s="418"/>
      <c r="E27" s="267"/>
    </row>
    <row r="28" spans="2:5" ht="15.75">
      <c r="B28" s="330"/>
      <c r="C28" s="326"/>
      <c r="D28" s="326"/>
      <c r="E28" s="175"/>
    </row>
    <row r="29" spans="2:5" ht="15.75">
      <c r="B29" s="331" t="s">
        <v>56</v>
      </c>
      <c r="C29" s="326">
        <v>1095</v>
      </c>
      <c r="D29" s="326">
        <v>1080</v>
      </c>
      <c r="E29" s="175">
        <v>2000</v>
      </c>
    </row>
    <row r="30" spans="2:5" ht="15.75">
      <c r="B30" s="331" t="s">
        <v>80</v>
      </c>
      <c r="C30" s="326"/>
      <c r="D30" s="326"/>
      <c r="E30" s="175"/>
    </row>
    <row r="31" spans="2:5" ht="15.75">
      <c r="B31" s="331" t="s">
        <v>57</v>
      </c>
      <c r="C31" s="326"/>
      <c r="D31" s="326">
        <v>800</v>
      </c>
      <c r="E31" s="175">
        <v>2000</v>
      </c>
    </row>
    <row r="32" spans="2:5" ht="15.75">
      <c r="B32" s="331" t="s">
        <v>835</v>
      </c>
      <c r="C32" s="326">
        <v>5477.13</v>
      </c>
      <c r="D32" s="326">
        <v>5000</v>
      </c>
      <c r="E32" s="175">
        <v>6000</v>
      </c>
    </row>
    <row r="33" spans="2:5" ht="15.75">
      <c r="B33" s="330" t="s">
        <v>834</v>
      </c>
      <c r="C33" s="326">
        <v>2129.34</v>
      </c>
      <c r="D33" s="326"/>
      <c r="E33" s="175">
        <v>5000</v>
      </c>
    </row>
    <row r="34" spans="2:5" ht="15.75">
      <c r="B34" s="330" t="s">
        <v>838</v>
      </c>
      <c r="C34" s="326">
        <v>463</v>
      </c>
      <c r="D34" s="326">
        <v>9575</v>
      </c>
      <c r="E34" s="175">
        <v>10000</v>
      </c>
    </row>
    <row r="35" spans="2:5" ht="15.75">
      <c r="B35" s="331" t="s">
        <v>82</v>
      </c>
      <c r="C35" s="326">
        <v>800</v>
      </c>
      <c r="D35" s="326">
        <v>6000</v>
      </c>
      <c r="E35" s="175">
        <v>6000</v>
      </c>
    </row>
    <row r="36" spans="2:5" ht="15.75">
      <c r="B36" s="331" t="s">
        <v>836</v>
      </c>
      <c r="C36" s="326"/>
      <c r="D36" s="326">
        <v>10000</v>
      </c>
      <c r="E36" s="175">
        <v>15850</v>
      </c>
    </row>
    <row r="37" spans="2:5" ht="15.75">
      <c r="B37" s="330" t="s">
        <v>837</v>
      </c>
      <c r="C37" s="326"/>
      <c r="D37" s="326">
        <v>1027</v>
      </c>
      <c r="E37" s="175">
        <v>3500</v>
      </c>
    </row>
    <row r="38" spans="2:5" ht="15.75">
      <c r="B38" s="331" t="s">
        <v>839</v>
      </c>
      <c r="C38" s="326"/>
      <c r="D38" s="326">
        <v>5000</v>
      </c>
      <c r="E38" s="175">
        <v>8000</v>
      </c>
    </row>
    <row r="39" spans="2:5" ht="15.75">
      <c r="B39" s="329" t="s">
        <v>199</v>
      </c>
      <c r="C39" s="326"/>
      <c r="D39" s="326"/>
      <c r="E39" s="175"/>
    </row>
    <row r="40" spans="2:10" ht="15.75">
      <c r="B40" s="329" t="s">
        <v>200</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201</v>
      </c>
      <c r="C41" s="326"/>
      <c r="D41" s="326"/>
      <c r="E41" s="175"/>
      <c r="G41" s="611"/>
      <c r="H41" s="612"/>
      <c r="I41" s="612"/>
      <c r="J41" s="613"/>
    </row>
    <row r="42" spans="2:10" ht="15.75">
      <c r="B42" s="82" t="s">
        <v>824</v>
      </c>
      <c r="C42" s="420">
        <f>IF(C26*0.25&lt;C41,"Exceeds 25%","")</f>
      </c>
      <c r="D42" s="420">
        <f>IF(D26*0.25&lt;D41,"Exceeds 25%","")</f>
      </c>
      <c r="E42" s="336">
        <f>IF(E26*0.25+E53&lt;E41,"Exceeds 25%","")</f>
      </c>
      <c r="G42" s="614">
        <f>D47</f>
        <v>26309.910000000003</v>
      </c>
      <c r="H42" s="615" t="str">
        <f>CONCATENATE("",E1-1," Ending Cash Balance (est.)")</f>
        <v>2011 Ending Cash Balance (est.)</v>
      </c>
      <c r="I42" s="616"/>
      <c r="J42" s="613"/>
    </row>
    <row r="43" spans="2:10" ht="15.75">
      <c r="B43" s="329" t="s">
        <v>242</v>
      </c>
      <c r="C43" s="326"/>
      <c r="D43" s="326"/>
      <c r="E43" s="186">
        <f>nhood!E6</f>
      </c>
      <c r="G43" s="614">
        <f>E25</f>
        <v>5663.379999999999</v>
      </c>
      <c r="H43" s="617" t="str">
        <f>CONCATENATE("",E1," Non-AV Receipts (est.)")</f>
        <v>2012 Non-AV Receipts (est.)</v>
      </c>
      <c r="I43" s="617"/>
      <c r="J43" s="613"/>
    </row>
    <row r="44" spans="2:10" ht="15.75">
      <c r="B44" s="329" t="s">
        <v>240</v>
      </c>
      <c r="C44" s="326"/>
      <c r="D44" s="326"/>
      <c r="E44" s="175"/>
      <c r="G44" s="618">
        <f>E53</f>
        <v>26376.71</v>
      </c>
      <c r="H44" s="617" t="str">
        <f>CONCATENATE("",E1," Ad Valorem Tax (est.)")</f>
        <v>2012 Ad Valorem Tax (est.)</v>
      </c>
      <c r="I44" s="617"/>
      <c r="J44" s="613"/>
    </row>
    <row r="45" spans="2:10" ht="15.75">
      <c r="B45" s="329" t="s">
        <v>752</v>
      </c>
      <c r="C45" s="420">
        <f>IF(C46*0.1&lt;C44,"Exceed 10% Rule","")</f>
      </c>
      <c r="D45" s="420">
        <f>IF(D46*0.1&lt;D44,"Exceed 10% Rule","")</f>
      </c>
      <c r="E45" s="336">
        <f>IF(E46*0.1&lt;E44,"Exceed 10% Rule","")</f>
      </c>
      <c r="G45" s="614">
        <f>SUM(G42:G44)</f>
        <v>58350</v>
      </c>
      <c r="H45" s="617" t="str">
        <f>CONCATENATE("Total ",E1," Resources Available")</f>
        <v>Total 2012 Resources Available</v>
      </c>
      <c r="I45" s="616"/>
      <c r="J45" s="613"/>
    </row>
    <row r="46" spans="2:10" ht="15.75">
      <c r="B46" s="100" t="s">
        <v>298</v>
      </c>
      <c r="C46" s="421">
        <f>SUM(C28:C39,C41,C43:C44)</f>
        <v>9964.470000000001</v>
      </c>
      <c r="D46" s="421">
        <f>SUM(D28:D39,D41,D43:D44)</f>
        <v>38482</v>
      </c>
      <c r="E46" s="335">
        <f>SUM(E28:E39,E43:E44,E41)</f>
        <v>58350</v>
      </c>
      <c r="G46" s="619"/>
      <c r="H46" s="617"/>
      <c r="I46" s="617"/>
      <c r="J46" s="613"/>
    </row>
    <row r="47" spans="2:10" ht="15.75">
      <c r="B47" s="82" t="s">
        <v>74</v>
      </c>
      <c r="C47" s="422">
        <f>C26-C46</f>
        <v>26407.910000000003</v>
      </c>
      <c r="D47" s="422">
        <f>D26-D46</f>
        <v>26309.910000000003</v>
      </c>
      <c r="E47" s="328" t="s">
        <v>267</v>
      </c>
      <c r="G47" s="618">
        <f>C46*0.05+C46</f>
        <v>10462.693500000001</v>
      </c>
      <c r="H47" s="617" t="str">
        <f>CONCATENATE("Less ",E1-2," Expenditures + 5%")</f>
        <v>Less 2010 Expenditures + 5%</v>
      </c>
      <c r="I47" s="616"/>
      <c r="J47" s="613"/>
    </row>
    <row r="48" spans="2:10" ht="15.75">
      <c r="B48" s="121" t="str">
        <f>CONCATENATE("",E1-2,"/",E1-1," Budget Authority Amount:")</f>
        <v>2010/2011 Budget Authority Amount:</v>
      </c>
      <c r="C48" s="362">
        <f>inputOth!B83</f>
        <v>36530</v>
      </c>
      <c r="D48" s="69">
        <f>inputPrYr!D20</f>
        <v>38482</v>
      </c>
      <c r="E48" s="328" t="s">
        <v>267</v>
      </c>
      <c r="F48" s="337"/>
      <c r="G48" s="620">
        <f>G45-G47</f>
        <v>47887.3065</v>
      </c>
      <c r="H48" s="621" t="str">
        <f>CONCATENATE("Projected ",E1+1," Carryover (est.)")</f>
        <v>Projected 2013 Carryover (est.)</v>
      </c>
      <c r="I48" s="622"/>
      <c r="J48" s="623"/>
    </row>
    <row r="49" spans="2:6" ht="15.75">
      <c r="B49" s="121"/>
      <c r="C49" s="680" t="s">
        <v>749</v>
      </c>
      <c r="D49" s="681"/>
      <c r="E49" s="175"/>
      <c r="F49" s="337">
        <f>IF(E46/0.95-E46&lt;E49,"Exceeds 5%","")</f>
      </c>
    </row>
    <row r="50" spans="2:10" ht="15.75">
      <c r="B50" s="532" t="str">
        <f>CONCATENATE(C70,"      ",D70)</f>
        <v>      </v>
      </c>
      <c r="C50" s="682" t="s">
        <v>750</v>
      </c>
      <c r="D50" s="683"/>
      <c r="E50" s="267">
        <f>E46+E49</f>
        <v>58350</v>
      </c>
      <c r="G50" s="553">
        <f>IF(inputOth!E11=0,"",ROUND(gen!E53/inputOth!E11*1000,3))</f>
        <v>0.45</v>
      </c>
      <c r="H50" s="554" t="str">
        <f>CONCATENATE("Projected ",E1-1," Mill Rate (est.)")</f>
        <v>Projected 2011 Mill Rate (est.)</v>
      </c>
      <c r="I50" s="555"/>
      <c r="J50" s="556"/>
    </row>
    <row r="51" spans="2:10" ht="15.75">
      <c r="B51" s="532" t="str">
        <f>CONCATENATE(C71,"       ",D71)</f>
        <v>       </v>
      </c>
      <c r="C51" s="535"/>
      <c r="D51" s="534" t="s">
        <v>300</v>
      </c>
      <c r="E51" s="186">
        <f>IF(E50-E26&gt;0,E50-E26,0)</f>
        <v>26376.71</v>
      </c>
      <c r="G51" s="557"/>
      <c r="H51" s="557"/>
      <c r="I51" s="557"/>
      <c r="J51" s="557"/>
    </row>
    <row r="52" spans="2:10" ht="15.75">
      <c r="B52" s="216"/>
      <c r="C52" s="533" t="s">
        <v>751</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26376.71</v>
      </c>
      <c r="G53" s="558"/>
      <c r="H53" s="541"/>
      <c r="I53" s="546"/>
      <c r="J53" s="559"/>
    </row>
    <row r="54" spans="2:10" ht="15.75">
      <c r="B54" s="66"/>
      <c r="C54" s="66"/>
      <c r="D54" s="66"/>
      <c r="E54" s="66"/>
      <c r="G54" s="560" t="s">
        <v>755</v>
      </c>
      <c r="H54" s="546"/>
      <c r="I54" s="546"/>
      <c r="J54" s="561">
        <v>0</v>
      </c>
    </row>
    <row r="55" spans="2:10" s="339" customFormat="1" ht="15.75">
      <c r="B55" s="73"/>
      <c r="C55" s="73"/>
      <c r="D55" s="274"/>
      <c r="E55" s="73"/>
      <c r="G55" s="558" t="s">
        <v>756</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281</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Tonganoxie</v>
      </c>
      <c r="C1" s="66"/>
      <c r="D1" s="66"/>
      <c r="E1" s="342">
        <f>inputPrYr!$D$9</f>
        <v>2012</v>
      </c>
    </row>
    <row r="2" spans="2:5" ht="15.75">
      <c r="B2" s="66"/>
      <c r="C2" s="66"/>
      <c r="D2" s="66"/>
      <c r="E2" s="216"/>
    </row>
    <row r="3" spans="2:5" ht="15.75">
      <c r="B3" s="610" t="s">
        <v>792</v>
      </c>
      <c r="C3" s="213"/>
      <c r="D3" s="213"/>
      <c r="E3" s="68"/>
    </row>
    <row r="4" spans="2:5" ht="15.75">
      <c r="B4" s="66"/>
      <c r="C4" s="343"/>
      <c r="D4" s="343"/>
      <c r="E4" s="343"/>
    </row>
    <row r="5" spans="2:5" ht="15.75">
      <c r="B5" s="74" t="s">
        <v>282</v>
      </c>
      <c r="C5" s="416" t="s">
        <v>283</v>
      </c>
      <c r="D5" s="419" t="s">
        <v>284</v>
      </c>
      <c r="E5" s="76" t="s">
        <v>285</v>
      </c>
    </row>
    <row r="6" spans="2:5" ht="15.75">
      <c r="B6" s="517" t="s">
        <v>321</v>
      </c>
      <c r="C6" s="417" t="str">
        <f>CONCATENATE("Actual ",$E$1-2,"")</f>
        <v>Actual 2010</v>
      </c>
      <c r="D6" s="417" t="str">
        <f>CONCATENATE("Estimate ",$E$1-1,"")</f>
        <v>Estimate 2011</v>
      </c>
      <c r="E6" s="81" t="str">
        <f>CONCATENATE("Year ",$E$1,"")</f>
        <v>Year 2012</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267</v>
      </c>
      <c r="F53" s="337"/>
      <c r="G53" s="567">
        <f>E29</f>
        <v>0</v>
      </c>
      <c r="H53" s="569" t="str">
        <f>CONCATENATE("",E1," Non-AV Receipts (est.)")</f>
        <v>2012 Non-AV Receipts (est.)</v>
      </c>
      <c r="I53" s="542"/>
    </row>
    <row r="54" spans="2:9" ht="15.75">
      <c r="B54" s="121"/>
      <c r="C54" s="680" t="s">
        <v>749</v>
      </c>
      <c r="D54" s="681"/>
      <c r="E54" s="175"/>
      <c r="F54" s="337">
        <f>IF(E51/0.95-E51&lt;E54,"Exceeds 5%","")</f>
      </c>
      <c r="G54" s="570">
        <f>E58</f>
        <v>0</v>
      </c>
      <c r="H54" s="569" t="str">
        <f>CONCATENATE("",E1," Ad Valorem Tax (est.)")</f>
        <v>2012 Ad Valorem Tax (est.)</v>
      </c>
      <c r="I54" s="542"/>
    </row>
    <row r="55" spans="2:9" ht="15.75">
      <c r="B55" s="532" t="str">
        <f>CONCATENATE(C68,"     ",D68)</f>
        <v>     </v>
      </c>
      <c r="C55" s="682" t="s">
        <v>750</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300</v>
      </c>
      <c r="E56" s="186">
        <f>IF(E55-E30&gt;0,E55-E30,0)</f>
        <v>0</v>
      </c>
      <c r="G56" s="571"/>
      <c r="H56" s="569"/>
      <c r="I56" s="542"/>
    </row>
    <row r="57" spans="2:9" ht="15.75">
      <c r="B57" s="216"/>
      <c r="C57" s="533" t="s">
        <v>751</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5">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Tonganoxie</v>
      </c>
      <c r="C1" s="66"/>
      <c r="D1" s="66"/>
      <c r="E1" s="231">
        <f>inputPrYr!D9</f>
        <v>2012</v>
      </c>
    </row>
    <row r="2" spans="2:5" ht="15.75">
      <c r="B2" s="610" t="s">
        <v>792</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288</v>
      </c>
      <c r="C8" s="326"/>
      <c r="D8" s="418">
        <f>inputPrYr!E22</f>
        <v>0</v>
      </c>
      <c r="E8" s="328" t="s">
        <v>267</v>
      </c>
    </row>
    <row r="9" spans="2:5" ht="15.75">
      <c r="B9" s="82" t="s">
        <v>289</v>
      </c>
      <c r="C9" s="326"/>
      <c r="D9" s="326"/>
      <c r="E9" s="175"/>
    </row>
    <row r="10" spans="2:5" ht="15.75">
      <c r="B10" s="82" t="s">
        <v>290</v>
      </c>
      <c r="C10" s="326"/>
      <c r="D10" s="326"/>
      <c r="E10" s="267">
        <f>mvalloc!G14</f>
        <v>0</v>
      </c>
    </row>
    <row r="11" spans="2:5" ht="15.75">
      <c r="B11" s="82" t="s">
        <v>291</v>
      </c>
      <c r="C11" s="326"/>
      <c r="D11" s="326"/>
      <c r="E11" s="267">
        <f>mvalloc!I14</f>
        <v>0</v>
      </c>
    </row>
    <row r="12" spans="2:5" ht="15.75">
      <c r="B12" s="82" t="s">
        <v>54</v>
      </c>
      <c r="C12" s="326"/>
      <c r="D12" s="326"/>
      <c r="E12" s="267">
        <f>mvalloc!J14</f>
        <v>0</v>
      </c>
    </row>
    <row r="13" spans="2:5" ht="15.75">
      <c r="B13" s="82" t="s">
        <v>117</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0</v>
      </c>
      <c r="D23" s="421">
        <f>SUM(D8:D21)</f>
        <v>0</v>
      </c>
      <c r="E23" s="335">
        <f>SUM(E8:E21)</f>
        <v>0</v>
      </c>
    </row>
    <row r="24" spans="2:5" ht="15.75">
      <c r="B24" s="100" t="s">
        <v>296</v>
      </c>
      <c r="C24" s="421">
        <f>C23+C6</f>
        <v>0</v>
      </c>
      <c r="D24" s="421">
        <f>D23+D6</f>
        <v>0</v>
      </c>
      <c r="E24" s="335">
        <f>E23+E6</f>
        <v>0</v>
      </c>
    </row>
    <row r="25" spans="2:5" ht="15.75">
      <c r="B25" s="82" t="s">
        <v>297</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81</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757</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242</v>
      </c>
      <c r="C38" s="326"/>
      <c r="D38" s="326"/>
      <c r="E38" s="186">
        <f>nhood!E8</f>
      </c>
      <c r="G38" s="540"/>
      <c r="H38" s="541"/>
      <c r="I38" s="541"/>
      <c r="J38" s="542"/>
    </row>
    <row r="39" spans="2:10" ht="15.75">
      <c r="B39" s="329" t="s">
        <v>240</v>
      </c>
      <c r="C39" s="326"/>
      <c r="D39" s="326"/>
      <c r="E39" s="175"/>
      <c r="G39" s="543">
        <f>D42</f>
        <v>0</v>
      </c>
      <c r="H39" s="544" t="str">
        <f>CONCATENATE("",E1-1," Ending Cash Balance (est.)")</f>
        <v>2011 Ending Cash Balance (est.)</v>
      </c>
      <c r="I39" s="545"/>
      <c r="J39" s="542"/>
    </row>
    <row r="40" spans="2:10" ht="15.75">
      <c r="B40" s="329" t="s">
        <v>752</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298</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267</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267</v>
      </c>
      <c r="F43" s="337"/>
      <c r="G43" s="548"/>
      <c r="H43" s="546"/>
      <c r="I43" s="546"/>
      <c r="J43" s="542"/>
    </row>
    <row r="44" spans="2:10" ht="15.75">
      <c r="B44" s="121"/>
      <c r="C44" s="680" t="s">
        <v>749</v>
      </c>
      <c r="D44" s="681"/>
      <c r="E44" s="175"/>
      <c r="F44" s="337">
        <f>IF(E41/0.95-E41&lt;E44,"Exceeds 5%","")</f>
      </c>
      <c r="G44" s="547">
        <f>C41*0.05+C41</f>
        <v>0</v>
      </c>
      <c r="H44" s="546" t="str">
        <f>CONCATENATE("Less ",E1-2," Expenditures + 5%")</f>
        <v>Less 2010 Expenditures + 5%</v>
      </c>
      <c r="I44" s="545"/>
      <c r="J44" s="542"/>
    </row>
    <row r="45" spans="2:10" ht="15.75">
      <c r="B45" s="532" t="str">
        <f>CONCATENATE(C70,"     ",D70)</f>
        <v>     </v>
      </c>
      <c r="C45" s="682" t="s">
        <v>750</v>
      </c>
      <c r="D45" s="683"/>
      <c r="E45" s="267">
        <f>E41+E44</f>
        <v>0</v>
      </c>
      <c r="G45" s="549">
        <f>G42-G44</f>
        <v>0</v>
      </c>
      <c r="H45" s="550" t="str">
        <f>CONCATENATE("Projected ",E1+1," Carryover (est.)")</f>
        <v>Projected 2013 Carryover (est.)</v>
      </c>
      <c r="I45" s="551"/>
      <c r="J45" s="552"/>
    </row>
    <row r="46" spans="2:5" ht="15.75">
      <c r="B46" s="532" t="str">
        <f>CONCATENATE(C71,"     ",D71)</f>
        <v>     </v>
      </c>
      <c r="C46" s="535"/>
      <c r="D46" s="534" t="s">
        <v>300</v>
      </c>
      <c r="E46" s="186">
        <f>IF(E45-E24&gt;0,E45-E24,0)</f>
        <v>0</v>
      </c>
    </row>
    <row r="47" spans="2:10" ht="15.75">
      <c r="B47" s="216"/>
      <c r="C47" s="533" t="s">
        <v>751</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0</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302</v>
      </c>
      <c r="C51" s="209">
        <f>E1-2</f>
        <v>2010</v>
      </c>
      <c r="D51" s="66"/>
      <c r="E51" s="66"/>
      <c r="G51" s="560" t="s">
        <v>755</v>
      </c>
      <c r="H51" s="546"/>
      <c r="I51" s="546"/>
      <c r="J51" s="561">
        <v>0</v>
      </c>
    </row>
    <row r="52" spans="2:10" ht="15.75">
      <c r="B52" s="79" t="s">
        <v>303</v>
      </c>
      <c r="C52" s="81" t="s">
        <v>304</v>
      </c>
      <c r="D52" s="66"/>
      <c r="E52" s="66"/>
      <c r="G52" s="558" t="s">
        <v>756</v>
      </c>
      <c r="H52" s="541"/>
      <c r="I52" s="541"/>
      <c r="J52" s="562">
        <f>IF(J51=0,"",ROUND((J51+E48-G45)/inputOth!E8*1000,3)-G47)</f>
      </c>
    </row>
    <row r="53" spans="2:10" ht="15.75">
      <c r="B53" s="108" t="s">
        <v>286</v>
      </c>
      <c r="C53" s="531"/>
      <c r="D53" s="66"/>
      <c r="E53" s="66"/>
      <c r="G53" s="563" t="str">
        <f>CONCATENATE("",E1," Total Expenditures Must Be:")</f>
        <v>2012 Total Expenditures Must Be:</v>
      </c>
      <c r="H53" s="564"/>
      <c r="I53" s="565"/>
      <c r="J53" s="566">
        <f>IF((J51&gt;0),(E41+J51-G45),0)</f>
        <v>0</v>
      </c>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692">
        <f>IF(AND(gen!C39&gt;0,gen!C41&gt;0),"Not Auth. Two General Transfers - Only One","")</f>
      </c>
      <c r="E56" s="66"/>
    </row>
    <row r="57" spans="2:5" ht="15.75">
      <c r="B57" s="108" t="s">
        <v>204</v>
      </c>
      <c r="C57" s="526">
        <f>IF(gen!C41&gt;0,gen!C41,0)</f>
        <v>0</v>
      </c>
      <c r="D57" s="693"/>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0</v>
      </c>
      <c r="D61" s="66"/>
      <c r="E61" s="66"/>
    </row>
    <row r="62" spans="2:5" ht="15.75">
      <c r="B62" s="354" t="s">
        <v>298</v>
      </c>
      <c r="C62" s="531"/>
      <c r="D62" s="66"/>
      <c r="E62" s="66"/>
    </row>
    <row r="63" spans="2:5" ht="15.75">
      <c r="B63" s="354" t="s">
        <v>299</v>
      </c>
      <c r="C63" s="524">
        <f>C61-C62</f>
        <v>0</v>
      </c>
      <c r="D63" s="66"/>
      <c r="E63" s="66"/>
    </row>
    <row r="64" spans="2:5" ht="15.75">
      <c r="B64" s="66"/>
      <c r="C64" s="66"/>
      <c r="D64" s="66"/>
      <c r="E64" s="66"/>
    </row>
    <row r="65" spans="2:5" ht="15.75">
      <c r="B65" s="216" t="s">
        <v>281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9">
      <selection activeCell="D77" sqref="D7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Tonganoxie</v>
      </c>
      <c r="C1" s="74" t="s">
        <v>307</v>
      </c>
      <c r="D1" s="66"/>
      <c r="E1" s="231">
        <f>inputPrYr!D9</f>
        <v>2012</v>
      </c>
    </row>
    <row r="2" spans="2:5" ht="15.75">
      <c r="B2" s="610" t="s">
        <v>792</v>
      </c>
      <c r="C2" s="66"/>
      <c r="D2" s="66"/>
      <c r="E2" s="357"/>
    </row>
    <row r="3" spans="2:5" ht="15.75">
      <c r="B3" s="66"/>
      <c r="C3" s="72"/>
      <c r="D3" s="72"/>
      <c r="E3" s="66"/>
    </row>
    <row r="4" spans="2:5" ht="15.75">
      <c r="B4" s="74" t="s">
        <v>282</v>
      </c>
      <c r="C4" s="416" t="s">
        <v>283</v>
      </c>
      <c r="D4" s="419" t="s">
        <v>284</v>
      </c>
      <c r="E4" s="76" t="s">
        <v>285</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inputOth!$B86</f>
        <v>0</v>
      </c>
      <c r="D33" s="85">
        <f>inputPrYr!$D23</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t="str">
        <f>inputPrYr!B24</f>
        <v>Fire Maintenance</v>
      </c>
      <c r="C41" s="417" t="str">
        <f>C5</f>
        <v>Actual 2010</v>
      </c>
      <c r="D41" s="417" t="str">
        <f>D5</f>
        <v>Estimate 2011</v>
      </c>
      <c r="E41" s="81" t="str">
        <f>E5</f>
        <v>Year 2012</v>
      </c>
    </row>
    <row r="42" spans="2:5" ht="15.75">
      <c r="B42" s="82" t="s">
        <v>73</v>
      </c>
      <c r="C42" s="326">
        <v>17561</v>
      </c>
      <c r="D42" s="418">
        <f>C68</f>
        <v>20566.13</v>
      </c>
      <c r="E42" s="267">
        <f>D68</f>
        <v>8368.130000000005</v>
      </c>
    </row>
    <row r="43" spans="2:5" ht="15.75">
      <c r="B43" s="82" t="s">
        <v>75</v>
      </c>
      <c r="C43" s="418"/>
      <c r="D43" s="418"/>
      <c r="E43" s="328"/>
    </row>
    <row r="44" spans="2:5" ht="15.75">
      <c r="B44" s="82" t="s">
        <v>288</v>
      </c>
      <c r="C44" s="326">
        <v>23342.47</v>
      </c>
      <c r="D44" s="418">
        <f>inputPrYr!E24</f>
        <v>24867</v>
      </c>
      <c r="E44" s="328" t="s">
        <v>267</v>
      </c>
    </row>
    <row r="45" spans="2:5" ht="15.75">
      <c r="B45" s="82" t="s">
        <v>289</v>
      </c>
      <c r="C45" s="326">
        <v>574.58</v>
      </c>
      <c r="D45" s="326"/>
      <c r="E45" s="175"/>
    </row>
    <row r="46" spans="2:5" ht="15.75">
      <c r="B46" s="82" t="s">
        <v>290</v>
      </c>
      <c r="C46" s="326">
        <v>4000.62</v>
      </c>
      <c r="D46" s="326">
        <v>4160</v>
      </c>
      <c r="E46" s="267">
        <f>mvalloc!G16</f>
        <v>4140</v>
      </c>
    </row>
    <row r="47" spans="2:5" ht="15.75">
      <c r="B47" s="82" t="s">
        <v>291</v>
      </c>
      <c r="C47" s="326">
        <v>88.35</v>
      </c>
      <c r="D47" s="326">
        <v>77</v>
      </c>
      <c r="E47" s="267">
        <f>mvalloc!I16</f>
        <v>84</v>
      </c>
    </row>
    <row r="48" spans="2:5" ht="15.75">
      <c r="B48" s="82" t="s">
        <v>54</v>
      </c>
      <c r="C48" s="326">
        <v>77.02</v>
      </c>
      <c r="D48" s="326">
        <v>85</v>
      </c>
      <c r="E48" s="267">
        <f>mvalloc!J16</f>
        <v>88</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28083.04</v>
      </c>
      <c r="D56" s="421">
        <f>SUM(D44:D54)</f>
        <v>29189</v>
      </c>
      <c r="E56" s="335">
        <f>SUM(E44:E54)</f>
        <v>4312</v>
      </c>
    </row>
    <row r="57" spans="2:5" ht="15.75">
      <c r="B57" s="100" t="s">
        <v>296</v>
      </c>
      <c r="C57" s="421">
        <f>C56+C42</f>
        <v>45644.04</v>
      </c>
      <c r="D57" s="421">
        <f>D56+D42</f>
        <v>49755.130000000005</v>
      </c>
      <c r="E57" s="335">
        <f>E56+E42</f>
        <v>12680.130000000005</v>
      </c>
    </row>
    <row r="58" spans="2:5" ht="15.75">
      <c r="B58" s="82" t="s">
        <v>297</v>
      </c>
      <c r="C58" s="418"/>
      <c r="D58" s="418"/>
      <c r="E58" s="267"/>
    </row>
    <row r="59" spans="2:5" ht="15.75">
      <c r="B59" s="331" t="s">
        <v>840</v>
      </c>
      <c r="C59" s="326">
        <v>1777.56</v>
      </c>
      <c r="D59" s="326">
        <v>3500</v>
      </c>
      <c r="E59" s="175">
        <v>3500</v>
      </c>
    </row>
    <row r="60" spans="2:5" ht="15.75">
      <c r="B60" s="331" t="s">
        <v>841</v>
      </c>
      <c r="C60" s="326">
        <v>3655</v>
      </c>
      <c r="D60" s="326">
        <v>12000</v>
      </c>
      <c r="E60" s="175">
        <v>12000</v>
      </c>
    </row>
    <row r="61" spans="2:5" ht="15.75">
      <c r="B61" s="331" t="s">
        <v>842</v>
      </c>
      <c r="C61" s="326">
        <v>10895.35</v>
      </c>
      <c r="D61" s="326">
        <v>9027</v>
      </c>
      <c r="E61" s="175">
        <v>9027</v>
      </c>
    </row>
    <row r="62" spans="2:5" ht="15.75">
      <c r="B62" s="331" t="s">
        <v>836</v>
      </c>
      <c r="C62" s="326">
        <v>8750</v>
      </c>
      <c r="D62" s="326">
        <v>14440</v>
      </c>
      <c r="E62" s="175">
        <v>12053</v>
      </c>
    </row>
    <row r="63" spans="2:5" ht="15.75">
      <c r="B63" s="331" t="s">
        <v>293</v>
      </c>
      <c r="C63" s="326"/>
      <c r="D63" s="326">
        <v>2420</v>
      </c>
      <c r="E63" s="175">
        <v>2420</v>
      </c>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25077.91</v>
      </c>
      <c r="D67" s="421">
        <f>SUM(D59:D65)</f>
        <v>41387</v>
      </c>
      <c r="E67" s="335">
        <f>SUM(E59:E65)</f>
        <v>39000</v>
      </c>
    </row>
    <row r="68" spans="2:5" ht="15.75">
      <c r="B68" s="82" t="s">
        <v>74</v>
      </c>
      <c r="C68" s="422">
        <f>C57-C67</f>
        <v>20566.13</v>
      </c>
      <c r="D68" s="422">
        <f>D57-D67</f>
        <v>8368.130000000005</v>
      </c>
      <c r="E68" s="328" t="s">
        <v>267</v>
      </c>
    </row>
    <row r="69" spans="2:6" ht="15.75">
      <c r="B69" s="121" t="str">
        <f>CONCATENATE("",$E$1-2,"/",$E$1-1," Budget Authority Amount:")</f>
        <v>2010/2011 Budget Authority Amount:</v>
      </c>
      <c r="C69" s="362">
        <f>inputOth!$B87</f>
        <v>32914</v>
      </c>
      <c r="D69" s="85">
        <f>inputPrYr!$D24</f>
        <v>41387</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39000</v>
      </c>
    </row>
    <row r="72" spans="2:5" ht="15.75">
      <c r="B72" s="532" t="str">
        <f>CONCATENATE(C82,"     ",D82)</f>
        <v>     </v>
      </c>
      <c r="C72" s="535"/>
      <c r="D72" s="534" t="s">
        <v>300</v>
      </c>
      <c r="E72" s="186">
        <f>IF(E71-E57&gt;0,E71-E57,0)</f>
        <v>26319.869999999995</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26319.869999999995</v>
      </c>
    </row>
    <row r="75" spans="2:5" ht="15.75">
      <c r="B75" s="216" t="s">
        <v>281</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65">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Tonganoxie</v>
      </c>
      <c r="C1" s="66"/>
      <c r="D1" s="66"/>
      <c r="E1" s="231">
        <f>inputPrYr!D9</f>
        <v>2012</v>
      </c>
    </row>
    <row r="2" spans="2:5" ht="15.75">
      <c r="B2" s="610" t="s">
        <v>792</v>
      </c>
      <c r="C2" s="66"/>
      <c r="D2" s="213"/>
      <c r="E2" s="358"/>
    </row>
    <row r="3" spans="2:5" ht="15.75">
      <c r="B3" s="66"/>
      <c r="C3" s="72"/>
      <c r="D3" s="72"/>
      <c r="E3" s="72"/>
    </row>
    <row r="4" spans="2:5" ht="15.75">
      <c r="B4" s="74" t="s">
        <v>282</v>
      </c>
      <c r="C4" s="416" t="s">
        <v>283</v>
      </c>
      <c r="D4" s="419" t="s">
        <v>284</v>
      </c>
      <c r="E4" s="76" t="s">
        <v>285</v>
      </c>
    </row>
    <row r="5" spans="2:5" ht="15.75">
      <c r="B5" s="517" t="str">
        <f>inputPrYr!B25</f>
        <v>Fire Equipment</v>
      </c>
      <c r="C5" s="417" t="str">
        <f>gen!C5</f>
        <v>Actual 2010</v>
      </c>
      <c r="D5" s="417" t="str">
        <f>gen!D5</f>
        <v>Estimate 2011</v>
      </c>
      <c r="E5" s="81" t="str">
        <f>gen!E5</f>
        <v>Year 2012</v>
      </c>
    </row>
    <row r="6" spans="2:5" ht="15.75">
      <c r="B6" s="82" t="s">
        <v>73</v>
      </c>
      <c r="C6" s="326">
        <v>27166.77</v>
      </c>
      <c r="D6" s="418">
        <f>C32</f>
        <v>16244.789999999994</v>
      </c>
      <c r="E6" s="267">
        <f>D32</f>
        <v>13926.789999999994</v>
      </c>
    </row>
    <row r="7" spans="2:5" ht="15.75">
      <c r="B7" s="82" t="s">
        <v>75</v>
      </c>
      <c r="C7" s="418"/>
      <c r="D7" s="418"/>
      <c r="E7" s="328"/>
    </row>
    <row r="8" spans="2:5" ht="15.75">
      <c r="B8" s="82" t="s">
        <v>288</v>
      </c>
      <c r="C8" s="326">
        <v>41900.28</v>
      </c>
      <c r="D8" s="418">
        <f>inputPrYr!E25</f>
        <v>43822</v>
      </c>
      <c r="E8" s="328" t="s">
        <v>267</v>
      </c>
    </row>
    <row r="9" spans="2:5" ht="15.75">
      <c r="B9" s="82" t="s">
        <v>289</v>
      </c>
      <c r="C9" s="326">
        <v>1087.45</v>
      </c>
      <c r="D9" s="326"/>
      <c r="E9" s="175"/>
    </row>
    <row r="10" spans="2:5" ht="15.75">
      <c r="B10" s="82" t="s">
        <v>290</v>
      </c>
      <c r="C10" s="326">
        <v>7241.15</v>
      </c>
      <c r="D10" s="326">
        <v>7470</v>
      </c>
      <c r="E10" s="267">
        <f>mvalloc!G17</f>
        <v>7296</v>
      </c>
    </row>
    <row r="11" spans="2:5" ht="15.75">
      <c r="B11" s="82" t="s">
        <v>291</v>
      </c>
      <c r="C11" s="326">
        <v>159.13</v>
      </c>
      <c r="D11" s="326">
        <v>139</v>
      </c>
      <c r="E11" s="267">
        <f>mvalloc!I17</f>
        <v>149</v>
      </c>
    </row>
    <row r="12" spans="2:5" ht="15.75">
      <c r="B12" s="82" t="s">
        <v>54</v>
      </c>
      <c r="C12" s="326">
        <v>168.7</v>
      </c>
      <c r="D12" s="326">
        <v>152</v>
      </c>
      <c r="E12" s="267">
        <f>mvalloc!J17</f>
        <v>156</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v>439</v>
      </c>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50995.70999999999</v>
      </c>
      <c r="D20" s="421">
        <f>SUM(D8:D18)</f>
        <v>51583</v>
      </c>
      <c r="E20" s="335">
        <f>SUM(E8:E18)</f>
        <v>7601</v>
      </c>
    </row>
    <row r="21" spans="2:5" ht="15.75">
      <c r="B21" s="100" t="s">
        <v>296</v>
      </c>
      <c r="C21" s="421">
        <f>C20+C6</f>
        <v>78162.48</v>
      </c>
      <c r="D21" s="421">
        <f>D20+D6</f>
        <v>67827.79</v>
      </c>
      <c r="E21" s="335">
        <f>E20+E6</f>
        <v>21527.789999999994</v>
      </c>
    </row>
    <row r="22" spans="2:5" ht="15.75">
      <c r="B22" s="82" t="s">
        <v>297</v>
      </c>
      <c r="C22" s="418"/>
      <c r="D22" s="418"/>
      <c r="E22" s="267"/>
    </row>
    <row r="23" spans="2:5" ht="15.75">
      <c r="B23" s="331" t="s">
        <v>843</v>
      </c>
      <c r="C23" s="326">
        <v>16750</v>
      </c>
      <c r="D23" s="326"/>
      <c r="E23" s="175"/>
    </row>
    <row r="24" spans="2:5" ht="15.75">
      <c r="B24" s="331" t="s">
        <v>844</v>
      </c>
      <c r="C24" s="326">
        <v>42867.69</v>
      </c>
      <c r="D24" s="326">
        <v>52875</v>
      </c>
      <c r="E24" s="175">
        <v>70000</v>
      </c>
    </row>
    <row r="25" spans="2:5" ht="15.75">
      <c r="B25" s="331" t="s">
        <v>293</v>
      </c>
      <c r="C25" s="326">
        <v>2300</v>
      </c>
      <c r="D25" s="326">
        <v>1026</v>
      </c>
      <c r="E25" s="175">
        <v>3500</v>
      </c>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61917.69</v>
      </c>
      <c r="D31" s="421">
        <f>SUM(D23:D29)</f>
        <v>53901</v>
      </c>
      <c r="E31" s="335">
        <f>SUM(E23:E29)</f>
        <v>73500</v>
      </c>
    </row>
    <row r="32" spans="2:5" ht="15.75">
      <c r="B32" s="82" t="s">
        <v>74</v>
      </c>
      <c r="C32" s="422">
        <f>C21-C31</f>
        <v>16244.789999999994</v>
      </c>
      <c r="D32" s="422">
        <f>D21-D31</f>
        <v>13926.789999999994</v>
      </c>
      <c r="E32" s="328" t="s">
        <v>267</v>
      </c>
    </row>
    <row r="33" spans="2:6" ht="15.75">
      <c r="B33" s="121" t="str">
        <f>CONCATENATE("",$E$1-2,"/",$E$1-1," Budget Authority Amount:")</f>
        <v>2010/2011 Budget Authority Amount:</v>
      </c>
      <c r="C33" s="362">
        <f>inputOth!$B88</f>
        <v>69025</v>
      </c>
      <c r="D33" s="85">
        <f>inputPrYr!$D25</f>
        <v>53901</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73500</v>
      </c>
    </row>
    <row r="36" spans="2:5" ht="15.75">
      <c r="B36" s="532" t="str">
        <f>CONCATENATE(C80,"     ",D80)</f>
        <v>     </v>
      </c>
      <c r="C36" s="535"/>
      <c r="D36" s="534" t="s">
        <v>300</v>
      </c>
      <c r="E36" s="186">
        <f>IF(E35-E21&gt;0,E35-E21,0)</f>
        <v>51972.21000000001</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51972.21000000001</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inputOth!$B89</f>
        <v>0</v>
      </c>
      <c r="D69" s="85">
        <f>inputPrYr!$D26</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Tonganoxie</v>
      </c>
      <c r="C1" s="66"/>
      <c r="D1" s="66"/>
      <c r="E1" s="231">
        <f>inputPrYr!D9</f>
        <v>2012</v>
      </c>
    </row>
    <row r="2" spans="2:5" ht="15.75">
      <c r="B2" s="610" t="s">
        <v>792</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inputOth!$B90</f>
        <v>0</v>
      </c>
      <c r="D33" s="85">
        <f>inputPrYr!$D27</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inputOth!$B91</f>
        <v>0</v>
      </c>
      <c r="D69" s="85">
        <f>inputPrYr!$D28</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Tonganoxie</v>
      </c>
      <c r="C1" s="66"/>
      <c r="D1" s="66"/>
      <c r="E1" s="231">
        <f>inputPrYr!D9</f>
        <v>2012</v>
      </c>
    </row>
    <row r="2" spans="2:5" ht="15.75">
      <c r="B2" s="610" t="s">
        <v>792</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inputOth!$B92</f>
        <v>0</v>
      </c>
      <c r="D33" s="85">
        <f>inputPrYr!$D29</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inputOth!$B93</f>
        <v>0</v>
      </c>
      <c r="D69" s="85">
        <f>inputPrYr!$D30</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9">
      <selection activeCell="D7" sqref="D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828</v>
      </c>
      <c r="E3" s="73"/>
    </row>
    <row r="4" spans="1:5" ht="15.75">
      <c r="A4" s="161" t="s">
        <v>235</v>
      </c>
      <c r="B4" s="66"/>
      <c r="C4" s="66"/>
      <c r="D4" s="162" t="s">
        <v>829</v>
      </c>
      <c r="E4" s="73"/>
    </row>
    <row r="5" spans="1:5" ht="15.75">
      <c r="A5" s="66"/>
      <c r="B5" s="66"/>
      <c r="C5" s="66"/>
      <c r="D5" s="66"/>
      <c r="E5" s="66"/>
    </row>
    <row r="6" spans="1:5" ht="15.75">
      <c r="A6" s="163" t="s">
        <v>154</v>
      </c>
      <c r="B6" s="66"/>
      <c r="C6" s="66"/>
      <c r="D6" s="391" t="s">
        <v>831</v>
      </c>
      <c r="E6" s="66"/>
    </row>
    <row r="7" spans="1:5" ht="15.75">
      <c r="A7" s="163" t="s">
        <v>155</v>
      </c>
      <c r="B7" s="66"/>
      <c r="C7" s="66"/>
      <c r="D7" s="115" t="s">
        <v>830</v>
      </c>
      <c r="E7" s="66"/>
    </row>
    <row r="8" spans="1:5" ht="15.75">
      <c r="A8" s="66"/>
      <c r="B8" s="66"/>
      <c r="C8" s="66"/>
      <c r="D8" s="66"/>
      <c r="E8" s="66"/>
    </row>
    <row r="9" spans="1:5" ht="15.75">
      <c r="A9" s="163" t="s">
        <v>100</v>
      </c>
      <c r="B9" s="66"/>
      <c r="C9" s="66"/>
      <c r="D9" s="164">
        <v>2012</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631" t="s">
        <v>113</v>
      </c>
      <c r="B14" s="632"/>
      <c r="C14" s="632"/>
      <c r="D14" s="632"/>
      <c r="E14" s="632"/>
    </row>
    <row r="15" spans="1:5" ht="15.75">
      <c r="A15" s="161"/>
      <c r="B15" s="66"/>
      <c r="C15" s="66"/>
      <c r="D15" s="66"/>
      <c r="E15" s="66"/>
    </row>
    <row r="16" spans="1:5" ht="15.75">
      <c r="A16" s="167" t="s">
        <v>101</v>
      </c>
      <c r="B16" s="168"/>
      <c r="C16" s="66"/>
      <c r="D16" s="69"/>
      <c r="E16" s="169"/>
    </row>
    <row r="17" spans="1:5" ht="15.75">
      <c r="A17" s="170" t="str">
        <f>CONCATENATE("the ",D9-1," Budget, Certificate Page:")</f>
        <v>the 2011 Budget, Certificate Page:</v>
      </c>
      <c r="B17" s="171"/>
      <c r="C17" s="69"/>
      <c r="D17" s="66"/>
      <c r="E17" s="66"/>
    </row>
    <row r="18" spans="1:5" ht="15.75">
      <c r="A18" s="170" t="s">
        <v>332</v>
      </c>
      <c r="B18" s="171"/>
      <c r="C18" s="69"/>
      <c r="D18" s="172">
        <f>D9-1</f>
        <v>2011</v>
      </c>
      <c r="E18" s="172">
        <f>D9-2</f>
        <v>2010</v>
      </c>
    </row>
    <row r="19" spans="1:5" ht="15.75">
      <c r="A19" s="74" t="s">
        <v>249</v>
      </c>
      <c r="B19" s="66"/>
      <c r="C19" s="173" t="s">
        <v>248</v>
      </c>
      <c r="D19" s="174" t="s">
        <v>363</v>
      </c>
      <c r="E19" s="174" t="s">
        <v>288</v>
      </c>
    </row>
    <row r="20" spans="1:5" ht="15.75">
      <c r="A20" s="66"/>
      <c r="B20" s="108" t="s">
        <v>250</v>
      </c>
      <c r="C20" s="85" t="s">
        <v>251</v>
      </c>
      <c r="D20" s="175">
        <v>38482</v>
      </c>
      <c r="E20" s="175">
        <v>32649</v>
      </c>
    </row>
    <row r="21" spans="1:5" ht="15.75">
      <c r="A21" s="66"/>
      <c r="B21" s="108" t="s">
        <v>321</v>
      </c>
      <c r="C21" s="85" t="s">
        <v>107</v>
      </c>
      <c r="D21" s="175"/>
      <c r="E21" s="175"/>
    </row>
    <row r="22" spans="1:5" ht="15.75">
      <c r="A22" s="66"/>
      <c r="B22" s="108" t="s">
        <v>252</v>
      </c>
      <c r="C22" s="176" t="s">
        <v>237</v>
      </c>
      <c r="D22" s="175"/>
      <c r="E22" s="175"/>
    </row>
    <row r="23" spans="1:5" ht="15.75">
      <c r="A23" s="66"/>
      <c r="B23" s="108" t="s">
        <v>330</v>
      </c>
      <c r="C23" s="90" t="s">
        <v>331</v>
      </c>
      <c r="D23" s="175"/>
      <c r="E23" s="175"/>
    </row>
    <row r="24" spans="1:5" ht="15.75">
      <c r="A24" s="66"/>
      <c r="B24" s="108" t="s">
        <v>832</v>
      </c>
      <c r="C24" s="90" t="s">
        <v>190</v>
      </c>
      <c r="D24" s="175">
        <v>41387</v>
      </c>
      <c r="E24" s="175">
        <v>24867</v>
      </c>
    </row>
    <row r="25" spans="1:5" ht="15.75">
      <c r="A25" s="66"/>
      <c r="B25" s="212" t="s">
        <v>833</v>
      </c>
      <c r="C25" s="90" t="s">
        <v>392</v>
      </c>
      <c r="D25" s="175">
        <v>53901</v>
      </c>
      <c r="E25" s="175">
        <v>43822</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101338</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133770</v>
      </c>
      <c r="E38" s="66"/>
    </row>
    <row r="39" spans="1:5" ht="15.75">
      <c r="A39" s="111" t="s">
        <v>358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0.547</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Fire Maintenance</v>
      </c>
      <c r="C52" s="66"/>
      <c r="D52" s="189">
        <v>1.283</v>
      </c>
      <c r="E52" s="66"/>
    </row>
    <row r="53" spans="1:5" ht="15.75">
      <c r="A53" s="66"/>
      <c r="B53" s="108" t="str">
        <f t="shared" si="0"/>
        <v>Fire Equipment</v>
      </c>
      <c r="C53" s="66"/>
      <c r="D53" s="189">
        <v>2.303</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4.133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98967</v>
      </c>
    </row>
    <row r="62" spans="1:5" ht="15.75">
      <c r="A62" s="192" t="str">
        <f>CONCATENATE("Assessed Valuation (",D9-2," budget column):")</f>
        <v>Assessed Valuation (2010 budget column):</v>
      </c>
      <c r="B62" s="168"/>
      <c r="C62" s="66"/>
      <c r="D62" s="66"/>
      <c r="E62" s="193">
        <v>58173663</v>
      </c>
    </row>
    <row r="63" spans="1:5" ht="15.75">
      <c r="A63" s="66"/>
      <c r="B63" s="66"/>
      <c r="C63" s="66"/>
      <c r="D63" s="66"/>
      <c r="E63" s="194"/>
    </row>
    <row r="64" spans="1:5" ht="15.75">
      <c r="A64" s="195" t="s">
        <v>173</v>
      </c>
      <c r="B64" s="195"/>
      <c r="C64" s="196"/>
      <c r="D64" s="197">
        <f>D9-3</f>
        <v>2009</v>
      </c>
      <c r="E64" s="197">
        <f>D9-2</f>
        <v>2010</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v>54346</v>
      </c>
      <c r="E67" s="185">
        <v>0</v>
      </c>
    </row>
    <row r="68" spans="1:5" ht="15.75">
      <c r="A68" s="199"/>
      <c r="B68" s="199"/>
      <c r="C68" s="201"/>
      <c r="D68" s="185">
        <v>54346</v>
      </c>
      <c r="E68" s="185">
        <v>0</v>
      </c>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Tonganoxie</v>
      </c>
      <c r="C1" s="66"/>
      <c r="D1" s="66"/>
      <c r="E1" s="231">
        <f>inputPrYr!D9</f>
        <v>2012</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Tonganoxie</v>
      </c>
      <c r="C1" s="66"/>
      <c r="D1" s="66"/>
      <c r="E1" s="231">
        <f>inputPrYr!D9</f>
        <v>2012</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Tonganoxie</v>
      </c>
      <c r="B1" s="123"/>
      <c r="C1" s="116"/>
      <c r="D1" s="116"/>
      <c r="E1" s="116"/>
      <c r="F1" s="124" t="s">
        <v>346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353</v>
      </c>
      <c r="B6" s="130"/>
      <c r="C6" s="131" t="s">
        <v>353</v>
      </c>
      <c r="D6" s="132"/>
      <c r="E6" s="131" t="s">
        <v>353</v>
      </c>
      <c r="F6" s="133"/>
      <c r="G6" s="131" t="s">
        <v>353</v>
      </c>
      <c r="H6" s="127"/>
      <c r="I6" s="131" t="s">
        <v>353</v>
      </c>
      <c r="J6" s="116"/>
      <c r="K6" s="134" t="s">
        <v>253</v>
      </c>
    </row>
    <row r="7" spans="1:11" ht="15.75">
      <c r="A7" s="135" t="s">
        <v>354</v>
      </c>
      <c r="B7" s="136"/>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38">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308</v>
      </c>
      <c r="G2" s="74" t="s">
        <v>309</v>
      </c>
      <c r="H2" s="66"/>
    </row>
    <row r="3" spans="1:8" ht="15.75">
      <c r="A3" s="665" t="s">
        <v>310</v>
      </c>
      <c r="B3" s="665"/>
      <c r="C3" s="665"/>
      <c r="D3" s="665"/>
      <c r="E3" s="665"/>
      <c r="F3" s="665"/>
      <c r="G3" s="665"/>
      <c r="H3" s="665"/>
    </row>
    <row r="4" spans="1:8" ht="15.75">
      <c r="A4" s="708" t="str">
        <f>inputPrYr!D3</f>
        <v>Tonganoxie</v>
      </c>
      <c r="B4" s="708"/>
      <c r="C4" s="708"/>
      <c r="D4" s="708"/>
      <c r="E4" s="708"/>
      <c r="F4" s="708"/>
      <c r="G4" s="708"/>
      <c r="H4" s="708"/>
    </row>
    <row r="5" spans="1:8" ht="15.75">
      <c r="A5" s="708" t="str">
        <f>inputPrYr!D4</f>
        <v>Leavenworth</v>
      </c>
      <c r="B5" s="708"/>
      <c r="C5" s="708"/>
      <c r="D5" s="708"/>
      <c r="E5" s="708"/>
      <c r="F5" s="708"/>
      <c r="G5" s="708"/>
      <c r="H5" s="708"/>
    </row>
    <row r="6" spans="1:8" ht="15.75">
      <c r="A6" s="707" t="str">
        <f>CONCATENATE("will meet on ",inputBudSum!B5," at ",inputBudSum!B7," at ",inputBudSum!B9," for the purpose of hearing and")</f>
        <v>will meet on August 18, 2011 at 7:00 pm at Tonganoxie Township Fire Station for the purpose of hearing and</v>
      </c>
      <c r="B6" s="707"/>
      <c r="C6" s="707"/>
      <c r="D6" s="707"/>
      <c r="E6" s="707"/>
      <c r="F6" s="707"/>
      <c r="G6" s="707"/>
      <c r="H6" s="707"/>
    </row>
    <row r="7" spans="1:8" ht="15.75">
      <c r="A7" s="70" t="s">
        <v>428</v>
      </c>
      <c r="B7" s="67"/>
      <c r="C7" s="67"/>
      <c r="D7" s="67"/>
      <c r="E7" s="67"/>
      <c r="F7" s="67"/>
      <c r="G7" s="67"/>
      <c r="H7" s="67"/>
    </row>
    <row r="8" spans="1:8" ht="15.75">
      <c r="A8" s="670" t="str">
        <f>CONCATENATE("Detailed budget information is available at ",inputBudSum!B12," and will be available at this hearing.")</f>
        <v>Detailed budget information is available at Steve LaForge's Residence, 25563 Evans Rd., Tonganoxie, KS 66086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304</v>
      </c>
      <c r="D14" s="76"/>
      <c r="E14" s="76" t="s">
        <v>304</v>
      </c>
      <c r="F14" s="210"/>
      <c r="G14" s="662" t="str">
        <f>CONCATENATE("Amount of ",H1-1," Ad Valorem Tax")</f>
        <v>Amount of 2011 Ad Valorem Tax</v>
      </c>
      <c r="H14" s="76" t="s">
        <v>311</v>
      </c>
      <c r="I14" s="203"/>
    </row>
    <row r="15" spans="1:9" ht="15.75">
      <c r="A15" s="66"/>
      <c r="B15" s="78"/>
      <c r="C15" s="78" t="s">
        <v>312</v>
      </c>
      <c r="D15" s="78"/>
      <c r="E15" s="78" t="s">
        <v>312</v>
      </c>
      <c r="F15" s="528" t="s">
        <v>185</v>
      </c>
      <c r="G15" s="705"/>
      <c r="H15" s="78" t="s">
        <v>312</v>
      </c>
      <c r="I15" s="203"/>
    </row>
    <row r="16" spans="1:10" ht="15.75">
      <c r="A16" s="211" t="s">
        <v>263</v>
      </c>
      <c r="B16" s="81" t="s">
        <v>313</v>
      </c>
      <c r="C16" s="81" t="s">
        <v>314</v>
      </c>
      <c r="D16" s="81" t="s">
        <v>313</v>
      </c>
      <c r="E16" s="81" t="s">
        <v>314</v>
      </c>
      <c r="F16" s="527" t="s">
        <v>748</v>
      </c>
      <c r="G16" s="706"/>
      <c r="H16" s="81" t="s">
        <v>314</v>
      </c>
      <c r="I16" s="203"/>
      <c r="J16" s="589"/>
    </row>
    <row r="17" spans="1:10" ht="15.75">
      <c r="A17" s="92" t="str">
        <f>inputPrYr!B20</f>
        <v>General</v>
      </c>
      <c r="B17" s="92">
        <f>IF(gen!$C$46&lt;&gt;0,gen!$C$46,"  ")</f>
        <v>9964.470000000001</v>
      </c>
      <c r="C17" s="95">
        <f>IF(inputPrYr!D48&gt;0,inputPrYr!D48,"  ")</f>
        <v>0.547</v>
      </c>
      <c r="D17" s="92">
        <f>IF(gen!$D$46&lt;&gt;0,gen!$D$46,"  ")</f>
        <v>38482</v>
      </c>
      <c r="E17" s="95">
        <f>IF(inputOth!D37&gt;0,inputOth!D37,"  ")</f>
        <v>0.564</v>
      </c>
      <c r="F17" s="92">
        <f>IF(gen!$E$46&lt;&gt;0,gen!$E$46,"  ")</f>
        <v>58350</v>
      </c>
      <c r="G17" s="92">
        <f>IF(gen!$E$53&lt;&gt;0,gen!$E$53,"")</f>
        <v>26376.71</v>
      </c>
      <c r="H17" s="95">
        <f>IF(gen!E53&gt;0,ROUND(G17/F38*1000,3)," ")</f>
        <v>0.45</v>
      </c>
      <c r="I17" s="203"/>
      <c r="J17" s="589"/>
    </row>
    <row r="18" spans="1:9" ht="15.75">
      <c r="A18" s="92" t="s">
        <v>321</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IF(FireMaint!$C$31&lt;&gt;0,FireMaint!$C$31,"  ")</f>
        <v>  </v>
      </c>
      <c r="C20" s="95" t="str">
        <f>IF(inputPrYr!D51&gt;0,inputPrYr!D51,"  ")</f>
        <v>  </v>
      </c>
      <c r="D20" s="92" t="str">
        <f>IF(FireMaint!$D$31&lt;&gt;0,FireMaint!$D$31,"  ")</f>
        <v>  </v>
      </c>
      <c r="E20" s="95" t="str">
        <f>IF(inputOth!D40&gt;0,inputOth!D40,"  ")</f>
        <v>  </v>
      </c>
      <c r="F20" s="92" t="str">
        <f>IF(FireMaint!$E$31&lt;&gt;0,FireMaint!$E$31,"  ")</f>
        <v>  </v>
      </c>
      <c r="G20" s="92" t="str">
        <f>IF(FireMaint!$E$38&lt;&gt;0,FireMaint!$E$38,"  ")</f>
        <v>  </v>
      </c>
      <c r="H20" s="95" t="str">
        <f>IF(FireMaint!E38&gt;0,ROUND(G20/F39*1000,3)," ")</f>
        <v> </v>
      </c>
    </row>
    <row r="21" spans="1:8" ht="15.75">
      <c r="A21" s="92" t="str">
        <f>IF(inputPrYr!$B24&gt;"  ",inputPrYr!$B24,"  ")</f>
        <v>Fire Maintenance</v>
      </c>
      <c r="B21" s="92">
        <f>IF(FireMaint!$C$67&lt;&gt;0,FireMaint!$C$67,"  ")</f>
        <v>25077.91</v>
      </c>
      <c r="C21" s="95">
        <f>IF(inputPrYr!D52&gt;0,inputPrYr!D52,"  ")</f>
        <v>1.283</v>
      </c>
      <c r="D21" s="92">
        <f>IF(FireMaint!$D$67&lt;&gt;0,FireMaint!$D$67,"  ")</f>
        <v>41387</v>
      </c>
      <c r="E21" s="95">
        <f>IF(inputOth!D41&gt;0,inputOth!D41,"  ")</f>
        <v>1.339</v>
      </c>
      <c r="F21" s="92">
        <f>IF(FireMaint!$E$67&lt;&gt;0,FireMaint!$E$67,"  ")</f>
        <v>39000</v>
      </c>
      <c r="G21" s="92">
        <f>IF(FireMaint!$E$74&lt;&gt;0,FireMaint!$E$74,"  ")</f>
        <v>26319.869999999995</v>
      </c>
      <c r="H21" s="95">
        <f>IF(FireMaint!E74&gt;0,ROUND(G21/F39*1000,3)," ")</f>
        <v>1.345</v>
      </c>
    </row>
    <row r="22" spans="1:13" ht="15.75">
      <c r="A22" s="92" t="str">
        <f>IF(inputPrYr!$B25&gt;"  ",inputPrYr!$B25,"  ")</f>
        <v>Fire Equipment</v>
      </c>
      <c r="B22" s="92">
        <f>IF(FireEquip!$C$31&lt;&gt;0,FireEquip!$C$31,"  ")</f>
        <v>61917.69</v>
      </c>
      <c r="C22" s="95">
        <f>IF(inputPrYr!D53&gt;0,inputPrYr!D53,"  ")</f>
        <v>2.303</v>
      </c>
      <c r="D22" s="92">
        <f>IF(FireEquip!$D$31&lt;&gt;0,FireEquip!$D$31,"  ")</f>
        <v>53901</v>
      </c>
      <c r="E22" s="95">
        <f>IF(inputOth!D42&gt;0,inputOth!D42,"  ")</f>
        <v>2.359</v>
      </c>
      <c r="F22" s="92">
        <f>IF(FireEquip!$E$31&lt;&gt;0,FireEquip!$E$31,"  ")</f>
        <v>73500</v>
      </c>
      <c r="G22" s="92">
        <f>IF(FireEquip!$E$38&lt;&gt;0,FireEquip!$E$38,"  ")</f>
        <v>51972.21000000001</v>
      </c>
      <c r="H22" s="95">
        <f>IF(FireEquip!E38&gt;0,ROUND(G22/F39*1000,3)," ")</f>
        <v>2.656</v>
      </c>
      <c r="J22" s="697" t="str">
        <f>CONCATENATE("Estimated Value Of One Mill For ",H1,"")</f>
        <v>Estimated Value Of One Mill For 2012</v>
      </c>
      <c r="K22" s="702"/>
      <c r="L22" s="702"/>
      <c r="M22" s="703"/>
    </row>
    <row r="23" spans="1:13" ht="15.75">
      <c r="A23" s="92" t="str">
        <f>IF(inputPrYr!$B26&gt;"  ",inputPrYr!$B26,"  ")</f>
        <v>  </v>
      </c>
      <c r="B23" s="92" t="str">
        <f>IF(FireEquip!$C$67&lt;&gt;0,FireEquip!$C$67,"  ")</f>
        <v>  </v>
      </c>
      <c r="C23" s="95" t="str">
        <f>IF(inputPrYr!D54&gt;0,inputPrYr!D54,"  ")</f>
        <v>  </v>
      </c>
      <c r="D23" s="92" t="str">
        <f>IF(FireEquip!$D$67&lt;&gt;0,FireEquip!$D$67,"  ")</f>
        <v>  </v>
      </c>
      <c r="E23" s="95" t="str">
        <f>IF(inputOth!D43&gt;0,inputOth!D43,"  ")</f>
        <v>  </v>
      </c>
      <c r="F23" s="92" t="str">
        <f>IF(FireEquip!$E$67&lt;&gt;0,FireEquip!$E$67,"  ")</f>
        <v>  </v>
      </c>
      <c r="G23" s="92" t="str">
        <f>IF(FireEquip!$E$74&lt;&gt;0,FireEquip!$E$74,"  ")</f>
        <v>  </v>
      </c>
      <c r="H23" s="95" t="str">
        <f>IF(FireEquip!E74&gt;0,ROUND(G23/F38*1000,3),"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760</v>
      </c>
      <c r="K24" s="73"/>
      <c r="L24" s="73"/>
      <c r="M24" s="583">
        <f>ROUND(F38/1000,0)</f>
        <v>58602</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761</v>
      </c>
      <c r="K25" s="584"/>
      <c r="L25" s="584"/>
      <c r="M25" s="583">
        <f>ROUND(F39/1000,0)</f>
        <v>19565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4.2620000000000005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767</v>
      </c>
      <c r="K31" s="578"/>
      <c r="L31" s="578"/>
      <c r="M31" s="577">
        <f>M43*-1</f>
        <v>-5942.080000000002</v>
      </c>
    </row>
    <row r="32" spans="1:13" ht="15.75">
      <c r="A32" s="92" t="str">
        <f>IF((inputPrYr!$B40&gt;"  "),(nonbud!$A3),"  ")</f>
        <v>  </v>
      </c>
      <c r="B32" s="267" t="str">
        <f>IF((nonbud!$K$28)&lt;&gt;0,(nonbud!$K$28),"  ")</f>
        <v>  </v>
      </c>
      <c r="C32" s="362"/>
      <c r="D32" s="92"/>
      <c r="E32" s="95"/>
      <c r="F32" s="92"/>
      <c r="G32" s="92"/>
      <c r="H32" s="95"/>
      <c r="J32" s="576" t="s">
        <v>768</v>
      </c>
      <c r="K32" s="564"/>
      <c r="L32" s="564"/>
      <c r="M32" s="575">
        <f>M44*-1</f>
        <v>6674.290000000001</v>
      </c>
    </row>
    <row r="33" spans="1:13" ht="16.5" thickBot="1">
      <c r="A33" s="108" t="s">
        <v>265</v>
      </c>
      <c r="B33" s="509" t="str">
        <f>IF(road!C62&lt;&gt;0,road!C62,"  ")</f>
        <v>  </v>
      </c>
      <c r="C33" s="510"/>
      <c r="D33" s="510"/>
      <c r="E33" s="510"/>
      <c r="F33" s="510"/>
      <c r="G33" s="510"/>
      <c r="H33" s="510"/>
      <c r="J33" s="574"/>
      <c r="K33" s="574"/>
      <c r="L33" s="574"/>
      <c r="M33" s="574"/>
    </row>
    <row r="34" spans="1:13" ht="15.75">
      <c r="A34" s="108" t="s">
        <v>266</v>
      </c>
      <c r="B34" s="507">
        <f aca="true" t="shared" si="0" ref="B34:H34">SUM(B17:B33)</f>
        <v>96960.07</v>
      </c>
      <c r="C34" s="508">
        <f t="shared" si="0"/>
        <v>4.133</v>
      </c>
      <c r="D34" s="507">
        <f t="shared" si="0"/>
        <v>133770</v>
      </c>
      <c r="E34" s="508">
        <f t="shared" si="0"/>
        <v>4.2620000000000005</v>
      </c>
      <c r="F34" s="507">
        <f t="shared" si="0"/>
        <v>170850</v>
      </c>
      <c r="G34" s="507">
        <f t="shared" si="0"/>
        <v>104668.79000000001</v>
      </c>
      <c r="H34" s="508">
        <f t="shared" si="0"/>
        <v>4.4510000000000005</v>
      </c>
      <c r="J34" s="697" t="str">
        <f>CONCATENATE("Impact On Keeping The Same Mill Rate As For ",H1-1,"")</f>
        <v>Impact On Keeping The Same Mill Rate As For 2011</v>
      </c>
      <c r="K34" s="700"/>
      <c r="L34" s="700"/>
      <c r="M34" s="701"/>
    </row>
    <row r="35" spans="1:13" ht="15.75">
      <c r="A35" s="108" t="s">
        <v>315</v>
      </c>
      <c r="B35" s="92">
        <f>transfer!C29</f>
        <v>0</v>
      </c>
      <c r="C35" s="66"/>
      <c r="D35" s="92">
        <f>transfer!D29</f>
        <v>0</v>
      </c>
      <c r="E35" s="213"/>
      <c r="F35" s="92">
        <f>transfer!E29</f>
        <v>0</v>
      </c>
      <c r="G35" s="66"/>
      <c r="H35" s="66"/>
      <c r="J35" s="582"/>
      <c r="K35" s="587"/>
      <c r="L35" s="587"/>
      <c r="M35" s="581"/>
    </row>
    <row r="36" spans="1:13" ht="16.5" thickBot="1">
      <c r="A36" s="108" t="s">
        <v>316</v>
      </c>
      <c r="B36" s="511">
        <f>B34-B35</f>
        <v>96960.07</v>
      </c>
      <c r="C36" s="66"/>
      <c r="D36" s="511">
        <f>D34-D35</f>
        <v>133770</v>
      </c>
      <c r="E36" s="66"/>
      <c r="F36" s="511">
        <f>F34-F35</f>
        <v>170850</v>
      </c>
      <c r="G36" s="66"/>
      <c r="H36" s="66"/>
      <c r="J36" s="582" t="str">
        <f>CONCATENATE("",H1," Ad Valorem Tax Rev(Township Only):")</f>
        <v>2012 Ad Valorem Tax Rev(Township Only):</v>
      </c>
      <c r="K36" s="587"/>
      <c r="L36" s="587"/>
      <c r="M36" s="586">
        <f>SUM(G19:G22)</f>
        <v>78292.08</v>
      </c>
    </row>
    <row r="37" spans="1:13" ht="16.5" thickTop="1">
      <c r="A37" s="108" t="s">
        <v>0</v>
      </c>
      <c r="B37" s="236">
        <f>inputPrYr!E61</f>
        <v>98967</v>
      </c>
      <c r="C37" s="213"/>
      <c r="D37" s="236">
        <f>inputPrYr!E31</f>
        <v>101338</v>
      </c>
      <c r="E37" s="66"/>
      <c r="F37" s="512" t="s">
        <v>267</v>
      </c>
      <c r="G37" s="66"/>
      <c r="H37" s="66"/>
      <c r="J37" s="582" t="str">
        <f>CONCATENATE("",H1," Ad Valorem Tax Rev(Township Tot):")</f>
        <v>2012 Ad Valorem Tax Rev(Township Tot):</v>
      </c>
      <c r="K37" s="587"/>
      <c r="L37" s="587"/>
      <c r="M37" s="600">
        <f>SUM(G17,G18,G23,G24,G25,G26,G27)</f>
        <v>26376.71</v>
      </c>
    </row>
    <row r="38" spans="1:13" ht="15.75">
      <c r="A38" s="108" t="s">
        <v>191</v>
      </c>
      <c r="B38" s="92">
        <f>inputPrYr!E62</f>
        <v>58173663</v>
      </c>
      <c r="C38" s="213"/>
      <c r="D38" s="92">
        <f>inputOth!E54</f>
        <v>57830360</v>
      </c>
      <c r="E38" s="213"/>
      <c r="F38" s="92">
        <f>inputOth!E11</f>
        <v>58601710</v>
      </c>
      <c r="G38" s="66"/>
      <c r="H38" s="66"/>
      <c r="J38" s="582" t="str">
        <f>CONCATENATE("Total ",H1," Ad Valorem Tax Revenue:")</f>
        <v>Total 2012 Ad Valorem Tax Revenue:</v>
      </c>
      <c r="K38" s="541"/>
      <c r="L38" s="541"/>
      <c r="M38" s="601">
        <f>M36+M37</f>
        <v>104668.79000000001</v>
      </c>
    </row>
    <row r="39" spans="1:14" ht="15.75">
      <c r="A39" s="82" t="s">
        <v>247</v>
      </c>
      <c r="B39" s="214"/>
      <c r="C39" s="66"/>
      <c r="D39" s="182"/>
      <c r="E39" s="66"/>
      <c r="F39" s="92">
        <f>inputOth!E8</f>
        <v>19564555</v>
      </c>
      <c r="G39" s="66"/>
      <c r="H39" s="66"/>
      <c r="J39" s="582" t="str">
        <f>CONCATENATE("",H1-1," Ad Valorem Tax Rev(Township Only):")</f>
        <v>2011 Ad Valorem Tax Rev(Township Only):</v>
      </c>
      <c r="K39" s="587"/>
      <c r="L39" s="587"/>
      <c r="M39" s="602">
        <f>ROUND(SUM(E19:E22)*F39/1000,0)</f>
        <v>72350</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33051</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105401</v>
      </c>
      <c r="O41" s="594"/>
    </row>
    <row r="42" spans="1:13" ht="15.75">
      <c r="A42" s="74" t="s">
        <v>2</v>
      </c>
      <c r="B42" s="215">
        <f>H1-3</f>
        <v>2009</v>
      </c>
      <c r="C42" s="66"/>
      <c r="D42" s="215">
        <f>H1-2</f>
        <v>2010</v>
      </c>
      <c r="E42" s="66"/>
      <c r="F42" s="215">
        <f>H1-1</f>
        <v>2011</v>
      </c>
      <c r="G42" s="66"/>
      <c r="H42" s="66"/>
      <c r="J42" s="579" t="s">
        <v>758</v>
      </c>
      <c r="K42" s="578"/>
      <c r="L42" s="578"/>
      <c r="M42" s="577">
        <f>M38-M41</f>
        <v>-732.2099999999919</v>
      </c>
    </row>
    <row r="43" spans="1:13" ht="15.75">
      <c r="A43" s="74" t="s">
        <v>3</v>
      </c>
      <c r="B43" s="85">
        <f>inputPrYr!D65</f>
        <v>0</v>
      </c>
      <c r="C43" s="71"/>
      <c r="D43" s="85">
        <f>inputPrYr!E65</f>
        <v>0</v>
      </c>
      <c r="E43" s="71"/>
      <c r="F43" s="85">
        <f>debt!E11</f>
        <v>0</v>
      </c>
      <c r="G43" s="66"/>
      <c r="H43" s="66"/>
      <c r="J43" s="605" t="s">
        <v>763</v>
      </c>
      <c r="K43" s="606"/>
      <c r="L43" s="606"/>
      <c r="M43" s="601">
        <f>M36-M39</f>
        <v>5942.080000000002</v>
      </c>
    </row>
    <row r="44" spans="1:13" ht="15.75">
      <c r="A44" s="74" t="s">
        <v>293</v>
      </c>
      <c r="B44" s="85">
        <f>inputPrYr!D66</f>
        <v>0</v>
      </c>
      <c r="C44" s="71"/>
      <c r="D44" s="85">
        <f>inputPrYr!E66</f>
        <v>0</v>
      </c>
      <c r="E44" s="71"/>
      <c r="F44" s="85">
        <f>debt!E15</f>
        <v>0</v>
      </c>
      <c r="G44" s="66"/>
      <c r="H44" s="390"/>
      <c r="J44" s="576" t="s">
        <v>762</v>
      </c>
      <c r="K44" s="564"/>
      <c r="L44" s="564"/>
      <c r="M44" s="575">
        <f>M37-M40</f>
        <v>-6674.290000000001</v>
      </c>
    </row>
    <row r="45" spans="1:8" ht="15.75">
      <c r="A45" s="74" t="s">
        <v>754</v>
      </c>
      <c r="B45" s="85">
        <f>inputPrYr!D67</f>
        <v>54346</v>
      </c>
      <c r="C45" s="71"/>
      <c r="D45" s="85">
        <f>inputPrYr!E67</f>
        <v>0</v>
      </c>
      <c r="E45" s="71"/>
      <c r="F45" s="85">
        <f>debt!F36</f>
        <v>51010.12</v>
      </c>
      <c r="G45" s="66"/>
      <c r="H45" s="66"/>
    </row>
    <row r="46" spans="1:13" ht="16.5" thickBot="1">
      <c r="A46" s="74" t="s">
        <v>4</v>
      </c>
      <c r="B46" s="102">
        <f>SUM(B43:B45)</f>
        <v>54346</v>
      </c>
      <c r="C46" s="71"/>
      <c r="D46" s="102">
        <f>SUM(D43:D45)</f>
        <v>0</v>
      </c>
      <c r="E46" s="71"/>
      <c r="F46" s="102">
        <f>SUM(F43:F45)</f>
        <v>51010.12</v>
      </c>
      <c r="G46" s="66"/>
      <c r="H46" s="66"/>
      <c r="J46" s="697" t="s">
        <v>759</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764</v>
      </c>
      <c r="K50" s="587"/>
      <c r="L50" s="587"/>
      <c r="M50" s="598">
        <f>M48-M49</f>
        <v>0</v>
      </c>
    </row>
    <row r="51" spans="1:13" ht="15.75">
      <c r="A51" s="66"/>
      <c r="B51" s="66"/>
      <c r="C51" s="66"/>
      <c r="D51" s="66"/>
      <c r="E51" s="66"/>
      <c r="F51" s="66"/>
      <c r="G51" s="66"/>
      <c r="H51" s="66"/>
      <c r="J51" s="540" t="s">
        <v>765</v>
      </c>
      <c r="K51" s="73"/>
      <c r="L51" s="73"/>
      <c r="M51" s="595">
        <f>IF(M48=0,0,ROUND(SUM(H19:H22)/M49,2))</f>
        <v>0</v>
      </c>
    </row>
    <row r="52" spans="1:13" ht="15.75">
      <c r="A52" s="66"/>
      <c r="B52" s="216" t="s">
        <v>281</v>
      </c>
      <c r="C52" s="217">
        <v>9</v>
      </c>
      <c r="D52" s="66"/>
      <c r="E52" s="66"/>
      <c r="F52" s="66"/>
      <c r="G52" s="66"/>
      <c r="H52" s="66"/>
      <c r="J52" s="540" t="s">
        <v>766</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767</v>
      </c>
      <c r="K54" s="606"/>
      <c r="L54" s="606"/>
      <c r="M54" s="601">
        <f>ROUND(F39*M50*M51/1000,0)</f>
        <v>0</v>
      </c>
    </row>
    <row r="55" spans="1:13" ht="15.75">
      <c r="A55" s="117"/>
      <c r="B55" s="117"/>
      <c r="C55" s="117"/>
      <c r="D55" s="117"/>
      <c r="E55" s="117"/>
      <c r="F55" s="117"/>
      <c r="G55" s="117"/>
      <c r="J55" s="576" t="s">
        <v>768</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Tonganoxie</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Fire Maintenance</v>
      </c>
      <c r="C10" s="366"/>
      <c r="D10" s="367">
        <f t="shared" si="0"/>
      </c>
      <c r="E10" s="362">
        <f t="shared" si="1"/>
      </c>
      <c r="F10" s="196"/>
    </row>
    <row r="11" spans="1:6" ht="15.75">
      <c r="A11" s="66"/>
      <c r="B11" s="108" t="str">
        <f>IF(inputPrYr!B25&gt;0,inputPrYr!B25,"")</f>
        <v>Fire Equipment</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58601710</v>
      </c>
      <c r="E20" s="66"/>
      <c r="F20" s="196"/>
    </row>
    <row r="21" spans="1:6" ht="15.75">
      <c r="A21" s="66"/>
      <c r="B21" s="66"/>
      <c r="C21" s="66"/>
      <c r="D21" s="66"/>
      <c r="E21" s="66"/>
      <c r="F21" s="196"/>
    </row>
    <row r="22" spans="1:6" ht="15.75">
      <c r="A22" s="66"/>
      <c r="B22" s="711" t="s">
        <v>387</v>
      </c>
      <c r="C22" s="711"/>
      <c r="D22" s="372">
        <f>IF(D20&gt;0,(D20*0.001),"")</f>
        <v>58601.71</v>
      </c>
      <c r="E22" s="66"/>
      <c r="F22" s="196"/>
    </row>
    <row r="23" spans="1:6" ht="15.75">
      <c r="A23" s="66"/>
      <c r="B23" s="121"/>
      <c r="C23" s="121"/>
      <c r="D23" s="373"/>
      <c r="E23" s="66"/>
      <c r="F23" s="196"/>
    </row>
    <row r="24" spans="1:6" ht="15.75">
      <c r="A24" s="709" t="s">
        <v>388</v>
      </c>
      <c r="B24" s="657"/>
      <c r="C24" s="657"/>
      <c r="D24" s="374">
        <f>inputOth!E33</f>
        <v>98830</v>
      </c>
      <c r="E24" s="183"/>
      <c r="F24" s="183"/>
    </row>
    <row r="25" spans="1:6" ht="15.75">
      <c r="A25" s="183"/>
      <c r="B25" s="183"/>
      <c r="C25" s="183"/>
      <c r="D25" s="375"/>
      <c r="E25" s="183"/>
      <c r="F25" s="183"/>
    </row>
    <row r="26" spans="1:6" ht="15.75">
      <c r="A26" s="183"/>
      <c r="B26" s="709" t="s">
        <v>389</v>
      </c>
      <c r="C26" s="710"/>
      <c r="D26" s="376">
        <f>IF(D24&gt;0,(D24*0.001),"")</f>
        <v>98.83</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83</v>
      </c>
      <c r="B1" s="712"/>
      <c r="C1" s="712"/>
      <c r="D1" s="712"/>
      <c r="E1" s="712"/>
      <c r="F1" s="712"/>
      <c r="G1" s="712"/>
    </row>
    <row r="2" ht="15.75">
      <c r="A2" s="21"/>
    </row>
    <row r="3" spans="1:7" ht="15.75">
      <c r="A3" s="713" t="s">
        <v>84</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Tonganoxie </v>
      </c>
      <c r="I6">
        <f>CONCATENATE(I7)</f>
      </c>
    </row>
    <row r="7" spans="1:7" ht="15.75">
      <c r="A7" s="714" t="str">
        <f>CONCATENATE("   with respect to financing the ",inputPrYr!D9," annual budget for ",(inputPrYr!D3)," , ",(inputPrYr!D4)," , Kansas.")</f>
        <v>   with respect to financing the 2012 annual budget for Tonganoxie , Leavenworth , Kansas.</v>
      </c>
      <c r="B7" s="638"/>
      <c r="C7" s="638"/>
      <c r="D7" s="638"/>
      <c r="E7" s="638"/>
      <c r="F7" s="638"/>
      <c r="G7" s="638"/>
    </row>
    <row r="8" spans="1:7" ht="15.75">
      <c r="A8" s="638"/>
      <c r="B8" s="638"/>
      <c r="C8" s="638"/>
      <c r="D8" s="638"/>
      <c r="E8" s="638"/>
      <c r="F8" s="638"/>
      <c r="G8" s="638"/>
    </row>
    <row r="9" ht="15.75">
      <c r="A9" s="21"/>
    </row>
    <row r="10" ht="15.75">
      <c r="A10" s="29" t="s">
        <v>85</v>
      </c>
    </row>
    <row r="11" ht="15.75">
      <c r="A11" s="27" t="str">
        <f>CONCATENATE("to finance the ",inputPrYr!D9," ",(inputPrYr!D3)," budget exceed the amount levied to finance the ",inputPrYr!D9-1,"")</f>
        <v>to finance the 2012 Tonganoxie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Tonganoxie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90</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86</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Tonganoxie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87</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Tonganoxie of Leavenworth, Kansas that is our desire to notify the public of increased property taxes to finance the 2012 Tonganoxie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Tonganoxie Board, Leavenworth,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Tonganoxie Board</v>
      </c>
      <c r="E33" s="716"/>
      <c r="F33" s="716"/>
      <c r="G33" s="716"/>
    </row>
    <row r="35" spans="4:7" ht="15.75">
      <c r="D35" s="719" t="s">
        <v>88</v>
      </c>
      <c r="E35" s="719"/>
      <c r="F35" s="719"/>
      <c r="G35" s="719"/>
    </row>
    <row r="36" spans="1:7" ht="15.75">
      <c r="A36" s="25"/>
      <c r="D36" s="719" t="s">
        <v>92</v>
      </c>
      <c r="E36" s="719"/>
      <c r="F36" s="719"/>
      <c r="G36" s="719"/>
    </row>
    <row r="37" spans="4:7" ht="15.75">
      <c r="D37" s="719"/>
      <c r="E37" s="719"/>
      <c r="F37" s="719"/>
      <c r="G37" s="719"/>
    </row>
    <row r="38" spans="4:7" ht="15.75">
      <c r="D38" s="719" t="s">
        <v>88</v>
      </c>
      <c r="E38" s="719"/>
      <c r="F38" s="719"/>
      <c r="G38" s="719"/>
    </row>
    <row r="39" spans="1:7" ht="15.75">
      <c r="A39" s="24"/>
      <c r="D39" s="719" t="s">
        <v>93</v>
      </c>
      <c r="E39" s="719"/>
      <c r="F39" s="719"/>
      <c r="G39" s="719"/>
    </row>
    <row r="40" spans="4:7" ht="15.75">
      <c r="D40" s="719"/>
      <c r="E40" s="719"/>
      <c r="F40" s="719"/>
      <c r="G40" s="719"/>
    </row>
    <row r="41" spans="4:7" ht="15.75">
      <c r="D41" s="719" t="s">
        <v>91</v>
      </c>
      <c r="E41" s="719"/>
      <c r="F41" s="719"/>
      <c r="G41" s="719"/>
    </row>
    <row r="42" spans="1:7" ht="15.75">
      <c r="A42" s="24"/>
      <c r="D42" s="719" t="s">
        <v>94</v>
      </c>
      <c r="E42" s="719"/>
      <c r="F42" s="719"/>
      <c r="G42" s="719"/>
    </row>
    <row r="43" ht="15.75">
      <c r="A43" s="26"/>
    </row>
    <row r="44" ht="15.75">
      <c r="A44" s="26"/>
    </row>
    <row r="45" ht="15.75">
      <c r="A45" s="26" t="s">
        <v>89</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2010 'total expenditures' exceed your 2010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2012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2010 budget was amended, did you</v>
      </c>
    </row>
    <row r="26" ht="15.75">
      <c r="A26" s="403" t="s">
        <v>442</v>
      </c>
    </row>
    <row r="27" ht="15.75">
      <c r="A27" s="403"/>
    </row>
    <row r="28" ht="15.75">
      <c r="A28" s="403" t="str">
        <f>CONCATENATE("Next, look to see if any of your ",inputPrYr!D9-2," expenditures can be")</f>
        <v>Next, look to see if any of your 2010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2010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2010 financial records have been closed?</v>
      </c>
    </row>
    <row r="76" ht="15.75">
      <c r="A76" s="403" t="s">
        <v>479</v>
      </c>
    </row>
    <row r="77" ht="15.75">
      <c r="A77" s="403" t="str">
        <f>CONCATENATE("(i.e. an audit for ",inputPrYr!D9-2," has been completed, or the ",inputPrYr!D9)</f>
        <v>(i.e. an audit for 2010 has been completed, or the 2012</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8">
      <selection activeCell="E101" sqref="E10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Tonganoxie</v>
      </c>
      <c r="B1" s="30"/>
      <c r="C1" s="30"/>
      <c r="D1" s="30"/>
      <c r="E1" s="30">
        <f>inputPrYr!D9</f>
        <v>2012</v>
      </c>
    </row>
    <row r="2" spans="1:5" ht="15.75">
      <c r="A2" s="42" t="str">
        <f>inputPrYr!D4</f>
        <v>Leavenworth</v>
      </c>
      <c r="B2" s="30"/>
      <c r="C2" s="30"/>
      <c r="D2" s="30"/>
      <c r="E2" s="30"/>
    </row>
    <row r="3" spans="1:5" ht="15.75">
      <c r="A3" s="30"/>
      <c r="B3" s="30"/>
      <c r="C3" s="30"/>
      <c r="D3" s="30"/>
      <c r="E3" s="30"/>
    </row>
    <row r="4" spans="1:5" ht="15.75">
      <c r="A4" s="639" t="s">
        <v>113</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164</v>
      </c>
      <c r="B8" s="14"/>
      <c r="C8" s="14"/>
      <c r="D8" s="14"/>
      <c r="E8" s="35">
        <v>19564555</v>
      </c>
    </row>
    <row r="9" spans="1:5" ht="15.75">
      <c r="A9" s="15" t="str">
        <f>inputPrYr!$D$6</f>
        <v>City of Tonganoxie</v>
      </c>
      <c r="B9" s="16"/>
      <c r="C9" s="16"/>
      <c r="D9" s="16"/>
      <c r="E9" s="35">
        <v>35583184</v>
      </c>
    </row>
    <row r="10" spans="1:5" ht="15.75">
      <c r="A10" s="15" t="str">
        <f>inputPrYr!$D$7</f>
        <v>Union Fire #9</v>
      </c>
      <c r="B10" s="16"/>
      <c r="C10" s="16"/>
      <c r="D10" s="16"/>
      <c r="E10" s="35">
        <v>3453971</v>
      </c>
    </row>
    <row r="11" spans="1:5" ht="15.75">
      <c r="A11" s="15" t="str">
        <f>CONCATENATE("Total Assessed Valuation for ",$E$1-1,"")</f>
        <v>Total Assessed Valuation for 2011</v>
      </c>
      <c r="B11" s="16"/>
      <c r="C11" s="16"/>
      <c r="D11" s="16"/>
      <c r="E11" s="54">
        <f>SUM(E8:E10)</f>
        <v>58601710</v>
      </c>
    </row>
    <row r="12" spans="1:5" ht="15.75">
      <c r="A12" s="55" t="str">
        <f>CONCATENATE("New Improvements for ",E1-1,":")</f>
        <v>New Improvements for 2011:</v>
      </c>
      <c r="B12" s="10"/>
      <c r="C12" s="10"/>
      <c r="D12" s="10"/>
      <c r="E12" s="34"/>
    </row>
    <row r="13" spans="1:5" ht="15.75">
      <c r="A13" s="13" t="s">
        <v>164</v>
      </c>
      <c r="B13" s="14"/>
      <c r="C13" s="14"/>
      <c r="D13" s="14"/>
      <c r="E13" s="53">
        <v>169683</v>
      </c>
    </row>
    <row r="14" spans="1:5" ht="15.75">
      <c r="A14" s="15" t="str">
        <f>inputPrYr!$D$6</f>
        <v>City of Tonganoxie</v>
      </c>
      <c r="B14" s="14"/>
      <c r="C14" s="14"/>
      <c r="D14" s="14"/>
      <c r="E14" s="3">
        <v>374228</v>
      </c>
    </row>
    <row r="15" spans="1:5" ht="15.75">
      <c r="A15" s="15" t="str">
        <f>inputPrYr!$D$7</f>
        <v>Union Fire #9</v>
      </c>
      <c r="B15" s="14"/>
      <c r="C15" s="14"/>
      <c r="D15" s="14"/>
      <c r="E15" s="3">
        <v>11128</v>
      </c>
    </row>
    <row r="16" spans="1:5" ht="15.75">
      <c r="A16" s="15" t="str">
        <f>CONCATENATE("Total New Improvements for ",$E$1-1,"")</f>
        <v>Total New Improvements for 2011</v>
      </c>
      <c r="B16" s="16"/>
      <c r="C16" s="16"/>
      <c r="D16" s="16"/>
      <c r="E16" s="52">
        <f>SUM(E13:E15)</f>
        <v>555039</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460673</v>
      </c>
    </row>
    <row r="19" spans="1:5" ht="15.75">
      <c r="A19" s="15" t="str">
        <f>inputPrYr!$D$6</f>
        <v>City of Tonganoxie</v>
      </c>
      <c r="B19" s="16"/>
      <c r="C19" s="16"/>
      <c r="D19" s="16"/>
      <c r="E19" s="3">
        <v>659293</v>
      </c>
    </row>
    <row r="20" spans="1:5" ht="15.75">
      <c r="A20" s="15" t="str">
        <f>inputPrYr!$D$7</f>
        <v>Union Fire #9</v>
      </c>
      <c r="B20" s="16"/>
      <c r="C20" s="16"/>
      <c r="D20" s="16"/>
      <c r="E20" s="3">
        <v>200789</v>
      </c>
    </row>
    <row r="21" spans="1:5" ht="15.75">
      <c r="A21" s="15" t="str">
        <f>CONCATENATE("Total Personal Property excluding oil, gas, and mobile homes for ",$E$1-1,"")</f>
        <v>Total Personal Property excluding oil, gas, and mobile homes for 2011</v>
      </c>
      <c r="B21" s="16"/>
      <c r="C21" s="16"/>
      <c r="D21" s="16"/>
      <c r="E21" s="52">
        <f>SUM(E18:E20)</f>
        <v>1320755</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1000129</v>
      </c>
    </row>
    <row r="24" spans="1:5" ht="15.75">
      <c r="A24" s="15" t="str">
        <f>inputPrYr!$D$6</f>
        <v>City of Tonganoxie</v>
      </c>
      <c r="B24" s="16"/>
      <c r="C24" s="16"/>
      <c r="D24" s="16"/>
      <c r="E24" s="3">
        <v>313204</v>
      </c>
    </row>
    <row r="25" spans="1:5" ht="15.75">
      <c r="A25" s="15" t="str">
        <f>inputPrYr!$D$7</f>
        <v>Union Fire #9</v>
      </c>
      <c r="B25" s="16"/>
      <c r="C25" s="16"/>
      <c r="D25" s="16"/>
      <c r="E25" s="3">
        <v>3484</v>
      </c>
    </row>
    <row r="26" spans="1:5" ht="15.75">
      <c r="A26" s="15" t="str">
        <f>CONCATENATE("Total Property that has changed in use for ",$E$1-1,"")</f>
        <v>Total Property that has changed in use for 2011</v>
      </c>
      <c r="B26" s="16"/>
      <c r="C26" s="16"/>
      <c r="D26" s="16"/>
      <c r="E26" s="52">
        <f>SUM(E23:E25)</f>
        <v>1316817</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460926</v>
      </c>
    </row>
    <row r="29" spans="1:5" ht="15.75">
      <c r="A29" s="15" t="str">
        <f>inputPrYr!$D$6</f>
        <v>City of Tonganoxie</v>
      </c>
      <c r="B29" s="16"/>
      <c r="C29" s="16"/>
      <c r="D29" s="16"/>
      <c r="E29" s="3">
        <v>814841</v>
      </c>
    </row>
    <row r="30" spans="1:5" ht="15.75">
      <c r="A30" s="15" t="str">
        <f>inputPrYr!$D$7</f>
        <v>Union Fire #9</v>
      </c>
      <c r="B30" s="16"/>
      <c r="C30" s="16"/>
      <c r="D30" s="16"/>
      <c r="E30" s="3">
        <v>108510</v>
      </c>
    </row>
    <row r="31" spans="1:5" ht="15.75">
      <c r="A31" s="15" t="str">
        <f>CONCATENATE("Total Personal Property excluding oil, gas, and mobile homes for ",$E$1-2,"")</f>
        <v>Total Personal Property excluding oil, gas, and mobile homes for 2010</v>
      </c>
      <c r="B31" s="16"/>
      <c r="C31" s="16"/>
      <c r="D31" s="16"/>
      <c r="E31" s="52">
        <f>SUM(E28:E30)</f>
        <v>1384277</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v>98830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263</v>
      </c>
      <c r="B36" s="642"/>
      <c r="C36" s="30"/>
      <c r="D36" s="37" t="s">
        <v>275</v>
      </c>
      <c r="E36" s="36"/>
    </row>
    <row r="37" spans="1:5" ht="15.75">
      <c r="A37" s="13" t="str">
        <f>inputPrYr!B20</f>
        <v>General</v>
      </c>
      <c r="B37" s="14"/>
      <c r="C37" s="10"/>
      <c r="D37" s="49">
        <v>0.564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Fire Maintenance</v>
      </c>
      <c r="B41" s="16"/>
      <c r="C41" s="10"/>
      <c r="D41" s="50">
        <v>1.339</v>
      </c>
      <c r="E41" s="36"/>
    </row>
    <row r="42" spans="1:5" ht="15.75">
      <c r="A42" s="13" t="str">
        <f>inputPrYr!B25</f>
        <v>Fire Equipment</v>
      </c>
      <c r="B42" s="16"/>
      <c r="C42" s="10"/>
      <c r="D42" s="51">
        <v>2.359</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4.2620000000000005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18571184</v>
      </c>
    </row>
    <row r="52" spans="1:5" ht="15.75">
      <c r="A52" s="16" t="str">
        <f>inputPrYr!D6</f>
        <v>City of Tonganoxie</v>
      </c>
      <c r="B52" s="16"/>
      <c r="C52" s="16"/>
      <c r="D52" s="20"/>
      <c r="E52" s="4">
        <v>35913292</v>
      </c>
    </row>
    <row r="53" spans="1:5" ht="15.75">
      <c r="A53" s="16" t="str">
        <f>inputPrYr!D7</f>
        <v>Union Fire #9</v>
      </c>
      <c r="B53" s="16"/>
      <c r="C53" s="16"/>
      <c r="D53" s="20"/>
      <c r="E53" s="4">
        <v>3345884</v>
      </c>
    </row>
    <row r="54" spans="1:5" ht="15.75">
      <c r="A54" s="16" t="str">
        <f>CONCATENATE("Total  Final Assessed Valuation from the November 1, ",E1-2," Abstract:")</f>
        <v>Total  Final Assessed Valuation from the November 1, 2010 Abstract:</v>
      </c>
      <c r="B54" s="16"/>
      <c r="C54" s="16"/>
      <c r="D54" s="20"/>
      <c r="E54" s="47">
        <f>SUM(E51:E53)</f>
        <v>57830360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114</v>
      </c>
      <c r="B58" s="14"/>
      <c r="C58" s="14"/>
      <c r="D58" s="39"/>
      <c r="E58" s="2">
        <v>13718.48</v>
      </c>
    </row>
    <row r="59" spans="1:5" ht="15.75">
      <c r="A59" s="15" t="s">
        <v>254</v>
      </c>
      <c r="B59" s="16"/>
      <c r="C59" s="16"/>
      <c r="D59" s="40"/>
      <c r="E59" s="2">
        <v>299.9</v>
      </c>
    </row>
    <row r="60" spans="1:5" ht="15.75">
      <c r="A60" s="15" t="s">
        <v>115</v>
      </c>
      <c r="B60" s="16"/>
      <c r="C60" s="16"/>
      <c r="D60" s="40"/>
      <c r="E60" s="2">
        <v>324</v>
      </c>
    </row>
    <row r="61" spans="1:5" ht="15.75">
      <c r="A61" s="45" t="s">
        <v>160</v>
      </c>
      <c r="B61" s="46"/>
      <c r="C61" s="16"/>
      <c r="D61" s="40"/>
      <c r="E61" s="31"/>
    </row>
    <row r="62" spans="1:5" ht="15.75">
      <c r="A62" s="13" t="s">
        <v>157</v>
      </c>
      <c r="B62" s="16"/>
      <c r="C62" s="16"/>
      <c r="D62" s="40"/>
      <c r="E62" s="2">
        <v>2716</v>
      </c>
    </row>
    <row r="63" spans="1:5" ht="15.75">
      <c r="A63" s="15" t="s">
        <v>158</v>
      </c>
      <c r="B63" s="16"/>
      <c r="C63" s="16"/>
      <c r="D63" s="40"/>
      <c r="E63" s="2">
        <v>31</v>
      </c>
    </row>
    <row r="64" spans="1:5" ht="15.75">
      <c r="A64" s="15" t="s">
        <v>159</v>
      </c>
      <c r="B64" s="16"/>
      <c r="C64" s="16"/>
      <c r="D64" s="40"/>
      <c r="E64" s="2">
        <v>22</v>
      </c>
    </row>
    <row r="65" spans="1:5" ht="15.75">
      <c r="A65" s="45" t="s">
        <v>161</v>
      </c>
      <c r="B65" s="46"/>
      <c r="C65" s="16"/>
      <c r="D65" s="40"/>
      <c r="E65" s="31"/>
    </row>
    <row r="66" spans="1:5" ht="15.75">
      <c r="A66" s="13" t="s">
        <v>157</v>
      </c>
      <c r="B66" s="16"/>
      <c r="C66" s="16"/>
      <c r="D66" s="40"/>
      <c r="E66" s="2">
        <v>438</v>
      </c>
    </row>
    <row r="67" spans="1:5" ht="15.75">
      <c r="A67" s="15" t="s">
        <v>158</v>
      </c>
      <c r="B67" s="16"/>
      <c r="C67" s="16"/>
      <c r="D67" s="40"/>
      <c r="E67" s="2">
        <v>13</v>
      </c>
    </row>
    <row r="68" spans="1:5" ht="15.75">
      <c r="A68" s="15" t="s">
        <v>159</v>
      </c>
      <c r="B68" s="16"/>
      <c r="C68" s="16"/>
      <c r="D68" s="40"/>
      <c r="E68" s="2">
        <v>14</v>
      </c>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row>
    <row r="73" spans="1:5" ht="33" customHeight="1">
      <c r="A73" s="645" t="s">
        <v>162</v>
      </c>
      <c r="B73" s="646"/>
      <c r="C73" s="646"/>
      <c r="D73" s="646"/>
      <c r="E73" s="646"/>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163</v>
      </c>
      <c r="B77" s="17"/>
      <c r="C77" s="10"/>
      <c r="D77" s="10"/>
      <c r="E77" s="516"/>
    </row>
    <row r="78" spans="1:5" ht="34.5" customHeight="1">
      <c r="A78" s="637" t="s">
        <v>119</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184</v>
      </c>
      <c r="B82" s="59" t="s">
        <v>185</v>
      </c>
      <c r="C82" s="60" t="s">
        <v>186</v>
      </c>
      <c r="D82" s="61"/>
      <c r="E82" s="61"/>
    </row>
    <row r="83" spans="1:5" ht="15.75">
      <c r="A83" s="62" t="str">
        <f>inputPrYr!B20</f>
        <v>General</v>
      </c>
      <c r="B83" s="4">
        <v>36530</v>
      </c>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Fire Maintenance</v>
      </c>
      <c r="B87" s="4">
        <v>32914</v>
      </c>
      <c r="C87" s="33"/>
      <c r="D87" s="33"/>
      <c r="E87" s="33"/>
    </row>
    <row r="88" spans="1:5" ht="15.75">
      <c r="A88" s="62" t="str">
        <f>inputPrYr!B25</f>
        <v>Fire Equipment</v>
      </c>
      <c r="B88" s="4">
        <v>69025</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2012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2012 'total expenditures' exceed your 2012</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679</v>
      </c>
      <c r="C6" s="740"/>
      <c r="D6" s="740"/>
      <c r="E6" s="740"/>
      <c r="F6" s="740"/>
      <c r="G6" s="740"/>
      <c r="H6" s="740"/>
      <c r="I6" s="740"/>
      <c r="J6" s="740"/>
      <c r="K6" s="740"/>
      <c r="L6" s="429"/>
    </row>
    <row r="7" spans="1:12" ht="40.5" customHeight="1">
      <c r="A7" s="427"/>
      <c r="B7" s="749" t="s">
        <v>680</v>
      </c>
      <c r="C7" s="750"/>
      <c r="D7" s="750"/>
      <c r="E7" s="750"/>
      <c r="F7" s="750"/>
      <c r="G7" s="750"/>
      <c r="H7" s="750"/>
      <c r="I7" s="750"/>
      <c r="J7" s="750"/>
      <c r="K7" s="750"/>
      <c r="L7" s="427"/>
    </row>
    <row r="8" spans="1:12" ht="14.25">
      <c r="A8" s="427"/>
      <c r="B8" s="742" t="s">
        <v>681</v>
      </c>
      <c r="C8" s="742"/>
      <c r="D8" s="742"/>
      <c r="E8" s="742"/>
      <c r="F8" s="742"/>
      <c r="G8" s="742"/>
      <c r="H8" s="742"/>
      <c r="I8" s="742"/>
      <c r="J8" s="742"/>
      <c r="K8" s="742"/>
      <c r="L8" s="427"/>
    </row>
    <row r="9" spans="1:12" ht="14.25">
      <c r="A9" s="427"/>
      <c r="L9" s="427"/>
    </row>
    <row r="10" spans="1:12" ht="14.25">
      <c r="A10" s="427"/>
      <c r="B10" s="742" t="s">
        <v>682</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683</v>
      </c>
      <c r="C12" s="730"/>
      <c r="D12" s="730"/>
      <c r="E12" s="730"/>
      <c r="F12" s="730"/>
      <c r="G12" s="730"/>
      <c r="H12" s="730"/>
      <c r="I12" s="730"/>
      <c r="J12" s="730"/>
      <c r="K12" s="730"/>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732">
        <v>133685008</v>
      </c>
      <c r="G23" s="732"/>
      <c r="L23" s="427"/>
    </row>
    <row r="24" spans="1:12" ht="14.25">
      <c r="A24" s="427"/>
      <c r="L24" s="427"/>
    </row>
    <row r="25" spans="1:12" ht="14.25">
      <c r="A25" s="427"/>
      <c r="C25" s="743">
        <f>F23</f>
        <v>133685008</v>
      </c>
      <c r="D25" s="743"/>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680</v>
      </c>
      <c r="C30" s="737"/>
      <c r="D30" s="737"/>
      <c r="E30" s="737"/>
      <c r="F30" s="737"/>
      <c r="G30" s="737"/>
      <c r="H30" s="737"/>
      <c r="I30" s="737"/>
      <c r="J30" s="737"/>
      <c r="K30" s="737"/>
      <c r="L30" s="427"/>
    </row>
    <row r="31" spans="1:12" ht="14.25">
      <c r="A31" s="427"/>
      <c r="B31" s="742" t="s">
        <v>694</v>
      </c>
      <c r="C31" s="742"/>
      <c r="D31" s="742"/>
      <c r="E31" s="742"/>
      <c r="F31" s="742"/>
      <c r="G31" s="742"/>
      <c r="H31" s="742"/>
      <c r="I31" s="742"/>
      <c r="J31" s="742"/>
      <c r="K31" s="742"/>
      <c r="L31" s="427"/>
    </row>
    <row r="32" spans="1:12" ht="14.25">
      <c r="A32" s="427"/>
      <c r="L32" s="427"/>
    </row>
    <row r="33" spans="1:12" ht="14.25">
      <c r="A33" s="427"/>
      <c r="B33" s="742" t="s">
        <v>695</v>
      </c>
      <c r="C33" s="742"/>
      <c r="D33" s="742"/>
      <c r="E33" s="742"/>
      <c r="F33" s="742"/>
      <c r="G33" s="742"/>
      <c r="H33" s="742"/>
      <c r="I33" s="742"/>
      <c r="J33" s="742"/>
      <c r="K33" s="742"/>
      <c r="L33" s="427"/>
    </row>
    <row r="34" spans="1:12" ht="14.25">
      <c r="A34" s="427"/>
      <c r="L34" s="427"/>
    </row>
    <row r="35" spans="1:12" ht="89.25" customHeight="1">
      <c r="A35" s="427"/>
      <c r="B35" s="730" t="s">
        <v>696</v>
      </c>
      <c r="C35" s="735"/>
      <c r="D35" s="735"/>
      <c r="E35" s="735"/>
      <c r="F35" s="735"/>
      <c r="G35" s="735"/>
      <c r="H35" s="735"/>
      <c r="I35" s="735"/>
      <c r="J35" s="735"/>
      <c r="K35" s="735"/>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744">
        <v>3120000</v>
      </c>
      <c r="D41" s="744"/>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732">
        <v>133685008</v>
      </c>
      <c r="C48" s="732"/>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745" t="s">
        <v>704</v>
      </c>
      <c r="H50" s="746"/>
      <c r="I50" s="439" t="s">
        <v>690</v>
      </c>
      <c r="J50" s="449">
        <f>B50/F50</f>
        <v>52.8690023342034</v>
      </c>
      <c r="K50" s="441"/>
      <c r="L50" s="427"/>
    </row>
    <row r="51" spans="1:15" ht="15" thickBot="1">
      <c r="A51" s="427"/>
      <c r="B51" s="442"/>
      <c r="C51" s="443"/>
      <c r="D51" s="443"/>
      <c r="E51" s="443"/>
      <c r="F51" s="443"/>
      <c r="G51" s="443"/>
      <c r="H51" s="443"/>
      <c r="I51" s="747" t="s">
        <v>705</v>
      </c>
      <c r="J51" s="747"/>
      <c r="K51" s="748"/>
      <c r="L51" s="427"/>
      <c r="O51" s="450"/>
    </row>
    <row r="52" spans="1:12" ht="40.5" customHeight="1">
      <c r="A52" s="427"/>
      <c r="B52" s="737" t="s">
        <v>680</v>
      </c>
      <c r="C52" s="737"/>
      <c r="D52" s="737"/>
      <c r="E52" s="737"/>
      <c r="F52" s="737"/>
      <c r="G52" s="737"/>
      <c r="H52" s="737"/>
      <c r="I52" s="737"/>
      <c r="J52" s="737"/>
      <c r="K52" s="737"/>
      <c r="L52" s="427"/>
    </row>
    <row r="53" spans="1:12" ht="14.25">
      <c r="A53" s="427"/>
      <c r="B53" s="742" t="s">
        <v>706</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707</v>
      </c>
      <c r="C55" s="729"/>
      <c r="D55" s="729"/>
      <c r="E55" s="729"/>
      <c r="F55" s="729"/>
      <c r="G55" s="729"/>
      <c r="H55" s="729"/>
      <c r="I55" s="729"/>
      <c r="J55" s="729"/>
      <c r="K55" s="729"/>
      <c r="L55" s="427"/>
    </row>
    <row r="56" spans="1:12" ht="15" customHeight="1">
      <c r="A56" s="427"/>
      <c r="L56" s="427"/>
    </row>
    <row r="57" spans="1:24" ht="74.25" customHeight="1">
      <c r="A57" s="427"/>
      <c r="B57" s="730" t="s">
        <v>708</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732">
        <v>133685008</v>
      </c>
      <c r="D74" s="732"/>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732">
        <v>5000</v>
      </c>
      <c r="D77" s="732"/>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732">
        <v>100000</v>
      </c>
      <c r="D80" s="732"/>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736">
        <f>H80</f>
        <v>11500</v>
      </c>
      <c r="D83" s="736"/>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680</v>
      </c>
      <c r="C85" s="737"/>
      <c r="D85" s="737"/>
      <c r="E85" s="737"/>
      <c r="F85" s="737"/>
      <c r="G85" s="737"/>
      <c r="H85" s="737"/>
      <c r="I85" s="737"/>
      <c r="J85" s="737"/>
      <c r="K85" s="737"/>
      <c r="L85" s="427"/>
    </row>
    <row r="86" spans="1:12" ht="14.25">
      <c r="A86" s="427"/>
      <c r="B86" s="729" t="s">
        <v>728</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729</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730</v>
      </c>
      <c r="C90" s="730"/>
      <c r="D90" s="730"/>
      <c r="E90" s="730"/>
      <c r="F90" s="730"/>
      <c r="G90" s="730"/>
      <c r="H90" s="730"/>
      <c r="I90" s="730"/>
      <c r="J90" s="730"/>
      <c r="K90" s="730"/>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732">
        <v>133685008</v>
      </c>
      <c r="D94" s="732"/>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732">
        <v>50000</v>
      </c>
      <c r="D97" s="732"/>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732">
        <v>2500000</v>
      </c>
      <c r="D100" s="732"/>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736">
        <f>H100</f>
        <v>750000</v>
      </c>
      <c r="D103" s="736"/>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680</v>
      </c>
      <c r="C105" s="738"/>
      <c r="D105" s="738"/>
      <c r="E105" s="738"/>
      <c r="F105" s="738"/>
      <c r="G105" s="738"/>
      <c r="H105" s="738"/>
      <c r="I105" s="738"/>
      <c r="J105" s="738"/>
      <c r="K105" s="738"/>
      <c r="L105" s="427"/>
    </row>
    <row r="106" spans="1:12" ht="15" customHeight="1">
      <c r="A106" s="427"/>
      <c r="B106" s="739" t="s">
        <v>732</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733</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734</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732">
        <v>133685008</v>
      </c>
      <c r="D114" s="732"/>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732">
        <v>50000</v>
      </c>
      <c r="D117" s="732"/>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732">
        <v>2500000</v>
      </c>
      <c r="D120" s="732"/>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736">
        <f>H120</f>
        <v>625000</v>
      </c>
      <c r="D123" s="736"/>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680</v>
      </c>
      <c r="C125" s="737"/>
      <c r="D125" s="737"/>
      <c r="E125" s="737"/>
      <c r="F125" s="737"/>
      <c r="G125" s="737"/>
      <c r="H125" s="737"/>
      <c r="I125" s="737"/>
      <c r="J125" s="737"/>
      <c r="K125" s="737"/>
      <c r="L125" s="481"/>
    </row>
    <row r="126" spans="1:12" ht="14.25">
      <c r="A126" s="427"/>
      <c r="B126" s="729" t="s">
        <v>735</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736</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737</v>
      </c>
      <c r="C130" s="730"/>
      <c r="D130" s="730"/>
      <c r="E130" s="730"/>
      <c r="F130" s="730"/>
      <c r="G130" s="730"/>
      <c r="H130" s="730"/>
      <c r="I130" s="730"/>
      <c r="J130" s="730"/>
      <c r="K130" s="730"/>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731" t="s">
        <v>738</v>
      </c>
      <c r="D133" s="731"/>
      <c r="E133" s="438"/>
      <c r="F133" s="439" t="s">
        <v>739</v>
      </c>
      <c r="G133" s="438"/>
      <c r="H133" s="731" t="s">
        <v>724</v>
      </c>
      <c r="I133" s="731"/>
      <c r="J133" s="438"/>
      <c r="K133" s="441"/>
      <c r="L133" s="427"/>
    </row>
    <row r="134" spans="1:12" ht="14.25">
      <c r="A134" s="427"/>
      <c r="B134" s="447" t="s">
        <v>717</v>
      </c>
      <c r="C134" s="732">
        <v>100000</v>
      </c>
      <c r="D134" s="732"/>
      <c r="E134" s="439" t="s">
        <v>267</v>
      </c>
      <c r="F134" s="439">
        <v>0.115</v>
      </c>
      <c r="G134" s="439" t="s">
        <v>690</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724</v>
      </c>
      <c r="D136" s="733"/>
      <c r="E136" s="458"/>
      <c r="F136" s="459" t="s">
        <v>740</v>
      </c>
      <c r="G136" s="459"/>
      <c r="H136" s="458"/>
      <c r="I136" s="458"/>
      <c r="J136" s="458" t="s">
        <v>741</v>
      </c>
      <c r="K136" s="460"/>
      <c r="L136" s="427"/>
    </row>
    <row r="137" spans="1:12" ht="14.25">
      <c r="A137" s="427"/>
      <c r="B137" s="447" t="s">
        <v>720</v>
      </c>
      <c r="C137" s="724">
        <f>H134</f>
        <v>11500</v>
      </c>
      <c r="D137" s="724"/>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744</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724" t="s">
        <v>745</v>
      </c>
      <c r="D147" s="724"/>
      <c r="E147" s="439"/>
      <c r="F147" s="499" t="s">
        <v>746</v>
      </c>
      <c r="G147" s="439"/>
      <c r="H147" s="439"/>
      <c r="I147" s="439"/>
      <c r="J147" s="725" t="s">
        <v>747</v>
      </c>
      <c r="K147" s="726"/>
      <c r="L147" s="427"/>
    </row>
    <row r="148" spans="1:12" ht="14.25">
      <c r="A148" s="427"/>
      <c r="B148" s="447"/>
      <c r="C148" s="727">
        <v>52.869</v>
      </c>
      <c r="D148" s="727"/>
      <c r="E148" s="439" t="s">
        <v>267</v>
      </c>
      <c r="F148" s="504">
        <v>133685008</v>
      </c>
      <c r="G148" s="505" t="s">
        <v>691</v>
      </c>
      <c r="H148" s="439">
        <v>1000</v>
      </c>
      <c r="I148" s="439" t="s">
        <v>690</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825</v>
      </c>
    </row>
    <row r="2" ht="15.75">
      <c r="A2" s="117" t="s">
        <v>826</v>
      </c>
    </row>
    <row r="3" ht="15.75">
      <c r="A3" s="117" t="s">
        <v>827</v>
      </c>
    </row>
    <row r="5" ht="15.75">
      <c r="A5" s="628" t="s">
        <v>822</v>
      </c>
    </row>
    <row r="6" ht="15.75">
      <c r="A6" s="609" t="s">
        <v>823</v>
      </c>
    </row>
    <row r="8" ht="15.75">
      <c r="A8" s="412" t="s">
        <v>769</v>
      </c>
    </row>
    <row r="9" ht="15.75">
      <c r="A9" s="609" t="s">
        <v>770</v>
      </c>
    </row>
    <row r="10" ht="15.75">
      <c r="A10" s="609" t="s">
        <v>771</v>
      </c>
    </row>
    <row r="11" ht="31.5">
      <c r="A11" s="608" t="s">
        <v>772</v>
      </c>
    </row>
    <row r="12" ht="15.75">
      <c r="A12" s="609" t="s">
        <v>773</v>
      </c>
    </row>
    <row r="13" ht="15.75">
      <c r="A13" s="609" t="s">
        <v>774</v>
      </c>
    </row>
    <row r="14" ht="15.75">
      <c r="A14" s="609" t="s">
        <v>775</v>
      </c>
    </row>
    <row r="15" ht="15.75">
      <c r="A15" s="609" t="s">
        <v>776</v>
      </c>
    </row>
    <row r="16" ht="15.75">
      <c r="A16" s="609" t="s">
        <v>777</v>
      </c>
    </row>
    <row r="17" ht="15.75">
      <c r="A17" s="609" t="s">
        <v>778</v>
      </c>
    </row>
    <row r="18" ht="15.75">
      <c r="A18" s="609" t="s">
        <v>779</v>
      </c>
    </row>
    <row r="19" ht="15.75">
      <c r="A19" s="609" t="s">
        <v>780</v>
      </c>
    </row>
    <row r="20" ht="15.75">
      <c r="A20" s="609" t="s">
        <v>781</v>
      </c>
    </row>
    <row r="21" ht="15.75">
      <c r="A21" s="609" t="s">
        <v>782</v>
      </c>
    </row>
    <row r="22" ht="15.75">
      <c r="A22" s="609" t="s">
        <v>783</v>
      </c>
    </row>
    <row r="23" ht="15.75">
      <c r="A23" s="609" t="s">
        <v>784</v>
      </c>
    </row>
    <row r="24" ht="15.75">
      <c r="A24" s="609" t="s">
        <v>785</v>
      </c>
    </row>
    <row r="25" ht="15.75">
      <c r="A25" s="609" t="s">
        <v>786</v>
      </c>
    </row>
    <row r="26" ht="15.75">
      <c r="A26" s="609" t="s">
        <v>787</v>
      </c>
    </row>
    <row r="27" ht="15.75">
      <c r="A27" s="609" t="s">
        <v>788</v>
      </c>
    </row>
    <row r="28" ht="15.75">
      <c r="A28" s="609" t="s">
        <v>789</v>
      </c>
    </row>
    <row r="29" ht="15.75">
      <c r="A29" s="609" t="s">
        <v>790</v>
      </c>
    </row>
    <row r="30" ht="15.75">
      <c r="A30" s="609" t="s">
        <v>791</v>
      </c>
    </row>
    <row r="31" ht="15.75">
      <c r="A31" s="117" t="s">
        <v>821</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333</v>
      </c>
    </row>
    <row r="53" ht="15.75">
      <c r="A53" s="117" t="s">
        <v>334</v>
      </c>
    </row>
    <row r="54" ht="15.75">
      <c r="A54" s="117" t="s">
        <v>335</v>
      </c>
    </row>
    <row r="55" ht="15.75">
      <c r="A55" s="117" t="s">
        <v>336</v>
      </c>
    </row>
    <row r="56" ht="15.75">
      <c r="A56" s="117" t="s">
        <v>337</v>
      </c>
    </row>
    <row r="57" ht="15.75">
      <c r="A57" s="117" t="s">
        <v>338</v>
      </c>
    </row>
    <row r="58" ht="15.75">
      <c r="A58" s="117" t="s">
        <v>339</v>
      </c>
    </row>
    <row r="59" ht="15.75">
      <c r="A59" s="117" t="s">
        <v>340</v>
      </c>
    </row>
    <row r="60" ht="15.75">
      <c r="A60" s="117" t="s">
        <v>342</v>
      </c>
    </row>
    <row r="61" ht="15.75">
      <c r="A61" s="117" t="s">
        <v>343</v>
      </c>
    </row>
    <row r="62" ht="15.75">
      <c r="A62" s="117" t="s">
        <v>359</v>
      </c>
    </row>
    <row r="63" ht="15.75">
      <c r="A63" s="117" t="s">
        <v>360</v>
      </c>
    </row>
    <row r="64" ht="15.75">
      <c r="A64" s="117" t="s">
        <v>361</v>
      </c>
    </row>
    <row r="65" ht="15.75">
      <c r="A65" s="117" t="s">
        <v>362</v>
      </c>
    </row>
    <row r="66" ht="15.75">
      <c r="A66" s="117" t="s">
        <v>377</v>
      </c>
    </row>
    <row r="67" ht="15.75">
      <c r="A67" s="117" t="s">
        <v>378</v>
      </c>
    </row>
    <row r="68" ht="15.75">
      <c r="A68" s="117" t="s">
        <v>390</v>
      </c>
    </row>
    <row r="69" ht="15.75">
      <c r="A69" s="389" t="s">
        <v>391</v>
      </c>
    </row>
    <row r="71" ht="15.75">
      <c r="A71" s="411" t="s">
        <v>328</v>
      </c>
    </row>
    <row r="72" ht="15.75">
      <c r="A72" s="117" t="s">
        <v>329</v>
      </c>
    </row>
    <row r="74" ht="15.75">
      <c r="A74" s="411" t="s">
        <v>326</v>
      </c>
    </row>
    <row r="75" ht="15.75">
      <c r="A75" s="117" t="s">
        <v>327</v>
      </c>
    </row>
    <row r="77" ht="15.75">
      <c r="A77" s="411" t="s">
        <v>322</v>
      </c>
    </row>
    <row r="78" ht="15.75">
      <c r="A78" s="117" t="s">
        <v>323</v>
      </c>
    </row>
    <row r="79" ht="15.75">
      <c r="A79" s="117" t="s">
        <v>324</v>
      </c>
    </row>
    <row r="80" ht="15.75">
      <c r="A80" s="117" t="s">
        <v>325</v>
      </c>
    </row>
    <row r="82" ht="15.75">
      <c r="A82" s="411" t="s">
        <v>318</v>
      </c>
    </row>
    <row r="83" ht="15.75">
      <c r="A83" s="117" t="s">
        <v>319</v>
      </c>
    </row>
    <row r="84" ht="15.75">
      <c r="A84" s="117" t="s">
        <v>320</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12" sqref="H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401</v>
      </c>
      <c r="B2" s="648"/>
      <c r="C2" s="648"/>
      <c r="D2" s="648"/>
      <c r="E2" s="648"/>
      <c r="F2" s="648"/>
    </row>
    <row r="4" ht="15.75">
      <c r="D4" s="393"/>
    </row>
    <row r="5" spans="1:4" ht="15.75">
      <c r="A5" s="220" t="s">
        <v>396</v>
      </c>
      <c r="B5" s="394" t="s">
        <v>846</v>
      </c>
      <c r="C5" s="395"/>
      <c r="D5" s="220" t="s">
        <v>820</v>
      </c>
    </row>
    <row r="6" spans="1:4" ht="15.75">
      <c r="A6" s="220"/>
      <c r="B6" s="396"/>
      <c r="C6" s="397"/>
      <c r="D6" s="220" t="s">
        <v>819</v>
      </c>
    </row>
    <row r="7" spans="1:4" ht="15.75">
      <c r="A7" s="220" t="s">
        <v>397</v>
      </c>
      <c r="B7" s="394" t="s">
        <v>847</v>
      </c>
      <c r="C7" s="398"/>
      <c r="D7" s="220"/>
    </row>
    <row r="8" spans="1:4" ht="15.75">
      <c r="A8" s="220"/>
      <c r="B8" s="220"/>
      <c r="C8" s="220"/>
      <c r="D8" s="220"/>
    </row>
    <row r="9" spans="1:5" ht="15.75">
      <c r="A9" s="220" t="s">
        <v>398</v>
      </c>
      <c r="B9" s="399" t="s">
        <v>848</v>
      </c>
      <c r="C9" s="399"/>
      <c r="D9" s="399"/>
      <c r="E9" s="400"/>
    </row>
    <row r="10" spans="1:4" ht="15.75">
      <c r="A10" s="220"/>
      <c r="B10" s="220"/>
      <c r="C10" s="220"/>
      <c r="D10" s="220"/>
    </row>
    <row r="11" spans="1:4" ht="15.75">
      <c r="A11" s="220"/>
      <c r="B11" s="220"/>
      <c r="C11" s="220"/>
      <c r="D11" s="220"/>
    </row>
    <row r="12" spans="1:5" ht="15.75">
      <c r="A12" s="220" t="s">
        <v>399</v>
      </c>
      <c r="B12" s="399" t="s">
        <v>849</v>
      </c>
      <c r="C12" s="399"/>
      <c r="D12" s="399"/>
      <c r="E12" s="400"/>
    </row>
    <row r="15" spans="1:5" ht="15.75">
      <c r="A15" s="649" t="s">
        <v>402</v>
      </c>
      <c r="B15" s="649"/>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
      <selection activeCell="E44" sqref="E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Leavenworth, State of Kansas</v>
      </c>
      <c r="B3" s="666"/>
      <c r="C3" s="666"/>
      <c r="D3" s="666"/>
      <c r="E3" s="666"/>
      <c r="F3" s="666"/>
      <c r="G3" s="666"/>
    </row>
    <row r="4" spans="1:6" s="66" customFormat="1" ht="15.75">
      <c r="A4" s="70" t="s">
        <v>106</v>
      </c>
      <c r="B4" s="67"/>
      <c r="C4" s="67"/>
      <c r="D4" s="67"/>
      <c r="E4" s="67"/>
      <c r="F4" s="67"/>
    </row>
    <row r="5" s="66" customFormat="1" ht="15.75">
      <c r="C5" s="607" t="str">
        <f>inputPrYr!D3</f>
        <v>Tonganoxie</v>
      </c>
    </row>
    <row r="6" spans="1:6" s="66" customFormat="1" ht="15.75">
      <c r="A6" s="670" t="s">
        <v>104</v>
      </c>
      <c r="B6" s="666"/>
      <c r="C6" s="666"/>
      <c r="D6" s="666"/>
      <c r="E6" s="666"/>
      <c r="F6" s="666"/>
    </row>
    <row r="7" spans="1:6" s="66" customFormat="1" ht="15.75" customHeight="1">
      <c r="A7" s="665" t="s">
        <v>105</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255</v>
      </c>
      <c r="E12" s="662" t="str">
        <f>CONCATENATE("Amount of ",G1-1," Ad Valorem Tax")</f>
        <v>Amount of 2011 Ad Valorem Tax</v>
      </c>
      <c r="F12" s="76" t="s">
        <v>256</v>
      </c>
    </row>
    <row r="13" spans="3:6" s="66" customFormat="1" ht="15.75">
      <c r="C13" s="76" t="s">
        <v>257</v>
      </c>
      <c r="D13" s="529" t="s">
        <v>185</v>
      </c>
      <c r="E13" s="663"/>
      <c r="F13" s="78" t="s">
        <v>258</v>
      </c>
    </row>
    <row r="14" spans="1:6" s="66" customFormat="1" ht="15.75">
      <c r="A14" s="79" t="s">
        <v>259</v>
      </c>
      <c r="B14" s="80"/>
      <c r="C14" s="81" t="s">
        <v>260</v>
      </c>
      <c r="D14" s="530" t="s">
        <v>748</v>
      </c>
      <c r="E14" s="664"/>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58350</v>
      </c>
      <c r="E20" s="85">
        <f>IF(gen!$E$53&lt;&gt;0,gen!$E$53,0)</f>
        <v>26376.71</v>
      </c>
      <c r="F20" s="95" t="str">
        <f>IF(AND(gen!E53=0,$B$45&gt;=0)," ",IF(AND(E20&gt;0,$B$45=0)," ",IF(AND(E20&gt;0,$B$45&gt;0),ROUND(E20/$B$45*1000,3))))</f>
        <v> </v>
      </c>
    </row>
    <row r="21" spans="1:6" s="66" customFormat="1" ht="15.75">
      <c r="A21" s="92" t="s">
        <v>321</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f>IF(FireMaint!C75&gt;0,FireMaint!C75,"  ")</f>
        <v>7</v>
      </c>
      <c r="D23" s="85" t="str">
        <f>IF(FireMaint!$E$31&lt;&gt;0,FireMaint!$E$31,"  ")</f>
        <v>  </v>
      </c>
      <c r="E23" s="85" t="str">
        <f>IF(FireMaint!$E$38&lt;&gt;0,FireMaint!$E$38,"  ")</f>
        <v>  </v>
      </c>
      <c r="F23" s="95" t="str">
        <f>IF(AND(FireMaint!E38=0,$B$42&gt;=0)," ",IF(AND(E23&gt;0,$B$42=0)," ",IF(AND(E23&gt;0,$B$42&gt;0),ROUND(E23/$B$42*1000,3))))</f>
        <v> </v>
      </c>
    </row>
    <row r="24" spans="1:6" s="66" customFormat="1" ht="15.75">
      <c r="A24" s="92" t="str">
        <f>IF(inputPrYr!$B24&gt;"  ",inputPrYr!$B24,"  ")</f>
        <v>Fire Maintenance</v>
      </c>
      <c r="B24" s="93" t="str">
        <f>IF(inputPrYr!C24&gt;0,inputPrYr!C24,"  ")</f>
        <v>2-1318</v>
      </c>
      <c r="C24" s="94">
        <f>IF(FireMaint!C75&gt;0,FireMaint!C75,"  ")</f>
        <v>7</v>
      </c>
      <c r="D24" s="85">
        <f>IF(FireMaint!$E$67&lt;&gt;0,FireMaint!$E$67,"  ")</f>
        <v>39000</v>
      </c>
      <c r="E24" s="85">
        <f>IF(FireMaint!$E$74&lt;&gt;0,FireMaint!$E$74,"  ")</f>
        <v>26319.869999999995</v>
      </c>
      <c r="F24" s="95" t="str">
        <f>IF(AND(FireMaint!E74=0,$B$42&gt;=0)," ",IF(AND(E24&gt;0,$B$42=0)," ",IF(AND(E24&gt;0,$B$42&gt;0),ROUND(E24/$B$42*1000,3))))</f>
        <v> </v>
      </c>
    </row>
    <row r="25" spans="1:6" s="66" customFormat="1" ht="15.75">
      <c r="A25" s="92" t="str">
        <f>IF(inputPrYr!$B25&gt;"  ",inputPrYr!$B25,"  ")</f>
        <v>Fire Equipment</v>
      </c>
      <c r="B25" s="93" t="str">
        <f>IF(inputPrYr!C25&gt;0,inputPrYr!C25,"  ")</f>
        <v>80-1503</v>
      </c>
      <c r="C25" s="94">
        <f>IF(FireEquip!C75&gt;0,FireEquip!C75,"  ")</f>
        <v>8</v>
      </c>
      <c r="D25" s="85">
        <f>IF(FireEquip!$E$31&lt;&gt;0,FireEquip!$E$31,"  ")</f>
        <v>73500</v>
      </c>
      <c r="E25" s="85">
        <f>IF(FireEquip!$E$38&lt;&gt;0,FireEquip!$E$38,"  ")</f>
        <v>51972.21000000001</v>
      </c>
      <c r="F25" s="95" t="str">
        <f>IF(AND(FireEquip!$E$38=0,$B$42&gt;=0)," ",IF(AND(E25&gt;0,$B$42=0)," ",IF(AND(E25&gt;0,$B$42&gt;0),ROUND(E25/$B$42*1000,3))))</f>
        <v> </v>
      </c>
    </row>
    <row r="26" spans="1:6" s="66" customFormat="1" ht="15.75">
      <c r="A26" s="92" t="str">
        <f>IF(inputPrYr!$B26&gt;"  ",inputPrYr!$B26,"  ")</f>
        <v>  </v>
      </c>
      <c r="B26" s="93" t="str">
        <f>IF(inputPrYr!C26&gt;0,inputPrYr!C26,"  ")</f>
        <v>  </v>
      </c>
      <c r="C26" s="94">
        <f>IF(FireEquip!C75&gt;0,FireEquip!C75,"  ")</f>
        <v>8</v>
      </c>
      <c r="D26" s="85" t="str">
        <f>IF(FireEquip!$E$67&lt;&gt;0,FireEquip!$E$67,"  ")</f>
        <v>  </v>
      </c>
      <c r="E26" s="85" t="str">
        <f>IF(FireEquip!$E$74&lt;&gt;0,FireEquip!$E$74,"  ")</f>
        <v>  </v>
      </c>
      <c r="F26" s="95" t="str">
        <f>IF(AND(FireEquip!$E$74=0,$B$45&gt;=0),"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170850</v>
      </c>
      <c r="E37" s="102">
        <f>SUM(E20:E36)</f>
        <v>104668.79000000001</v>
      </c>
      <c r="F37" s="103">
        <f>IF(SUM(F20:F36)&gt;0,SUM(F20:F36),"")</f>
      </c>
    </row>
    <row r="38" spans="1:3" s="66" customFormat="1" ht="16.5" thickTop="1">
      <c r="A38" s="87" t="s">
        <v>122</v>
      </c>
      <c r="B38" s="83"/>
      <c r="C38" s="98">
        <f>summ!C52</f>
        <v>9</v>
      </c>
    </row>
    <row r="39" spans="1:5" s="66" customFormat="1" ht="15.75">
      <c r="A39" s="82" t="s">
        <v>178</v>
      </c>
      <c r="B39" s="83"/>
      <c r="C39" s="98">
        <f>IF(nhood!C39&gt;0,nhood!C39,"")</f>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50" t="s">
        <v>79</v>
      </c>
      <c r="C41" s="651"/>
      <c r="D41" s="109"/>
      <c r="F41" s="74" t="s">
        <v>268</v>
      </c>
    </row>
    <row r="42" spans="1:6" s="66" customFormat="1" ht="15.75">
      <c r="A42" s="82" t="str">
        <f>inputPrYr!D3</f>
        <v>Tonganoxie</v>
      </c>
      <c r="B42" s="652"/>
      <c r="C42" s="653"/>
      <c r="D42" s="110"/>
      <c r="F42" s="74"/>
    </row>
    <row r="43" spans="1:6" s="66" customFormat="1" ht="15.75">
      <c r="A43" s="82" t="str">
        <f>inputPrYr!D6</f>
        <v>City of Tonganoxie</v>
      </c>
      <c r="B43" s="652"/>
      <c r="C43" s="660"/>
      <c r="D43" s="110"/>
      <c r="F43" s="74"/>
    </row>
    <row r="44" spans="1:6" s="66" customFormat="1" ht="15.75">
      <c r="A44" s="82" t="str">
        <f>inputPrYr!D7</f>
        <v>Union Fire #9</v>
      </c>
      <c r="B44" s="652"/>
      <c r="C44" s="660"/>
      <c r="D44" s="110"/>
      <c r="F44" s="74"/>
    </row>
    <row r="45" spans="1:6" s="66" customFormat="1" ht="15.75">
      <c r="A45" s="82" t="s">
        <v>191</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56" t="s">
        <v>270</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V48" sqref="V48"/>
    </sheetView>
  </sheetViews>
  <sheetFormatPr defaultColWidth="8.796875" defaultRowHeig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Tonganoxie</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287</v>
      </c>
      <c r="I5" s="194" t="s">
        <v>274</v>
      </c>
      <c r="J5" s="271">
        <f>inputPrYr!E31</f>
        <v>101338</v>
      </c>
    </row>
    <row r="6" spans="1:10" ht="15.75">
      <c r="A6" s="269" t="s">
        <v>37</v>
      </c>
      <c r="B6" s="66" t="str">
        <f>CONCATENATE("Debt Service Levy in ",J1-1,"")</f>
        <v>Debt Service Levy in 2011</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101338</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287</v>
      </c>
      <c r="G11" s="247">
        <f>inputOth!E16</f>
        <v>555039</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287</v>
      </c>
      <c r="E14" s="247">
        <f>inputOth!E21</f>
        <v>1320755</v>
      </c>
      <c r="F14" s="270"/>
      <c r="G14" s="194"/>
      <c r="H14" s="194"/>
      <c r="I14" s="274"/>
      <c r="J14" s="194"/>
    </row>
    <row r="15" spans="1:10" ht="15.75">
      <c r="A15" s="269"/>
      <c r="B15" s="66" t="s">
        <v>43</v>
      </c>
      <c r="C15" s="66" t="str">
        <f>CONCATENATE("Personal Property ",J1-2,"")</f>
        <v>Personal Property 2010</v>
      </c>
      <c r="D15" s="269" t="s">
        <v>38</v>
      </c>
      <c r="E15" s="273">
        <f>inputOth!E31</f>
        <v>1384277</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287</v>
      </c>
      <c r="G18" s="247">
        <f>inputOth!E26</f>
        <v>1316817</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1871856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58601710</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56729854</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0.03299596011651995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3344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104682</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104682</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Tonganoxie</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238</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117</v>
      </c>
    </row>
    <row r="12" spans="1:11" ht="15.75">
      <c r="A12" s="66"/>
      <c r="B12" s="92" t="str">
        <f>inputPrYr!B20</f>
        <v>General</v>
      </c>
      <c r="C12" s="238"/>
      <c r="D12" s="92">
        <f>IF(inputPrYr!E20&gt;0,inputPrYr!E20,"  ")</f>
        <v>32649</v>
      </c>
      <c r="E12" s="239">
        <f>IF(inputOth!D37&gt;0,inputOth!D37,"  ")</f>
        <v>0.564</v>
      </c>
      <c r="F12" s="240"/>
      <c r="G12" s="92">
        <f>IF(inputPrYr!E20=0,0,G25-SUM(G13:G22))</f>
        <v>5436.48</v>
      </c>
      <c r="H12" s="241"/>
      <c r="I12" s="92">
        <f>IF(inputPrYr!E20=0,0,I27-SUM(I13:I22))</f>
        <v>110.89999999999998</v>
      </c>
      <c r="J12" s="92">
        <f>IF(inputPrYr!E20=0,0,J29-SUM(J13:J22))</f>
        <v>116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Fire Maintenance</v>
      </c>
      <c r="C16" s="238"/>
      <c r="D16" s="92">
        <f>IF(inputPrYr!E24&gt;0,inputPrYr!E24,"  ")</f>
        <v>24867</v>
      </c>
      <c r="E16" s="239">
        <f>IF(inputOth!D41&gt;0,inputOth!D41,"  ")</f>
        <v>1.339</v>
      </c>
      <c r="F16" s="240"/>
      <c r="G16" s="92">
        <f>IF(inputPrYr!E24=0,0,ROUND(D16*$G$33,0))</f>
        <v>4140</v>
      </c>
      <c r="H16" s="241"/>
      <c r="I16" s="92">
        <f>IF(inputPrYr!$E$24=0,0,ROUND($D$16*$I$35,0))</f>
        <v>84</v>
      </c>
      <c r="J16" s="92">
        <f>IF(inputPrYr!E24=0,0,ROUND($D16*$J$37,0))</f>
        <v>88</v>
      </c>
      <c r="K16" s="92">
        <f>IF(inputPrYr!E24=0,0,ROUND($D16*$K$39,0))</f>
        <v>0</v>
      </c>
    </row>
    <row r="17" spans="1:11" ht="15.75">
      <c r="A17" s="66"/>
      <c r="B17" s="92" t="str">
        <f>IF(inputPrYr!$B25&gt;"  ",inputPrYr!$B25,"  ")</f>
        <v>Fire Equipment</v>
      </c>
      <c r="C17" s="238"/>
      <c r="D17" s="92">
        <f>IF(inputPrYr!E25&gt;0,inputPrYr!E25,"  ")</f>
        <v>43822</v>
      </c>
      <c r="E17" s="239">
        <f>IF(inputOth!D42&gt;0,inputOth!D42,"  ")</f>
        <v>2.359</v>
      </c>
      <c r="F17" s="240"/>
      <c r="G17" s="92">
        <f>IF(inputPrYr!E25=0,0,ROUND(D17*$G$33,0))</f>
        <v>7296</v>
      </c>
      <c r="H17" s="241"/>
      <c r="I17" s="92">
        <f>IF(inputPrYr!$E$25=0,0,ROUND($D$17*$I$35,0))</f>
        <v>149</v>
      </c>
      <c r="J17" s="92">
        <f>IF(inputPrYr!E25=0,0,ROUND($D17*$J$37,0))</f>
        <v>156</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101338</v>
      </c>
      <c r="E23" s="244">
        <f>SUM(E12:E22)</f>
        <v>4.2620000000000005</v>
      </c>
      <c r="F23" s="245"/>
      <c r="G23" s="243">
        <f t="shared" si="0"/>
        <v>16872.48</v>
      </c>
      <c r="H23" s="243"/>
      <c r="I23" s="243">
        <f t="shared" si="0"/>
        <v>343.9</v>
      </c>
      <c r="J23" s="243">
        <f t="shared" si="0"/>
        <v>360</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16872.48</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343.9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360</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0.16649706921391777</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0.0033935937160788645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0.003552467978448361</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jdickson</cp:lastModifiedBy>
  <cp:lastPrinted>2011-07-19T20:49:34Z</cp:lastPrinted>
  <dcterms:created xsi:type="dcterms:W3CDTF">1998-08-26T16:30:41Z</dcterms:created>
  <dcterms:modified xsi:type="dcterms:W3CDTF">2011-12-20T20:57:35Z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