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9"/>
  </bookViews>
  <sheets>
    <sheet name="inputPrYr" sheetId="1" r:id="rId1"/>
    <sheet name="inputOth" sheetId="2" r:id="rId2"/>
    <sheet name="inputBudSum" sheetId="3" r:id="rId3"/>
    <sheet name="cert" sheetId="4" r:id="rId4"/>
    <sheet name="computation" sheetId="5" r:id="rId5"/>
    <sheet name="mvalloc" sheetId="6" r:id="rId6"/>
    <sheet name="transfer" sheetId="7" r:id="rId7"/>
    <sheet name="debt-lease" sheetId="8" r:id="rId8"/>
    <sheet name="gen" sheetId="9" r:id="rId9"/>
    <sheet name="summ" sheetId="10" r:id="rId10"/>
    <sheet name="nhood" sheetId="11" r:id="rId11"/>
    <sheet name="Resolution" sheetId="12" r:id="rId12"/>
  </sheets>
  <definedNames>
    <definedName name="_xlnm.Print_Area" localSheetId="8">'gen'!$B$1:$E$61</definedName>
    <definedName name="_xlnm.Print_Area" localSheetId="0">'inputPrYr'!$A$1:$E$60</definedName>
    <definedName name="_xlnm.Print_Area" localSheetId="9">'summ'!$B$1:$I$36</definedName>
  </definedNames>
  <calcPr fullCalcOnLoad="1"/>
</workbook>
</file>

<file path=xl/sharedStrings.xml><?xml version="1.0" encoding="utf-8"?>
<sst xmlns="http://schemas.openxmlformats.org/spreadsheetml/2006/main" count="338" uniqueCount="263">
  <si>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</si>
  <si>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</si>
  <si>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</si>
  <si>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</si>
  <si>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</si>
  <si>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</si>
  <si>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</si>
  <si>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</si>
  <si>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</si>
  <si>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</si>
  <si>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</si>
  <si>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</si>
  <si>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</si>
  <si>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</si>
  <si>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</si>
  <si>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</si>
  <si>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</si>
  <si>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</si>
  <si>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</si>
  <si>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</si>
  <si>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</si>
  <si>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</si>
  <si>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</si>
  <si>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</si>
  <si>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</si>
  <si>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</si>
  <si>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</si>
  <si>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</si>
  <si>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</si>
  <si>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</si>
  <si>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</si>
  <si>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</si>
  <si>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</si>
  <si>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</si>
  <si>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</si>
  <si>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</si>
  <si>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</si>
  <si>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</si>
  <si>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</si>
  <si>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</si>
  <si>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</si>
  <si>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</si>
  <si>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</si>
  <si>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</si>
  <si>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</si>
  <si>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</si>
  <si>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</si>
  <si>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</si>
  <si>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</si>
  <si>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</si>
  <si>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</si>
  <si>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</si>
  <si>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</si>
  <si>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</si>
  <si>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</si>
  <si>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</si>
  <si>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</si>
  <si>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</si>
  <si>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</si>
  <si>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</si>
  <si>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</si>
  <si>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</si>
  <si>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</si>
  <si>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</si>
  <si>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</si>
  <si>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</si>
  <si>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</si>
  <si>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</si>
  <si>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</si>
  <si>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</si>
  <si>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</si>
  <si>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</si>
  <si>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</si>
  <si>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</si>
  <si>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</si>
  <si>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</si>
  <si>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</si>
  <si>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</si>
  <si>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</si>
  <si>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</si>
  <si>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</si>
  <si>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</si>
  <si>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</si>
  <si>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</si>
  <si>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</si>
  <si>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</si>
  <si>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</si>
  <si>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</si>
  <si>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</si>
  <si>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</si>
  <si>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</si>
  <si>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</si>
  <si>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</si>
  <si>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</si>
  <si>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</si>
  <si>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</si>
  <si>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</si>
  <si>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</si>
  <si>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</si>
  <si>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</si>
  <si>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</si>
  <si>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</si>
  <si>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</si>
  <si>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</si>
  <si>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</si>
  <si>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</si>
  <si>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</si>
  <si>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</si>
  <si>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</si>
  <si>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</si>
  <si>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</si>
  <si>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</si>
  <si>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</si>
  <si>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</si>
  <si>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</si>
  <si>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</si>
  <si>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</si>
  <si>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</si>
  <si>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</si>
  <si>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</si>
  <si>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</si>
  <si>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</si>
  <si>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</si>
  <si>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</si>
  <si>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</si>
  <si>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</si>
  <si>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Treasurer</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</si>
  <si>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</si>
  <si>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</si>
  <si>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</si>
  <si>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</si>
  <si>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</si>
  <si>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</si>
  <si>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</si>
  <si>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</si>
  <si>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</si>
  <si>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</si>
  <si>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</si>
  <si>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</si>
  <si>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</si>
  <si>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</si>
  <si>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</si>
  <si>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</si>
  <si>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</si>
  <si>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</si>
  <si>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</si>
  <si>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</si>
  <si>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</si>
  <si>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</si>
  <si>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</si>
  <si>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</si>
  <si>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</si>
  <si>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</si>
  <si>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</si>
  <si>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</si>
  <si>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</si>
  <si>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</si>
  <si>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</si>
  <si>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</si>
  <si>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</si>
  <si>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</si>
  <si>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</si>
  <si>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</si>
  <si>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</si>
  <si>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</si>
  <si>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</si>
  <si>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</si>
  <si>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</si>
  <si>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</si>
  <si>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</si>
  <si>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</si>
  <si>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</si>
  <si>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</si>
  <si>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</si>
  <si>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</si>
  <si>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</si>
  <si>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</si>
  <si>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Enter County Name followed by 'County"</t>
  </si>
  <si>
    <t>Enter Township Name followed by 'Township'</t>
  </si>
  <si>
    <t>Allocation of Motor, Recreational, and 16/20M Vehicle Tax and Slider</t>
  </si>
  <si>
    <t>***If you are merely leasing/renting with no intent to purchase, do not list--such transactions are not lease-purchases.</t>
  </si>
  <si>
    <t>Does the General Fund have a tax levy</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</si>
  <si>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</si>
  <si>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</si>
  <si>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</si>
  <si>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</si>
  <si>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</si>
  <si>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</si>
  <si>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</si>
  <si>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</si>
  <si>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</si>
  <si>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</si>
  <si>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</si>
  <si>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</si>
  <si>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</si>
  <si>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</si>
  <si>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</si>
  <si>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</si>
  <si>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</si>
  <si>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</si>
  <si>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</si>
  <si>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</si>
  <si>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</si>
  <si>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</si>
  <si>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</si>
  <si>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</si>
  <si>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</si>
  <si>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</si>
  <si>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</si>
  <si>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Debt Service</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</si>
  <si>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</si>
  <si>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</si>
  <si>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</si>
  <si>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</si>
  <si>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</si>
  <si>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</si>
  <si>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</si>
  <si>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</si>
  <si>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</si>
  <si>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</si>
  <si>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</si>
  <si>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</si>
  <si>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</si>
  <si>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</si>
  <si>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</si>
  <si>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</si>
  <si>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</si>
  <si>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answering objections of taxpayers relating to the proposed use of all funds and the amount of ad valorem tax.</t>
  </si>
  <si>
    <t>the Neighborhood Revitalization Rebate table.</t>
  </si>
  <si>
    <r>
      <t>Adjustments</t>
    </r>
    <r>
      <rPr>
        <sz val="12"/>
        <color indexed="10"/>
        <rFont val="Times New Roman"/>
        <family val="1"/>
      </rPr>
      <t>*</t>
    </r>
  </si>
  <si>
    <t>Receipt</t>
  </si>
  <si>
    <t xml:space="preserve">Fund Transferred </t>
  </si>
  <si>
    <t>Fund Transferred</t>
  </si>
  <si>
    <t>*Note:</t>
  </si>
  <si>
    <t>Does misc. exceed 10% of Total Expenditures</t>
  </si>
  <si>
    <t>Transfer can not exceed 25% Resouces Available</t>
  </si>
  <si>
    <t>Non-Appropriated Balance</t>
  </si>
  <si>
    <t>Total Expenditure/Non-Appr Balance</t>
  </si>
  <si>
    <t>Delinquent Comp Rate:</t>
  </si>
  <si>
    <t>for Expenditures</t>
  </si>
  <si>
    <t>FUND PAGE FOR FUNDS WITH A TAX LEVY</t>
  </si>
  <si>
    <t>Lease Purchase Principal</t>
  </si>
  <si>
    <t>published and hearing held.</t>
  </si>
  <si>
    <t xml:space="preserve">Must be at least 10 days between date </t>
  </si>
  <si>
    <t>Kendall Township</t>
  </si>
  <si>
    <t>Hamilton County</t>
  </si>
  <si>
    <t>Kennedy McKee &amp; Company LLP</t>
  </si>
  <si>
    <t>PO Box 1477</t>
  </si>
  <si>
    <t>Dodge City, KS  67801</t>
  </si>
  <si>
    <t>None</t>
  </si>
  <si>
    <t>Rent</t>
  </si>
  <si>
    <t>Officer Pay</t>
  </si>
  <si>
    <t>Mowing and Cleaning</t>
  </si>
  <si>
    <t>Utilities</t>
  </si>
  <si>
    <t>Cemetery Lots</t>
  </si>
  <si>
    <t>Budget Preparation &amp; Publication</t>
  </si>
  <si>
    <t>Cemetery Landscaping</t>
  </si>
  <si>
    <t>Repairs and Landscaping</t>
  </si>
  <si>
    <t>8:00 PM</t>
  </si>
  <si>
    <t>Kendall Township Hall</t>
  </si>
  <si>
    <t>August 17, 2011</t>
  </si>
  <si>
    <t>, Secretary</t>
  </si>
  <si>
    <t>, President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</si>
</sst>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u val="single"/>
      <sz val="12"/>
      <color rgb="FFFF0000"/>
      <name val="Times New Roman"/>
      <family val="1"/>
    </font>
    <font>
      <b/>
      <sz val="12"/>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15EF1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0" fontId="5" fillId="34" borderId="14" xfId="0" applyFont="1" applyFill="1" applyBorder="1" applyAlignment="1" applyProtection="1">
      <alignment vertical="center"/>
      <protection/>
    </xf>
    <xf numFmtId="3" fontId="5" fillId="35"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6" borderId="16" xfId="0" applyNumberFormat="1" applyFont="1" applyFill="1" applyBorder="1" applyAlignment="1" applyProtection="1">
      <alignment horizontal="center" vertical="center"/>
      <protection locked="0"/>
    </xf>
    <xf numFmtId="3" fontId="18" fillId="36" borderId="16" xfId="0" applyNumberFormat="1" applyFont="1" applyFill="1" applyBorder="1" applyAlignment="1" applyProtection="1">
      <alignment horizontal="center" vertical="center"/>
      <protection/>
    </xf>
    <xf numFmtId="3" fontId="6" fillId="35"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61"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9" xfId="0" applyNumberFormat="1" applyFont="1" applyFill="1" applyBorder="1" applyAlignment="1" applyProtection="1">
      <alignment horizontal="center" vertical="center"/>
      <protection/>
    </xf>
    <xf numFmtId="181" fontId="6" fillId="34" borderId="19"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5"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5" borderId="19"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22" xfId="434" applyFont="1" applyFill="1" applyBorder="1" applyAlignment="1" applyProtection="1">
      <alignment vertical="center"/>
      <protection/>
    </xf>
    <xf numFmtId="0" fontId="5" fillId="34" borderId="23" xfId="434" applyFont="1" applyFill="1" applyBorder="1" applyAlignment="1" applyProtection="1">
      <alignment vertical="center"/>
      <protection/>
    </xf>
    <xf numFmtId="3" fontId="5" fillId="34" borderId="18" xfId="434" applyNumberFormat="1" applyFont="1" applyFill="1" applyBorder="1" applyAlignment="1" applyProtection="1">
      <alignment vertical="center"/>
      <protection/>
    </xf>
    <xf numFmtId="37" fontId="5" fillId="35" borderId="16" xfId="434" applyNumberFormat="1" applyFont="1" applyFill="1" applyBorder="1" applyAlignment="1" applyProtection="1">
      <alignment vertical="center"/>
      <protection/>
    </xf>
    <xf numFmtId="0" fontId="5" fillId="34" borderId="18"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4"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3"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7" borderId="0" xfId="434" applyFont="1" applyFill="1" applyAlignment="1" applyProtection="1">
      <alignment vertical="center"/>
      <protection/>
    </xf>
    <xf numFmtId="0" fontId="0" fillId="0" borderId="0" xfId="0"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8"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38" borderId="19" xfId="0" applyNumberFormat="1" applyFont="1" applyFill="1" applyBorder="1" applyAlignment="1" applyProtection="1">
      <alignment vertical="center"/>
      <protection/>
    </xf>
    <xf numFmtId="181" fontId="6" fillId="38" borderId="19" xfId="0" applyNumberFormat="1" applyFont="1" applyFill="1" applyBorder="1" applyAlignment="1" applyProtection="1">
      <alignment vertical="center"/>
      <protection/>
    </xf>
    <xf numFmtId="3" fontId="6" fillId="38" borderId="19" xfId="0" applyNumberFormat="1" applyFont="1" applyFill="1" applyBorder="1" applyAlignment="1" applyProtection="1">
      <alignment vertical="center"/>
      <protection/>
    </xf>
    <xf numFmtId="0" fontId="6" fillId="36" borderId="19" xfId="0" applyFont="1" applyFill="1" applyBorder="1" applyAlignment="1">
      <alignment horizontal="right" vertical="center"/>
    </xf>
    <xf numFmtId="166" fontId="6" fillId="35"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5"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5" borderId="20" xfId="0" applyNumberFormat="1" applyFont="1" applyFill="1" applyBorder="1" applyAlignment="1" applyProtection="1">
      <alignment vertical="center"/>
      <protection/>
    </xf>
    <xf numFmtId="3" fontId="6" fillId="34" borderId="20" xfId="0" applyNumberFormat="1" applyFont="1" applyFill="1" applyBorder="1" applyAlignment="1" applyProtection="1">
      <alignment vertical="center"/>
      <protection/>
    </xf>
    <xf numFmtId="0" fontId="6" fillId="34" borderId="23"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25"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5"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0" fontId="6" fillId="34" borderId="20"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36" borderId="16" xfId="0" applyFont="1" applyFill="1" applyBorder="1" applyAlignment="1" applyProtection="1">
      <alignment horizontal="center" vertical="center" shrinkToFit="1"/>
      <protection/>
    </xf>
    <xf numFmtId="0" fontId="18" fillId="36"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3" borderId="23" xfId="0" applyNumberFormat="1" applyFont="1" applyFill="1" applyBorder="1" applyAlignment="1" applyProtection="1">
      <alignment vertical="center"/>
      <protection locked="0"/>
    </xf>
    <xf numFmtId="179" fontId="6" fillId="35"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0" xfId="0" applyNumberFormat="1" applyFont="1" applyFill="1" applyBorder="1" applyAlignment="1" applyProtection="1">
      <alignment horizontal="left" vertical="center"/>
      <protection/>
    </xf>
    <xf numFmtId="37" fontId="6" fillId="37" borderId="0" xfId="0" applyNumberFormat="1" applyFont="1" applyFill="1" applyBorder="1" applyAlignment="1" applyProtection="1">
      <alignment horizontal="left" vertical="center"/>
      <protection/>
    </xf>
    <xf numFmtId="0" fontId="6" fillId="37" borderId="0" xfId="0" applyFont="1" applyFill="1" applyBorder="1" applyAlignment="1" applyProtection="1">
      <alignment vertical="center"/>
      <protection/>
    </xf>
    <xf numFmtId="178" fontId="6" fillId="37"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2"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0" xfId="0" applyNumberFormat="1" applyFont="1" applyFill="1" applyBorder="1" applyAlignment="1" applyProtection="1">
      <alignment vertical="center"/>
      <protection/>
    </xf>
    <xf numFmtId="37" fontId="6" fillId="35"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5" borderId="19"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0" xfId="0" applyNumberFormat="1" applyFont="1" applyFill="1" applyBorder="1" applyAlignment="1" applyProtection="1">
      <alignment horizontal="left" vertical="center"/>
      <protection/>
    </xf>
    <xf numFmtId="0" fontId="6" fillId="40" borderId="20"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6" fillId="34" borderId="0" xfId="0" applyFont="1" applyFill="1" applyAlignment="1">
      <alignment/>
    </xf>
    <xf numFmtId="0" fontId="62"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0"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5" borderId="14" xfId="0" applyNumberFormat="1" applyFont="1" applyFill="1" applyBorder="1" applyAlignment="1" applyProtection="1">
      <alignment vertical="center"/>
      <protection/>
    </xf>
    <xf numFmtId="3" fontId="18" fillId="36" borderId="14" xfId="0" applyNumberFormat="1" applyFont="1" applyFill="1" applyBorder="1" applyAlignment="1" applyProtection="1">
      <alignment horizontal="center" vertical="center"/>
      <protection locked="0"/>
    </xf>
    <xf numFmtId="3" fontId="18" fillId="36" borderId="14" xfId="0" applyNumberFormat="1" applyFont="1" applyFill="1" applyBorder="1" applyAlignment="1" applyProtection="1">
      <alignment horizontal="center" vertical="center"/>
      <protection/>
    </xf>
    <xf numFmtId="1" fontId="6" fillId="34" borderId="2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 fontId="5" fillId="35" borderId="14" xfId="0" applyNumberFormat="1"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6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0" fontId="6" fillId="34" borderId="0" xfId="90" applyFont="1" applyFill="1" applyAlignment="1" applyProtection="1">
      <alignment horizontal="right" vertical="center"/>
      <protection/>
    </xf>
    <xf numFmtId="0" fontId="6" fillId="43" borderId="0" xfId="0" applyFont="1" applyFill="1" applyAlignment="1" applyProtection="1">
      <alignment horizontal="left" vertical="center"/>
      <protection/>
    </xf>
    <xf numFmtId="165" fontId="6" fillId="35" borderId="13" xfId="0" applyNumberFormat="1" applyFont="1" applyFill="1" applyBorder="1" applyAlignment="1" applyProtection="1">
      <alignment vertical="center"/>
      <protection/>
    </xf>
    <xf numFmtId="37" fontId="6" fillId="34" borderId="29" xfId="0" applyNumberFormat="1" applyFont="1" applyFill="1" applyBorder="1" applyAlignment="1" applyProtection="1">
      <alignment vertical="center"/>
      <protection/>
    </xf>
    <xf numFmtId="0" fontId="6" fillId="34" borderId="29" xfId="0" applyFont="1" applyFill="1" applyBorder="1" applyAlignment="1" applyProtection="1">
      <alignment vertical="center"/>
      <protection/>
    </xf>
    <xf numFmtId="0" fontId="26" fillId="0" borderId="0" xfId="0" applyFont="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1"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29" xfId="0" applyNumberFormat="1" applyFont="1" applyFill="1" applyBorder="1" applyAlignment="1" applyProtection="1">
      <alignment vertical="center"/>
      <protection/>
    </xf>
    <xf numFmtId="181" fontId="6" fillId="35" borderId="16" xfId="0" applyNumberFormat="1" applyFont="1" applyFill="1" applyBorder="1" applyAlignment="1" applyProtection="1">
      <alignment vertical="center"/>
      <protection/>
    </xf>
    <xf numFmtId="3" fontId="6" fillId="35" borderId="13" xfId="0" applyNumberFormat="1" applyFont="1" applyFill="1" applyBorder="1" applyAlignment="1" applyProtection="1">
      <alignment vertical="center"/>
      <protection/>
    </xf>
    <xf numFmtId="3" fontId="6" fillId="35"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5"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 fontId="6" fillId="44" borderId="10" xfId="0" applyNumberFormat="1" applyFont="1" applyFill="1" applyBorder="1" applyAlignment="1" applyProtection="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2"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0"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3" xfId="90" applyNumberFormat="1" applyFont="1" applyFill="1" applyBorder="1" applyAlignment="1" applyProtection="1">
      <alignment horizontal="right" vertical="center"/>
      <protection/>
    </xf>
    <xf numFmtId="0" fontId="4" fillId="0" borderId="18"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5" xfId="90" applyFont="1" applyBorder="1" applyAlignment="1">
      <alignment horizontal="right" vertical="center"/>
      <protection/>
    </xf>
    <xf numFmtId="37" fontId="6" fillId="34" borderId="10"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21">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9">
      <selection activeCell="D21" sqref="D2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265" t="s">
        <v>184</v>
      </c>
      <c r="B1" s="14"/>
      <c r="C1" s="14"/>
      <c r="D1" s="14"/>
      <c r="E1" s="14"/>
    </row>
    <row r="2" spans="1:5" ht="15.75">
      <c r="A2" s="64" t="s">
        <v>178</v>
      </c>
      <c r="B2" s="14"/>
      <c r="C2" s="14"/>
      <c r="D2" s="310" t="s">
        <v>244</v>
      </c>
      <c r="E2" s="19"/>
    </row>
    <row r="3" spans="1:5" ht="15.75">
      <c r="A3" s="64" t="s">
        <v>177</v>
      </c>
      <c r="B3" s="14"/>
      <c r="C3" s="14"/>
      <c r="D3" s="311" t="s">
        <v>245</v>
      </c>
      <c r="E3" s="19"/>
    </row>
    <row r="4" spans="1:5" ht="15.75">
      <c r="A4" s="14"/>
      <c r="B4" s="14"/>
      <c r="C4" s="14"/>
      <c r="D4" s="14"/>
      <c r="E4" s="14"/>
    </row>
    <row r="5" spans="1:5" ht="15.75">
      <c r="A5" s="17" t="s">
        <v>130</v>
      </c>
      <c r="B5" s="14"/>
      <c r="C5" s="14"/>
      <c r="D5" s="266">
        <v>2012</v>
      </c>
      <c r="E5" s="14"/>
    </row>
    <row r="6" spans="1:5" ht="15.75">
      <c r="A6" s="14"/>
      <c r="B6" s="14"/>
      <c r="C6" s="14"/>
      <c r="D6" s="14"/>
      <c r="E6" s="14"/>
    </row>
    <row r="7" spans="1:5" ht="15.75">
      <c r="A7" s="97" t="s">
        <v>132</v>
      </c>
      <c r="B7" s="101"/>
      <c r="C7" s="101"/>
      <c r="D7" s="101"/>
      <c r="E7" s="101"/>
    </row>
    <row r="8" spans="1:5" ht="15.75">
      <c r="A8" s="97" t="s">
        <v>164</v>
      </c>
      <c r="B8" s="101"/>
      <c r="C8" s="101"/>
      <c r="D8" s="101"/>
      <c r="E8" s="101"/>
    </row>
    <row r="9" spans="1:5" ht="15.75">
      <c r="A9" s="14"/>
      <c r="B9" s="14"/>
      <c r="C9" s="14"/>
      <c r="D9" s="14"/>
      <c r="E9" s="14"/>
    </row>
    <row r="10" spans="1:5" ht="15.75">
      <c r="A10" s="358" t="s">
        <v>142</v>
      </c>
      <c r="B10" s="359"/>
      <c r="C10" s="359"/>
      <c r="D10" s="359"/>
      <c r="E10" s="359"/>
    </row>
    <row r="11" spans="1:5" ht="15.75">
      <c r="A11" s="64"/>
      <c r="B11" s="14"/>
      <c r="C11" s="14"/>
      <c r="D11" s="14"/>
      <c r="E11" s="14"/>
    </row>
    <row r="12" spans="1:5" ht="15.75">
      <c r="A12" s="267" t="s">
        <v>131</v>
      </c>
      <c r="B12" s="253"/>
      <c r="C12" s="14"/>
      <c r="D12" s="47"/>
      <c r="E12" s="268"/>
    </row>
    <row r="13" spans="1:5" ht="15.75">
      <c r="A13" s="269" t="str">
        <f>CONCATENATE("the ",D5-1," Budget, Certificate Page:")</f>
        <v>the 2011 Budget, Certificate Page:</v>
      </c>
      <c r="B13" s="270"/>
      <c r="C13" s="47"/>
      <c r="D13" s="14"/>
      <c r="E13" s="14"/>
    </row>
    <row r="14" spans="1:5" ht="15.75">
      <c r="A14" s="269" t="s">
        <v>211</v>
      </c>
      <c r="B14" s="270"/>
      <c r="C14" s="47"/>
      <c r="D14" s="271">
        <f>$D$5-1</f>
        <v>2011</v>
      </c>
      <c r="E14" s="272">
        <f>$D$5-2</f>
        <v>2010</v>
      </c>
    </row>
    <row r="15" spans="1:5" ht="15.75">
      <c r="A15" s="22" t="s">
        <v>186</v>
      </c>
      <c r="B15" s="14"/>
      <c r="C15" s="273" t="s">
        <v>185</v>
      </c>
      <c r="D15" s="274" t="s">
        <v>213</v>
      </c>
      <c r="E15" s="275" t="s">
        <v>15</v>
      </c>
    </row>
    <row r="16" spans="1:5" ht="15.75">
      <c r="A16" s="14"/>
      <c r="B16" s="67" t="s">
        <v>187</v>
      </c>
      <c r="C16" s="114" t="s">
        <v>188</v>
      </c>
      <c r="D16" s="139">
        <v>12200</v>
      </c>
      <c r="E16" s="139">
        <v>8709</v>
      </c>
    </row>
    <row r="17" spans="1:5" ht="15.75">
      <c r="A17" s="14"/>
      <c r="B17" s="67" t="s">
        <v>209</v>
      </c>
      <c r="C17" s="114" t="s">
        <v>137</v>
      </c>
      <c r="D17" s="139"/>
      <c r="E17" s="139"/>
    </row>
    <row r="18" spans="1:5" ht="15.75">
      <c r="A18" s="14"/>
      <c r="B18" s="67" t="s">
        <v>189</v>
      </c>
      <c r="C18" s="131" t="s">
        <v>210</v>
      </c>
      <c r="D18" s="139"/>
      <c r="E18" s="139"/>
    </row>
    <row r="19" spans="1:5" ht="15.75">
      <c r="A19" s="14"/>
      <c r="B19" s="312"/>
      <c r="C19" s="313"/>
      <c r="D19" s="139"/>
      <c r="E19" s="139"/>
    </row>
    <row r="20" spans="1:5" ht="15.75">
      <c r="A20" s="14"/>
      <c r="B20" s="139"/>
      <c r="C20" s="325"/>
      <c r="D20" s="139"/>
      <c r="E20" s="139"/>
    </row>
    <row r="21" spans="1:5" ht="15.75">
      <c r="A21" s="14"/>
      <c r="B21" s="69"/>
      <c r="C21" s="325"/>
      <c r="D21" s="139"/>
      <c r="E21" s="139"/>
    </row>
    <row r="22" spans="1:5" ht="15.75">
      <c r="A22" s="14"/>
      <c r="B22" s="69"/>
      <c r="C22" s="325"/>
      <c r="D22" s="139"/>
      <c r="E22" s="139"/>
    </row>
    <row r="23" spans="1:5" ht="15.75">
      <c r="A23" s="14"/>
      <c r="B23" s="69"/>
      <c r="C23" s="325"/>
      <c r="D23" s="139"/>
      <c r="E23" s="139"/>
    </row>
    <row r="24" spans="1:5" ht="15.75">
      <c r="A24" s="14"/>
      <c r="B24" s="69"/>
      <c r="C24" s="325"/>
      <c r="D24" s="139"/>
      <c r="E24" s="139"/>
    </row>
    <row r="25" spans="1:5" ht="15.75">
      <c r="A25" s="276" t="str">
        <f>CONCATENATE("Total Ad Valorem Tax for ",D5-1," Budgeted Year")</f>
        <v>Total Ad Valorem Tax for 2011 Budgeted Year</v>
      </c>
      <c r="B25" s="20"/>
      <c r="C25" s="225"/>
      <c r="D25" s="277"/>
      <c r="E25" s="278">
        <f>SUM(E16:E24)</f>
        <v>8709</v>
      </c>
    </row>
    <row r="26" spans="1:5" ht="15.75">
      <c r="A26" s="19"/>
      <c r="B26" s="19"/>
      <c r="C26" s="19"/>
      <c r="D26" s="24"/>
      <c r="E26" s="93"/>
    </row>
    <row r="27" spans="1:5" ht="15.75">
      <c r="A27" s="14" t="s">
        <v>128</v>
      </c>
      <c r="B27" s="14"/>
      <c r="C27" s="14"/>
      <c r="D27" s="14"/>
      <c r="E27" s="14"/>
    </row>
    <row r="28" spans="1:5" ht="15.75">
      <c r="A28" s="14"/>
      <c r="B28" s="175"/>
      <c r="C28" s="14"/>
      <c r="D28" s="35"/>
      <c r="E28" s="19"/>
    </row>
    <row r="29" spans="1:5" ht="15.75">
      <c r="A29" s="14"/>
      <c r="B29" s="175"/>
      <c r="C29" s="14"/>
      <c r="D29" s="35"/>
      <c r="E29" s="19"/>
    </row>
    <row r="30" spans="1:5" ht="15.75">
      <c r="A30" s="276" t="str">
        <f>CONCATENATE("Total Expenditures for ",D5-1,"")</f>
        <v>Total Expenditures for 2011</v>
      </c>
      <c r="B30" s="279"/>
      <c r="C30" s="217"/>
      <c r="D30" s="111">
        <f>SUM(D16:D24,D28:D29)</f>
        <v>12200</v>
      </c>
      <c r="E30" s="14"/>
    </row>
    <row r="31" spans="1:5" ht="15.75">
      <c r="A31" s="14"/>
      <c r="B31" s="14"/>
      <c r="C31" s="14"/>
      <c r="D31" s="14"/>
      <c r="E31" s="14"/>
    </row>
    <row r="32" spans="1:5" ht="15.75">
      <c r="A32" s="234" t="s">
        <v>212</v>
      </c>
      <c r="B32" s="19"/>
      <c r="C32" s="14"/>
      <c r="D32" s="14"/>
      <c r="E32" s="14"/>
    </row>
    <row r="33" spans="1:5" ht="15.75">
      <c r="A33" s="280">
        <v>1</v>
      </c>
      <c r="B33" s="175"/>
      <c r="C33" s="14"/>
      <c r="D33" s="14"/>
      <c r="E33" s="14"/>
    </row>
    <row r="34" spans="1:5" ht="15.75">
      <c r="A34" s="280">
        <v>2</v>
      </c>
      <c r="B34" s="175"/>
      <c r="C34" s="14"/>
      <c r="D34" s="14"/>
      <c r="E34" s="14"/>
    </row>
    <row r="35" spans="1:5" ht="15.75">
      <c r="A35" s="280">
        <v>3</v>
      </c>
      <c r="B35" s="175"/>
      <c r="C35" s="14"/>
      <c r="D35" s="14"/>
      <c r="E35" s="14"/>
    </row>
    <row r="36" spans="1:5" ht="15.75">
      <c r="A36" s="280">
        <v>4</v>
      </c>
      <c r="B36" s="175"/>
      <c r="C36" s="14"/>
      <c r="D36" s="14"/>
      <c r="E36" s="14"/>
    </row>
    <row r="37" spans="1:5" ht="15.75">
      <c r="A37" s="280">
        <v>5</v>
      </c>
      <c r="B37" s="175"/>
      <c r="C37" s="14"/>
      <c r="D37" s="14"/>
      <c r="E37" s="14"/>
    </row>
    <row r="38" spans="1:5" ht="15.75">
      <c r="A38" s="14"/>
      <c r="B38" s="14"/>
      <c r="C38" s="14"/>
      <c r="D38" s="14"/>
      <c r="E38" s="14"/>
    </row>
    <row r="39" spans="1:5" ht="15.75" customHeight="1">
      <c r="A39" s="267" t="s">
        <v>131</v>
      </c>
      <c r="B39" s="253"/>
      <c r="C39" s="14"/>
      <c r="D39" s="356" t="str">
        <f>CONCATENATE("",D5-3," Tax Rate                    (",D5-2," Column)")</f>
        <v>2009 Tax Rate                    (2010 Column)</v>
      </c>
      <c r="E39" s="14"/>
    </row>
    <row r="40" spans="1:5" ht="15.75">
      <c r="A40" s="269" t="str">
        <f>CONCATENATE("the ",D5-1," Budget, Budget Summary Page:")</f>
        <v>the 2011 Budget, Budget Summary Page:</v>
      </c>
      <c r="B40" s="241"/>
      <c r="C40" s="14"/>
      <c r="D40" s="357"/>
      <c r="E40" s="14"/>
    </row>
    <row r="41" spans="1:5" ht="15.75">
      <c r="A41" s="14"/>
      <c r="B41" s="73" t="str">
        <f aca="true" t="shared" si="0" ref="B41:B49">B16</f>
        <v>General</v>
      </c>
      <c r="C41" s="14"/>
      <c r="D41" s="281">
        <v>2.959</v>
      </c>
      <c r="E41" s="14"/>
    </row>
    <row r="42" spans="1:5" ht="15.75">
      <c r="A42" s="14"/>
      <c r="B42" s="73" t="str">
        <f t="shared" si="0"/>
        <v>Debt Service</v>
      </c>
      <c r="C42" s="14"/>
      <c r="D42" s="282"/>
      <c r="E42" s="14"/>
    </row>
    <row r="43" spans="1:5" ht="15.75">
      <c r="A43" s="14"/>
      <c r="B43" s="73" t="str">
        <f t="shared" si="0"/>
        <v>Road</v>
      </c>
      <c r="C43" s="14"/>
      <c r="D43" s="282"/>
      <c r="E43" s="14"/>
    </row>
    <row r="44" spans="1:5" ht="15.75">
      <c r="A44" s="14"/>
      <c r="B44" s="67">
        <f t="shared" si="0"/>
        <v>0</v>
      </c>
      <c r="C44" s="14"/>
      <c r="D44" s="282"/>
      <c r="E44" s="14"/>
    </row>
    <row r="45" spans="1:5" ht="15.75">
      <c r="A45" s="14"/>
      <c r="B45" s="67">
        <f t="shared" si="0"/>
        <v>0</v>
      </c>
      <c r="C45" s="14"/>
      <c r="D45" s="282"/>
      <c r="E45" s="14"/>
    </row>
    <row r="46" spans="1:5" ht="15.75">
      <c r="A46" s="14"/>
      <c r="B46" s="67">
        <f t="shared" si="0"/>
        <v>0</v>
      </c>
      <c r="C46" s="14"/>
      <c r="D46" s="282"/>
      <c r="E46" s="14"/>
    </row>
    <row r="47" spans="1:5" ht="15.75">
      <c r="A47" s="14"/>
      <c r="B47" s="67">
        <f t="shared" si="0"/>
        <v>0</v>
      </c>
      <c r="C47" s="14"/>
      <c r="D47" s="282"/>
      <c r="E47" s="14"/>
    </row>
    <row r="48" spans="1:5" ht="15.75">
      <c r="A48" s="14"/>
      <c r="B48" s="67">
        <f t="shared" si="0"/>
        <v>0</v>
      </c>
      <c r="C48" s="14"/>
      <c r="D48" s="282"/>
      <c r="E48" s="14"/>
    </row>
    <row r="49" spans="1:5" ht="15.75">
      <c r="A49" s="14"/>
      <c r="B49" s="67">
        <f t="shared" si="0"/>
        <v>0</v>
      </c>
      <c r="C49" s="14"/>
      <c r="D49" s="282"/>
      <c r="E49" s="14"/>
    </row>
    <row r="50" spans="1:5" ht="16.5" thickBot="1">
      <c r="A50" s="66" t="str">
        <f>CONCATENATE("Total ",D5-3," Tax Levy Rate")</f>
        <v>Total 2009 Tax Levy Rate</v>
      </c>
      <c r="B50" s="283"/>
      <c r="C50" s="217"/>
      <c r="D50" s="284">
        <f>SUM(D41:D49)</f>
        <v>2.959</v>
      </c>
      <c r="E50" s="14"/>
    </row>
    <row r="51" spans="1:5" ht="16.5" thickTop="1">
      <c r="A51" s="14"/>
      <c r="B51" s="14"/>
      <c r="C51" s="14"/>
      <c r="D51" s="14"/>
      <c r="E51" s="14"/>
    </row>
    <row r="52" spans="1:5" ht="15.75">
      <c r="A52" s="285" t="str">
        <f>CONCATENATE("Total Tax Levied (",D5-2," budget column)")</f>
        <v>Total Tax Levied (2010 budget column)</v>
      </c>
      <c r="B52" s="286"/>
      <c r="C52" s="20"/>
      <c r="D52" s="217"/>
      <c r="E52" s="139">
        <v>8685</v>
      </c>
    </row>
    <row r="53" spans="1:5" ht="15.75">
      <c r="A53" s="287" t="str">
        <f>CONCATENATE("Assessed Valuation (",D5-2," budget column)")</f>
        <v>Assessed Valuation (2010 budget column)</v>
      </c>
      <c r="B53" s="288"/>
      <c r="C53" s="225"/>
      <c r="D53" s="28"/>
      <c r="E53" s="139">
        <v>2941546</v>
      </c>
    </row>
    <row r="54" spans="1:5" ht="15.75">
      <c r="A54" s="234"/>
      <c r="B54" s="19"/>
      <c r="C54" s="19"/>
      <c r="D54" s="19"/>
      <c r="E54" s="244"/>
    </row>
    <row r="55" spans="1:5" ht="15.75">
      <c r="A55" s="14"/>
      <c r="B55" s="14"/>
      <c r="C55" s="14"/>
      <c r="D55" s="14"/>
      <c r="E55" s="52"/>
    </row>
    <row r="56" spans="1:5" ht="15.75">
      <c r="A56" s="253" t="s">
        <v>165</v>
      </c>
      <c r="B56" s="253"/>
      <c r="C56" s="82"/>
      <c r="D56" s="289">
        <f>D5-3</f>
        <v>2009</v>
      </c>
      <c r="E56" s="289">
        <f>D5-2</f>
        <v>2010</v>
      </c>
    </row>
    <row r="57" spans="1:5" ht="15.75">
      <c r="A57" s="286" t="s">
        <v>151</v>
      </c>
      <c r="B57" s="286"/>
      <c r="C57" s="290"/>
      <c r="D57" s="35"/>
      <c r="E57" s="35"/>
    </row>
    <row r="58" spans="1:5" ht="15.75">
      <c r="A58" s="288" t="s">
        <v>152</v>
      </c>
      <c r="B58" s="288"/>
      <c r="C58" s="291"/>
      <c r="D58" s="35"/>
      <c r="E58" s="35"/>
    </row>
    <row r="59" spans="1:5" ht="15.75">
      <c r="A59" s="288" t="s">
        <v>153</v>
      </c>
      <c r="B59" s="288"/>
      <c r="C59" s="291"/>
      <c r="D59" s="35"/>
      <c r="E59" s="35"/>
    </row>
    <row r="60" spans="1:5" ht="15.75">
      <c r="A60" s="288"/>
      <c r="B60" s="288"/>
      <c r="C60" s="292"/>
      <c r="D60" s="35"/>
      <c r="E60" s="35"/>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293"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71" customFormat="1" ht="15.75">
      <c r="A81" s="12"/>
      <c r="B81" s="12"/>
      <c r="C81" s="12"/>
      <c r="D81" s="12"/>
      <c r="E81" s="12"/>
      <c r="G81" s="16"/>
    </row>
    <row r="82" spans="1:7" s="7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1" fitToWidth="1" horizontalDpi="600" verticalDpi="600" orientation="portrait" scale="86" r:id="rId1"/>
</worksheet>
</file>

<file path=xl/worksheets/sheet10.xml><?xml version="1.0" encoding="utf-8"?>
<worksheet xmlns="http://schemas.openxmlformats.org/spreadsheetml/2006/main" xmlns:r="http://schemas.openxmlformats.org/officeDocument/2006/relationships">
  <sheetPr>
    <pageSetUpPr fitToPage="1"/>
  </sheetPr>
  <dimension ref="B1:J95"/>
  <sheetViews>
    <sheetView tabSelected="1" zoomScale="75" zoomScaleNormal="75" zoomScalePageLayoutView="0" workbookViewId="0" topLeftCell="A1">
      <selection activeCell="K27" sqref="K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6384" width="8.796875" style="16" customWidth="1"/>
  </cols>
  <sheetData>
    <row r="1" spans="2:9" ht="15.75">
      <c r="B1" s="97" t="s">
        <v>67</v>
      </c>
      <c r="C1" s="98"/>
      <c r="D1" s="98"/>
      <c r="E1" s="98"/>
      <c r="F1" s="98"/>
      <c r="G1" s="98"/>
      <c r="H1" s="98"/>
      <c r="I1" s="98">
        <f>inputPrYr!D5</f>
        <v>2012</v>
      </c>
    </row>
    <row r="2" spans="2:9" ht="15.75">
      <c r="B2" s="14"/>
      <c r="C2" s="14"/>
      <c r="D2" s="14"/>
      <c r="E2" s="14"/>
      <c r="F2" s="14"/>
      <c r="G2" s="22" t="s">
        <v>30</v>
      </c>
      <c r="H2" s="22" t="s">
        <v>31</v>
      </c>
      <c r="I2" s="14"/>
    </row>
    <row r="3" spans="2:9" ht="15.75">
      <c r="B3" s="380" t="s">
        <v>32</v>
      </c>
      <c r="C3" s="380"/>
      <c r="D3" s="380"/>
      <c r="E3" s="380"/>
      <c r="F3" s="380"/>
      <c r="G3" s="380"/>
      <c r="H3" s="380"/>
      <c r="I3" s="380"/>
    </row>
    <row r="4" spans="2:9" ht="15.75">
      <c r="B4" s="405" t="str">
        <f>inputPrYr!D2</f>
        <v>Kendall Township</v>
      </c>
      <c r="C4" s="405"/>
      <c r="D4" s="405"/>
      <c r="E4" s="405"/>
      <c r="F4" s="405"/>
      <c r="G4" s="405"/>
      <c r="H4" s="405"/>
      <c r="I4" s="405"/>
    </row>
    <row r="5" spans="2:9" ht="15.75">
      <c r="B5" s="405" t="str">
        <f>inputPrYr!D3</f>
        <v>Hamilton County</v>
      </c>
      <c r="C5" s="405"/>
      <c r="D5" s="405"/>
      <c r="E5" s="405"/>
      <c r="F5" s="405"/>
      <c r="G5" s="405"/>
      <c r="H5" s="405"/>
      <c r="I5" s="405"/>
    </row>
    <row r="6" spans="2:9" ht="15.75">
      <c r="B6" s="404" t="str">
        <f>CONCATENATE("will meet on ",inputBudSum!B5," at ",inputBudSum!B7," at ",inputBudSum!B9," for the purpose of hearing and")</f>
        <v>will meet on August 17, 2011 at 8:00 PM at Kendall Township Hall for the purpose of hearing and</v>
      </c>
      <c r="C6" s="404"/>
      <c r="D6" s="404"/>
      <c r="E6" s="404"/>
      <c r="F6" s="404"/>
      <c r="G6" s="404"/>
      <c r="H6" s="404"/>
      <c r="I6" s="404"/>
    </row>
    <row r="7" spans="2:9" ht="15.75">
      <c r="B7" s="100" t="s">
        <v>227</v>
      </c>
      <c r="C7" s="98"/>
      <c r="D7" s="98"/>
      <c r="E7" s="98"/>
      <c r="F7" s="98"/>
      <c r="G7" s="98"/>
      <c r="H7" s="98"/>
      <c r="I7" s="98"/>
    </row>
    <row r="8" spans="2:9" ht="15.75">
      <c r="B8" s="295" t="str">
        <f>CONCATENATE("Detailed budget information is available at ",inputBudSum!B12," and will be available at this hearing.")</f>
        <v>Detailed budget information is available at Kendall Township Hall and will be available at this hearing.</v>
      </c>
      <c r="C8" s="294"/>
      <c r="D8" s="294"/>
      <c r="E8" s="294"/>
      <c r="F8" s="294"/>
      <c r="G8" s="294"/>
      <c r="H8" s="294"/>
      <c r="I8" s="294"/>
    </row>
    <row r="9" spans="2:9" ht="15.75">
      <c r="B9" s="97" t="s">
        <v>68</v>
      </c>
      <c r="C9" s="101"/>
      <c r="D9" s="101"/>
      <c r="E9" s="101"/>
      <c r="F9" s="101"/>
      <c r="G9" s="101"/>
      <c r="H9" s="101"/>
      <c r="I9" s="101"/>
    </row>
    <row r="10" spans="2:9" ht="15.75">
      <c r="B10" s="100" t="str">
        <f>CONCATENATE("Proposed Budget ",I1," Expenditures and Amount of ",I1-1," Ad Valorem Tax establish the maximum limits")</f>
        <v>Proposed Budget 2012 Expenditures and Amount of 2011 Ad Valorem Tax establish the maximum limits</v>
      </c>
      <c r="C10" s="98"/>
      <c r="D10" s="98"/>
      <c r="E10" s="98"/>
      <c r="F10" s="98"/>
      <c r="G10" s="98"/>
      <c r="H10" s="98"/>
      <c r="I10" s="98"/>
    </row>
    <row r="11" spans="2:9" ht="15.75">
      <c r="B11" s="100" t="str">
        <f>CONCATENATE("of the ",I1," budget.  Estimated Tax Rate is subject to change depending on the final assessed valuation.")</f>
        <v>of the 2012 budget.  Estimated Tax Rate is subject to change depending on the final assessed valuation.</v>
      </c>
      <c r="C11" s="98"/>
      <c r="D11" s="98"/>
      <c r="E11" s="98"/>
      <c r="F11" s="98"/>
      <c r="G11" s="98"/>
      <c r="H11" s="98"/>
      <c r="I11" s="98"/>
    </row>
    <row r="12" spans="2:10" ht="15.75">
      <c r="B12" s="22"/>
      <c r="C12" s="19"/>
      <c r="D12" s="19"/>
      <c r="E12" s="19"/>
      <c r="F12" s="19"/>
      <c r="G12" s="19"/>
      <c r="H12" s="19"/>
      <c r="I12" s="19"/>
      <c r="J12" s="102"/>
    </row>
    <row r="13" spans="2:10" ht="15.75">
      <c r="B13" s="14"/>
      <c r="C13" s="103" t="str">
        <f>CONCATENATE("Prior Year Actual ",I1-2,"")</f>
        <v>Prior Year Actual 2010</v>
      </c>
      <c r="D13" s="104"/>
      <c r="E13" s="103" t="str">
        <f>CONCATENATE("Current Year Estimate ",I1-1,"")</f>
        <v>Current Year Estimate 2011</v>
      </c>
      <c r="F13" s="105"/>
      <c r="G13" s="106" t="str">
        <f>CONCATENATE("Proposed Budget ",I1,"")</f>
        <v>Proposed Budget 2012</v>
      </c>
      <c r="H13" s="107"/>
      <c r="I13" s="105"/>
      <c r="J13" s="102"/>
    </row>
    <row r="14" spans="2:10" ht="22.5" customHeight="1">
      <c r="B14" s="14"/>
      <c r="C14" s="65"/>
      <c r="D14" s="23" t="s">
        <v>28</v>
      </c>
      <c r="E14" s="23"/>
      <c r="F14" s="23" t="s">
        <v>28</v>
      </c>
      <c r="G14" s="108"/>
      <c r="H14" s="372" t="str">
        <f>CONCATENATE("Amount of ",I1-1," Ad Valorem Tax")</f>
        <v>Amount of 2011 Ad Valorem Tax</v>
      </c>
      <c r="I14" s="23" t="s">
        <v>33</v>
      </c>
      <c r="J14" s="102"/>
    </row>
    <row r="15" spans="2:10" ht="15.75">
      <c r="B15" s="14"/>
      <c r="C15" s="109"/>
      <c r="D15" s="109" t="s">
        <v>34</v>
      </c>
      <c r="E15" s="109"/>
      <c r="F15" s="109" t="s">
        <v>34</v>
      </c>
      <c r="G15" s="109" t="s">
        <v>170</v>
      </c>
      <c r="H15" s="402"/>
      <c r="I15" s="109" t="s">
        <v>34</v>
      </c>
      <c r="J15" s="102"/>
    </row>
    <row r="16" spans="2:10" ht="15.75">
      <c r="B16" s="25" t="s">
        <v>200</v>
      </c>
      <c r="C16" s="26" t="s">
        <v>35</v>
      </c>
      <c r="D16" s="26" t="s">
        <v>36</v>
      </c>
      <c r="E16" s="26" t="s">
        <v>35</v>
      </c>
      <c r="F16" s="26" t="s">
        <v>36</v>
      </c>
      <c r="G16" s="26" t="s">
        <v>239</v>
      </c>
      <c r="H16" s="403"/>
      <c r="I16" s="26" t="s">
        <v>36</v>
      </c>
      <c r="J16" s="102"/>
    </row>
    <row r="17" spans="2:10" ht="15.75">
      <c r="B17" s="73" t="str">
        <f>inputPrYr!B16</f>
        <v>General</v>
      </c>
      <c r="C17" s="60">
        <f>IF(gen!$C$50&lt;&gt;0,gen!$C$50,"  ")</f>
        <v>13984</v>
      </c>
      <c r="D17" s="341">
        <f>IF(inputPrYr!D41&gt;0,inputPrYr!D41,"  ")</f>
        <v>2.959</v>
      </c>
      <c r="E17" s="31">
        <f>IF(gen!$D$50&lt;&gt;0,gen!$D$50,"  ")</f>
        <v>9175</v>
      </c>
      <c r="F17" s="187">
        <f>IF(inputOth!D17&gt;0,inputOth!D17,"  ")</f>
        <v>3.608</v>
      </c>
      <c r="G17" s="31">
        <f>IF(gen!$E$50&lt;&gt;0,gen!$E$50,"  ")</f>
        <v>13350</v>
      </c>
      <c r="H17" s="31">
        <f>IF(gen!$E$57&lt;&gt;0,gen!$E$57," ")</f>
        <v>12896.45</v>
      </c>
      <c r="I17" s="343">
        <f>IF(gen!E57&gt;0,ROUND(H17/$G$24*1000,3)," ")</f>
        <v>5.344</v>
      </c>
      <c r="J17" s="102"/>
    </row>
    <row r="18" spans="2:9" ht="16.5" thickBot="1">
      <c r="B18" s="67"/>
      <c r="C18" s="334"/>
      <c r="D18" s="335"/>
      <c r="E18" s="342"/>
      <c r="F18" s="335"/>
      <c r="G18" s="342"/>
      <c r="H18" s="342"/>
      <c r="I18" s="335"/>
    </row>
    <row r="19" spans="2:9" ht="15.75">
      <c r="B19" s="67" t="s">
        <v>203</v>
      </c>
      <c r="C19" s="344">
        <f aca="true" t="shared" si="0" ref="C19:I19">SUM(C17:C18)</f>
        <v>13984</v>
      </c>
      <c r="D19" s="333">
        <f t="shared" si="0"/>
        <v>2.959</v>
      </c>
      <c r="E19" s="344">
        <f t="shared" si="0"/>
        <v>9175</v>
      </c>
      <c r="F19" s="333">
        <f t="shared" si="0"/>
        <v>3.608</v>
      </c>
      <c r="G19" s="344">
        <f t="shared" si="0"/>
        <v>13350</v>
      </c>
      <c r="H19" s="344">
        <f t="shared" si="0"/>
        <v>12896.45</v>
      </c>
      <c r="I19" s="347">
        <f t="shared" si="0"/>
        <v>5.344</v>
      </c>
    </row>
    <row r="20" spans="2:9" ht="15.75">
      <c r="B20" s="67" t="s">
        <v>37</v>
      </c>
      <c r="C20" s="31">
        <f>transfer!C26</f>
        <v>0</v>
      </c>
      <c r="D20" s="14"/>
      <c r="E20" s="31">
        <f>transfer!D26</f>
        <v>0</v>
      </c>
      <c r="F20" s="58"/>
      <c r="G20" s="31">
        <f>transfer!E26</f>
        <v>0</v>
      </c>
      <c r="H20" s="14"/>
      <c r="I20" s="14"/>
    </row>
    <row r="21" spans="2:9" ht="16.5" thickBot="1">
      <c r="B21" s="67" t="s">
        <v>38</v>
      </c>
      <c r="C21" s="345">
        <f>C19-C20</f>
        <v>13984</v>
      </c>
      <c r="D21" s="14"/>
      <c r="E21" s="345">
        <f>E19-E20</f>
        <v>9175</v>
      </c>
      <c r="F21" s="14"/>
      <c r="G21" s="345">
        <f>G19-G20</f>
        <v>13350</v>
      </c>
      <c r="H21" s="14"/>
      <c r="I21" s="14"/>
    </row>
    <row r="22" spans="2:9" ht="16.5" thickTop="1">
      <c r="B22" s="67" t="s">
        <v>39</v>
      </c>
      <c r="C22" s="346">
        <f>inputPrYr!E52</f>
        <v>8685</v>
      </c>
      <c r="D22" s="58"/>
      <c r="E22" s="346">
        <f>inputPrYr!E25</f>
        <v>8709</v>
      </c>
      <c r="F22" s="14"/>
      <c r="G22" s="337" t="s">
        <v>204</v>
      </c>
      <c r="H22" s="14"/>
      <c r="I22" s="14"/>
    </row>
    <row r="23" spans="2:9" ht="15.75">
      <c r="B23" s="213" t="s">
        <v>40</v>
      </c>
      <c r="C23" s="52"/>
      <c r="D23" s="58"/>
      <c r="E23" s="52"/>
      <c r="F23" s="58"/>
      <c r="G23" s="14"/>
      <c r="H23" s="14"/>
      <c r="I23" s="14"/>
    </row>
    <row r="24" spans="2:9" ht="15.75">
      <c r="B24" s="350" t="s">
        <v>41</v>
      </c>
      <c r="C24" s="30">
        <f>inputPrYr!E53</f>
        <v>2941546</v>
      </c>
      <c r="D24" s="14"/>
      <c r="E24" s="31">
        <f>inputOth!E28</f>
        <v>2415727</v>
      </c>
      <c r="F24" s="14"/>
      <c r="G24" s="31">
        <f>inputOth!E7</f>
        <v>2413392</v>
      </c>
      <c r="H24" s="14"/>
      <c r="I24" s="14"/>
    </row>
    <row r="25" spans="2:9" ht="15.75">
      <c r="B25" s="22" t="s">
        <v>42</v>
      </c>
      <c r="C25" s="14"/>
      <c r="D25" s="14"/>
      <c r="E25" s="14"/>
      <c r="F25" s="14"/>
      <c r="G25" s="14"/>
      <c r="H25" s="14"/>
      <c r="I25" s="14"/>
    </row>
    <row r="26" spans="2:9" ht="15.75">
      <c r="B26" s="22" t="s">
        <v>43</v>
      </c>
      <c r="C26" s="113">
        <f>I1-3</f>
        <v>2009</v>
      </c>
      <c r="D26" s="14"/>
      <c r="E26" s="113">
        <f>I1-2</f>
        <v>2010</v>
      </c>
      <c r="F26" s="14"/>
      <c r="G26" s="113">
        <f>I1-1</f>
        <v>2011</v>
      </c>
      <c r="H26" s="14"/>
      <c r="I26" s="14"/>
    </row>
    <row r="27" spans="2:9" ht="15.75">
      <c r="B27" s="22" t="s">
        <v>44</v>
      </c>
      <c r="C27" s="114">
        <f>inputPrYr!D57</f>
        <v>0</v>
      </c>
      <c r="D27" s="56"/>
      <c r="E27" s="114">
        <f>inputPrYr!E57</f>
        <v>0</v>
      </c>
      <c r="F27" s="56"/>
      <c r="G27" s="114">
        <f>'debt-lease'!E11</f>
        <v>0</v>
      </c>
      <c r="H27" s="14"/>
      <c r="I27" s="14"/>
    </row>
    <row r="28" spans="2:9" ht="15.75">
      <c r="B28" s="22" t="s">
        <v>20</v>
      </c>
      <c r="C28" s="114">
        <f>inputPrYr!D58</f>
        <v>0</v>
      </c>
      <c r="D28" s="56"/>
      <c r="E28" s="114">
        <f>inputPrYr!E58</f>
        <v>0</v>
      </c>
      <c r="F28" s="56"/>
      <c r="G28" s="114">
        <f>'debt-lease'!E15</f>
        <v>0</v>
      </c>
      <c r="H28" s="14"/>
      <c r="I28" s="14"/>
    </row>
    <row r="29" spans="2:9" ht="15.75">
      <c r="B29" s="22" t="s">
        <v>241</v>
      </c>
      <c r="C29" s="114">
        <f>inputPrYr!D59</f>
        <v>0</v>
      </c>
      <c r="D29" s="56"/>
      <c r="E29" s="114">
        <f>inputPrYr!E59</f>
        <v>0</v>
      </c>
      <c r="F29" s="56"/>
      <c r="G29" s="114">
        <f>'debt-lease'!F36</f>
        <v>0</v>
      </c>
      <c r="H29" s="14"/>
      <c r="I29" s="14"/>
    </row>
    <row r="30" spans="2:9" ht="16.5" thickBot="1">
      <c r="B30" s="22" t="s">
        <v>45</v>
      </c>
      <c r="C30" s="115">
        <f>SUM(C27:C29)</f>
        <v>0</v>
      </c>
      <c r="D30" s="56"/>
      <c r="E30" s="115">
        <f>SUM(E27:E29)</f>
        <v>0</v>
      </c>
      <c r="F30" s="56"/>
      <c r="G30" s="115">
        <f>SUM(G27:G29)</f>
        <v>0</v>
      </c>
      <c r="H30" s="14"/>
      <c r="I30" s="14"/>
    </row>
    <row r="31" spans="2:9" ht="16.5" thickTop="1">
      <c r="B31" s="22" t="s">
        <v>46</v>
      </c>
      <c r="C31" s="14"/>
      <c r="D31" s="14"/>
      <c r="E31" s="14"/>
      <c r="F31" s="14"/>
      <c r="G31" s="14"/>
      <c r="H31" s="14"/>
      <c r="I31" s="14"/>
    </row>
    <row r="32" spans="2:9" ht="15.75">
      <c r="B32" s="14"/>
      <c r="C32" s="14"/>
      <c r="D32" s="14"/>
      <c r="E32" s="14"/>
      <c r="F32" s="14"/>
      <c r="G32" s="14"/>
      <c r="H32" s="14"/>
      <c r="I32" s="14"/>
    </row>
    <row r="33" spans="2:9" ht="15.75">
      <c r="B33" s="401"/>
      <c r="C33" s="401"/>
      <c r="D33" s="14"/>
      <c r="E33" s="14"/>
      <c r="F33" s="14"/>
      <c r="G33" s="14"/>
      <c r="H33" s="14"/>
      <c r="I33" s="14"/>
    </row>
    <row r="34" spans="2:9" ht="15.75">
      <c r="B34" s="100" t="s">
        <v>47</v>
      </c>
      <c r="C34" s="98"/>
      <c r="D34" s="14"/>
      <c r="E34" s="14"/>
      <c r="F34" s="14"/>
      <c r="G34" s="14"/>
      <c r="H34" s="14"/>
      <c r="I34" s="14"/>
    </row>
    <row r="35" spans="2:9" ht="15.75">
      <c r="B35" s="14"/>
      <c r="C35" s="14"/>
      <c r="D35" s="14"/>
      <c r="E35" s="14"/>
      <c r="F35" s="14"/>
      <c r="G35" s="14"/>
      <c r="H35" s="14"/>
      <c r="I35" s="14"/>
    </row>
    <row r="36" spans="2:9" ht="15.75">
      <c r="B36" s="14"/>
      <c r="C36" s="49" t="s">
        <v>9</v>
      </c>
      <c r="D36" s="72">
        <v>7</v>
      </c>
      <c r="E36" s="14"/>
      <c r="F36" s="14"/>
      <c r="G36" s="14"/>
      <c r="H36" s="14"/>
      <c r="I36" s="14"/>
    </row>
    <row r="37" spans="2:4" ht="15.75">
      <c r="B37" s="71"/>
      <c r="C37" s="71"/>
      <c r="D37" s="71"/>
    </row>
    <row r="39" spans="2:8" ht="15.75">
      <c r="B39" s="71"/>
      <c r="C39" s="71"/>
      <c r="D39" s="71"/>
      <c r="E39" s="71"/>
      <c r="F39" s="71"/>
      <c r="G39" s="71"/>
      <c r="H39" s="71"/>
    </row>
    <row r="40" ht="15.75">
      <c r="I40" s="71"/>
    </row>
    <row r="61" spans="2:7" ht="15.75">
      <c r="B61" s="71"/>
      <c r="C61" s="71"/>
      <c r="D61" s="71"/>
      <c r="E61" s="71"/>
      <c r="F61" s="71"/>
      <c r="G61" s="71"/>
    </row>
    <row r="68" spans="2:8" ht="15.75">
      <c r="B68" s="71"/>
      <c r="C68" s="71"/>
      <c r="D68" s="71"/>
      <c r="E68" s="71"/>
      <c r="F68" s="71"/>
      <c r="G68" s="71"/>
      <c r="H68" s="71"/>
    </row>
    <row r="69" ht="15.75">
      <c r="I69" s="71"/>
    </row>
    <row r="74" spans="2:8" ht="15.75">
      <c r="B74" s="71"/>
      <c r="C74" s="71"/>
      <c r="D74" s="71"/>
      <c r="E74" s="71"/>
      <c r="F74" s="71"/>
      <c r="G74" s="71"/>
      <c r="H74" s="71"/>
    </row>
    <row r="75" ht="15.75">
      <c r="I75" s="71"/>
    </row>
    <row r="95" spans="2:8" ht="15.75">
      <c r="B95" s="71"/>
      <c r="C95" s="71"/>
      <c r="D95" s="71"/>
      <c r="E95" s="71"/>
      <c r="F95" s="71"/>
      <c r="G95" s="71"/>
      <c r="H95" s="71"/>
    </row>
  </sheetData>
  <sheetProtection/>
  <mergeCells count="6">
    <mergeCell ref="B33:C33"/>
    <mergeCell ref="B3:I3"/>
    <mergeCell ref="H14:H16"/>
    <mergeCell ref="B6:I6"/>
    <mergeCell ref="B5:I5"/>
    <mergeCell ref="B4:I4"/>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Kendall Township</v>
      </c>
      <c r="B1" s="14"/>
      <c r="C1" s="14"/>
      <c r="D1" s="14"/>
      <c r="E1" s="14"/>
      <c r="F1" s="14">
        <f>inputPrYr!D5</f>
        <v>2012</v>
      </c>
    </row>
    <row r="2" spans="1:6" ht="15.75">
      <c r="A2" s="14"/>
      <c r="B2" s="14"/>
      <c r="C2" s="14"/>
      <c r="D2" s="14"/>
      <c r="E2" s="14"/>
      <c r="F2" s="14"/>
    </row>
    <row r="3" spans="1:6" ht="15.75">
      <c r="A3" s="14"/>
      <c r="B3" s="371" t="str">
        <f>CONCATENATE("",F1," Neighborhood Revitalization Rebate")</f>
        <v>2012 Neighborhood Revitalization Rebate</v>
      </c>
      <c r="C3" s="379"/>
      <c r="D3" s="379"/>
      <c r="E3" s="379"/>
      <c r="F3" s="14"/>
    </row>
    <row r="4" spans="1:6" ht="15.75">
      <c r="A4" s="14"/>
      <c r="B4" s="14"/>
      <c r="C4" s="14"/>
      <c r="D4" s="14"/>
      <c r="E4" s="14"/>
      <c r="F4" s="14"/>
    </row>
    <row r="5" spans="1:6" ht="51" customHeight="1">
      <c r="A5" s="14"/>
      <c r="B5" s="79" t="str">
        <f>CONCATENATE("Budgeted Funds                            for ",F1,"")</f>
        <v>Budgeted Funds                            for 2012</v>
      </c>
      <c r="C5" s="79" t="str">
        <f>CONCATENATE("",F1-1," Ad Valorem before Rebate**")</f>
        <v>2011 Ad Valorem before Rebate**</v>
      </c>
      <c r="D5" s="80" t="str">
        <f>CONCATENATE("",F1-1," Mil Rate before Rebate")</f>
        <v>2011 Mil Rate before Rebate</v>
      </c>
      <c r="E5" s="81" t="str">
        <f>CONCATENATE("Estimate ",F1," NR Rebate")</f>
        <v>Estimate 2012 NR Rebate</v>
      </c>
      <c r="F5" s="82"/>
    </row>
    <row r="6" spans="1:6" ht="15.75">
      <c r="A6" s="14"/>
      <c r="B6" s="67" t="str">
        <f>inputPrYr!B16</f>
        <v>General</v>
      </c>
      <c r="C6" s="83"/>
      <c r="D6" s="84">
        <f aca="true" t="shared" si="0" ref="D6:D14">IF(C6&gt;0,C6/$D$20,"")</f>
      </c>
      <c r="E6" s="85">
        <f aca="true" t="shared" si="1" ref="E6:E14">IF(C6&gt;0,ROUND(D6*$D$24,0),"")</f>
      </c>
      <c r="F6" s="82"/>
    </row>
    <row r="7" spans="1:6" ht="15.75">
      <c r="A7" s="14"/>
      <c r="B7" s="67" t="str">
        <f>inputPrYr!B17</f>
        <v>Debt Service</v>
      </c>
      <c r="C7" s="83"/>
      <c r="D7" s="84">
        <f t="shared" si="0"/>
      </c>
      <c r="E7" s="85">
        <f t="shared" si="1"/>
      </c>
      <c r="F7" s="82"/>
    </row>
    <row r="8" spans="1:6" ht="15.75">
      <c r="A8" s="14"/>
      <c r="B8" s="67" t="str">
        <f>inputPrYr!B18</f>
        <v>Road</v>
      </c>
      <c r="C8" s="83"/>
      <c r="D8" s="84">
        <f t="shared" si="0"/>
      </c>
      <c r="E8" s="85">
        <f t="shared" si="1"/>
      </c>
      <c r="F8" s="82"/>
    </row>
    <row r="9" spans="1:6" ht="15.75">
      <c r="A9" s="14"/>
      <c r="B9" s="67">
        <f>inputPrYr!B19</f>
        <v>0</v>
      </c>
      <c r="C9" s="83"/>
      <c r="D9" s="84">
        <f t="shared" si="0"/>
      </c>
      <c r="E9" s="85">
        <f t="shared" si="1"/>
      </c>
      <c r="F9" s="82"/>
    </row>
    <row r="10" spans="1:6" ht="15.75">
      <c r="A10" s="14"/>
      <c r="B10" s="67">
        <f>inputPrYr!B20</f>
        <v>0</v>
      </c>
      <c r="C10" s="83"/>
      <c r="D10" s="84">
        <f t="shared" si="0"/>
      </c>
      <c r="E10" s="85">
        <f t="shared" si="1"/>
      </c>
      <c r="F10" s="82"/>
    </row>
    <row r="11" spans="1:6" ht="15.75">
      <c r="A11" s="14"/>
      <c r="B11" s="67">
        <f>inputPrYr!B21</f>
        <v>0</v>
      </c>
      <c r="C11" s="83"/>
      <c r="D11" s="84">
        <f t="shared" si="0"/>
      </c>
      <c r="E11" s="85">
        <f t="shared" si="1"/>
      </c>
      <c r="F11" s="82"/>
    </row>
    <row r="12" spans="1:6" ht="15.75">
      <c r="A12" s="14"/>
      <c r="B12" s="67">
        <f>inputPrYr!B22</f>
        <v>0</v>
      </c>
      <c r="C12" s="86"/>
      <c r="D12" s="84">
        <f t="shared" si="0"/>
      </c>
      <c r="E12" s="85">
        <f t="shared" si="1"/>
      </c>
      <c r="F12" s="82"/>
    </row>
    <row r="13" spans="1:6" ht="15.75">
      <c r="A13" s="14"/>
      <c r="B13" s="67">
        <f>inputPrYr!B23</f>
        <v>0</v>
      </c>
      <c r="C13" s="86"/>
      <c r="D13" s="84">
        <f t="shared" si="0"/>
      </c>
      <c r="E13" s="85">
        <f t="shared" si="1"/>
      </c>
      <c r="F13" s="82"/>
    </row>
    <row r="14" spans="1:6" ht="15.75">
      <c r="A14" s="14"/>
      <c r="B14" s="67">
        <f>inputPrYr!B24</f>
        <v>0</v>
      </c>
      <c r="C14" s="86"/>
      <c r="D14" s="84">
        <f t="shared" si="0"/>
      </c>
      <c r="E14" s="85">
        <f t="shared" si="1"/>
      </c>
      <c r="F14" s="82"/>
    </row>
    <row r="15" spans="1:6" ht="16.5" thickBot="1">
      <c r="A15" s="14"/>
      <c r="B15" s="68" t="s">
        <v>173</v>
      </c>
      <c r="C15" s="87">
        <f>SUM(C6:C14)</f>
        <v>0</v>
      </c>
      <c r="D15" s="88">
        <f>SUM(D6:D14)</f>
        <v>0</v>
      </c>
      <c r="E15" s="87">
        <f>SUM(E6:E14)</f>
        <v>0</v>
      </c>
      <c r="F15" s="82"/>
    </row>
    <row r="16" spans="1:6" ht="16.5" thickTop="1">
      <c r="A16" s="14"/>
      <c r="B16" s="14"/>
      <c r="C16" s="14"/>
      <c r="D16" s="14"/>
      <c r="E16" s="14"/>
      <c r="F16" s="82"/>
    </row>
    <row r="17" spans="1:6" ht="15.75">
      <c r="A17" s="14"/>
      <c r="B17" s="14"/>
      <c r="C17" s="14"/>
      <c r="D17" s="14"/>
      <c r="E17" s="14"/>
      <c r="F17" s="82"/>
    </row>
    <row r="18" spans="1:6" ht="15.75">
      <c r="A18" s="408" t="str">
        <f>CONCATENATE("",F1-1," July 1 Valuation:")</f>
        <v>2011 July 1 Valuation:</v>
      </c>
      <c r="B18" s="407"/>
      <c r="C18" s="408"/>
      <c r="D18" s="89">
        <f>inputOth!E7</f>
        <v>2413392</v>
      </c>
      <c r="E18" s="14"/>
      <c r="F18" s="82"/>
    </row>
    <row r="19" spans="1:6" ht="15.75">
      <c r="A19" s="14"/>
      <c r="B19" s="14"/>
      <c r="C19" s="14"/>
      <c r="D19" s="14"/>
      <c r="E19" s="14"/>
      <c r="F19" s="82"/>
    </row>
    <row r="20" spans="1:6" ht="15.75">
      <c r="A20" s="14"/>
      <c r="B20" s="408" t="s">
        <v>214</v>
      </c>
      <c r="C20" s="408"/>
      <c r="D20" s="90">
        <f>IF(D18&gt;0,(D18*0.001),"")</f>
        <v>2413.392</v>
      </c>
      <c r="E20" s="14"/>
      <c r="F20" s="82"/>
    </row>
    <row r="21" spans="1:6" ht="15.75">
      <c r="A21" s="14"/>
      <c r="B21" s="46"/>
      <c r="C21" s="46"/>
      <c r="D21" s="91"/>
      <c r="E21" s="14"/>
      <c r="F21" s="82"/>
    </row>
    <row r="22" spans="1:6" ht="15.75">
      <c r="A22" s="406" t="s">
        <v>215</v>
      </c>
      <c r="B22" s="370"/>
      <c r="C22" s="370"/>
      <c r="D22" s="92">
        <f>inputOth!E13</f>
        <v>0</v>
      </c>
      <c r="E22" s="93"/>
      <c r="F22" s="93"/>
    </row>
    <row r="23" spans="1:6" ht="15.75">
      <c r="A23" s="93"/>
      <c r="B23" s="93"/>
      <c r="C23" s="93"/>
      <c r="D23" s="94"/>
      <c r="E23" s="93"/>
      <c r="F23" s="93"/>
    </row>
    <row r="24" spans="1:6" ht="15.75">
      <c r="A24" s="93"/>
      <c r="B24" s="406" t="s">
        <v>216</v>
      </c>
      <c r="C24" s="407"/>
      <c r="D24" s="95">
        <f>IF(D22&gt;0,(D22*0.001),"")</f>
      </c>
      <c r="E24" s="93"/>
      <c r="F24" s="93"/>
    </row>
    <row r="25" spans="1:6" ht="15.75">
      <c r="A25" s="93"/>
      <c r="B25" s="93"/>
      <c r="C25" s="93"/>
      <c r="D25" s="93"/>
      <c r="E25" s="93"/>
      <c r="F25" s="93"/>
    </row>
    <row r="26" spans="1:6" ht="15.75">
      <c r="A26" s="93"/>
      <c r="B26" s="93"/>
      <c r="C26" s="93"/>
      <c r="D26" s="93"/>
      <c r="E26" s="93"/>
      <c r="F26" s="93"/>
    </row>
    <row r="27" spans="1:6" ht="15.75">
      <c r="A27" s="93"/>
      <c r="B27" s="93"/>
      <c r="C27" s="93"/>
      <c r="D27" s="93"/>
      <c r="E27" s="93"/>
      <c r="F27" s="93"/>
    </row>
    <row r="28" spans="1:6" ht="15.75">
      <c r="A28" s="306" t="str">
        <f>CONCATENATE("**This information comes from the ",F1," Budget Summary page.  See instructions tab #11 for completing")</f>
        <v>**This information comes from the 2012 Budget Summary page.  See instructions tab #11 for completing</v>
      </c>
      <c r="B28" s="93"/>
      <c r="C28" s="93"/>
      <c r="D28" s="93"/>
      <c r="E28" s="93"/>
      <c r="F28" s="93"/>
    </row>
    <row r="29" spans="1:6" ht="15.75">
      <c r="A29" s="306" t="s">
        <v>228</v>
      </c>
      <c r="B29" s="93"/>
      <c r="C29" s="93"/>
      <c r="D29" s="93"/>
      <c r="E29" s="93"/>
      <c r="F29" s="93"/>
    </row>
    <row r="30" spans="1:6" ht="15.75">
      <c r="A30" s="306"/>
      <c r="B30" s="93"/>
      <c r="C30" s="93"/>
      <c r="D30" s="93"/>
      <c r="E30" s="93"/>
      <c r="F30" s="93"/>
    </row>
    <row r="31" spans="1:6" ht="15.75">
      <c r="A31" s="306"/>
      <c r="B31" s="93"/>
      <c r="C31" s="93"/>
      <c r="D31" s="93"/>
      <c r="E31" s="93"/>
      <c r="F31" s="93"/>
    </row>
    <row r="32" spans="1:6" ht="15.75">
      <c r="A32" s="306"/>
      <c r="B32" s="93"/>
      <c r="C32" s="93"/>
      <c r="D32" s="93"/>
      <c r="E32" s="93"/>
      <c r="F32" s="93"/>
    </row>
    <row r="33" spans="1:6" ht="15.75">
      <c r="A33" s="306"/>
      <c r="B33" s="93"/>
      <c r="C33" s="93"/>
      <c r="D33" s="93"/>
      <c r="E33" s="93"/>
      <c r="F33" s="93"/>
    </row>
    <row r="34" spans="1:6" ht="15.75">
      <c r="A34" s="306"/>
      <c r="B34" s="93"/>
      <c r="C34" s="93"/>
      <c r="D34" s="93"/>
      <c r="E34" s="93"/>
      <c r="F34" s="93"/>
    </row>
    <row r="35" spans="1:6" ht="15.75">
      <c r="A35" s="306"/>
      <c r="B35" s="93"/>
      <c r="C35" s="93"/>
      <c r="D35" s="93"/>
      <c r="E35" s="93"/>
      <c r="F35" s="93"/>
    </row>
    <row r="36" spans="1:6" ht="15.75">
      <c r="A36" s="93"/>
      <c r="B36" s="93"/>
      <c r="C36" s="93"/>
      <c r="D36" s="93"/>
      <c r="E36" s="93"/>
      <c r="F36" s="93"/>
    </row>
    <row r="37" spans="1:6" ht="15.75">
      <c r="A37" s="93"/>
      <c r="B37" s="77" t="s">
        <v>9</v>
      </c>
      <c r="C37" s="62"/>
      <c r="D37" s="93"/>
      <c r="E37" s="93"/>
      <c r="F37" s="93"/>
    </row>
    <row r="38" spans="1:6" ht="15.75">
      <c r="A38" s="82"/>
      <c r="B38" s="14"/>
      <c r="C38" s="14"/>
      <c r="D38" s="96"/>
      <c r="E38" s="82"/>
      <c r="F38" s="82"/>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J16" sqref="J16"/>
    </sheetView>
  </sheetViews>
  <sheetFormatPr defaultColWidth="8.796875" defaultRowHeight="15.75"/>
  <sheetData>
    <row r="1" spans="1:7" ht="15.75">
      <c r="A1" s="416" t="s">
        <v>117</v>
      </c>
      <c r="B1" s="416"/>
      <c r="C1" s="416"/>
      <c r="D1" s="416"/>
      <c r="E1" s="416"/>
      <c r="F1" s="416"/>
      <c r="G1" s="416"/>
    </row>
    <row r="2" ht="15.75">
      <c r="A2" s="1"/>
    </row>
    <row r="3" spans="1:7" ht="15.75">
      <c r="A3" s="417" t="s">
        <v>118</v>
      </c>
      <c r="B3" s="417"/>
      <c r="C3" s="417"/>
      <c r="D3" s="417"/>
      <c r="E3" s="417"/>
      <c r="F3" s="417"/>
      <c r="G3" s="417"/>
    </row>
    <row r="4" ht="15.75">
      <c r="A4" s="2"/>
    </row>
    <row r="5" ht="15.75">
      <c r="A5" s="2"/>
    </row>
    <row r="6" spans="1:9" ht="15.75">
      <c r="A6" s="8" t="str">
        <f>CONCATENATE("A resolution expressing the property taxation policy of the Board of ",(inputPrYr!D2)," ")</f>
        <v>A resolution expressing the property taxation policy of the Board of Kendall Township </v>
      </c>
      <c r="I6">
        <f>CONCATENATE(I7)</f>
      </c>
    </row>
    <row r="7" spans="1:7" ht="15.75">
      <c r="A7" s="418" t="str">
        <f>CONCATENATE("   with respect to financing the ",inputPrYr!D5," annual budget for ",(inputPrYr!D2)," , ",(inputPrYr!D3)," , Kansas.")</f>
        <v>   with respect to financing the 2012 annual budget for Kendall Township , Hamilton County , Kansas.</v>
      </c>
      <c r="B7" s="411"/>
      <c r="C7" s="411"/>
      <c r="D7" s="411"/>
      <c r="E7" s="411"/>
      <c r="F7" s="411"/>
      <c r="G7" s="411"/>
    </row>
    <row r="8" spans="1:7" ht="15.75">
      <c r="A8" s="411"/>
      <c r="B8" s="411"/>
      <c r="C8" s="411"/>
      <c r="D8" s="411"/>
      <c r="E8" s="411"/>
      <c r="F8" s="411"/>
      <c r="G8" s="411"/>
    </row>
    <row r="9" ht="15.75">
      <c r="A9" s="1"/>
    </row>
    <row r="10" ht="15.75">
      <c r="A10" s="9" t="s">
        <v>119</v>
      </c>
    </row>
    <row r="11" ht="15.75">
      <c r="A11" s="7" t="str">
        <f>CONCATENATE("to finance the ",inputPrYr!D5," ",(inputPrYr!D2)," budget exceed the amount levied to finance the ",inputPrYr!D5-1,"")</f>
        <v>to finance the 2012 Kendall Township budget exceed the amount levied to finance the 2011</v>
      </c>
    </row>
    <row r="12" spans="1:7" ht="15.75">
      <c r="A12" s="414" t="str">
        <f>CONCATENATE((inputPrYr!D2)," Township budget, except with regard to revenue produced and attributable to the taxation of 1) new improvements to real property; 2) increased personal property valuation, other than increased")</f>
        <v>Kendall Township Township budget, except with regard to revenue produced and attributable to the taxation of 1) new improvements to real property; 2) increased personal property valuation, other than increased</v>
      </c>
      <c r="B12" s="411"/>
      <c r="C12" s="411"/>
      <c r="D12" s="411"/>
      <c r="E12" s="411"/>
      <c r="F12" s="411"/>
      <c r="G12" s="411"/>
    </row>
    <row r="13" spans="1:7" ht="15.75">
      <c r="A13" s="411"/>
      <c r="B13" s="411"/>
      <c r="C13" s="411"/>
      <c r="D13" s="411"/>
      <c r="E13" s="411"/>
      <c r="F13" s="411"/>
      <c r="G13" s="411"/>
    </row>
    <row r="14" spans="1:7" ht="15.75">
      <c r="A14" s="414" t="s">
        <v>124</v>
      </c>
      <c r="B14" s="411"/>
      <c r="C14" s="411"/>
      <c r="D14" s="411"/>
      <c r="E14" s="411"/>
      <c r="F14" s="411"/>
      <c r="G14" s="411"/>
    </row>
    <row r="15" spans="1:7" ht="15.75">
      <c r="A15" s="411"/>
      <c r="B15" s="411"/>
      <c r="C15" s="411"/>
      <c r="D15" s="411"/>
      <c r="E15" s="411"/>
      <c r="F15" s="411"/>
      <c r="G15" s="411"/>
    </row>
    <row r="16" spans="1:7" ht="15.75">
      <c r="A16" s="415"/>
      <c r="B16" s="415"/>
      <c r="C16" s="415"/>
      <c r="D16" s="415"/>
      <c r="E16" s="415"/>
      <c r="F16" s="415"/>
      <c r="G16" s="415"/>
    </row>
    <row r="17" ht="15.75">
      <c r="A17" s="2"/>
    </row>
    <row r="18" spans="1:7" ht="15.75">
      <c r="A18" s="410" t="s">
        <v>120</v>
      </c>
      <c r="B18" s="411"/>
      <c r="C18" s="411"/>
      <c r="D18" s="411"/>
      <c r="E18" s="411"/>
      <c r="F18" s="411"/>
      <c r="G18" s="411"/>
    </row>
    <row r="19" spans="1:7" ht="15.75">
      <c r="A19" s="411"/>
      <c r="B19" s="411"/>
      <c r="C19" s="411"/>
      <c r="D19" s="411"/>
      <c r="E19" s="411"/>
      <c r="F19" s="411"/>
      <c r="G19" s="411"/>
    </row>
    <row r="20" ht="15.75">
      <c r="A20" s="2"/>
    </row>
    <row r="21" spans="1:7" ht="15.75">
      <c r="A21" s="410" t="str">
        <f>CONCATENATE("Whereas, ",(inputPrYr!D2)," provides essential services to protect the safety and well being of the citizens of the township; and")</f>
        <v>Whereas, Kendall Township provides essential services to protect the safety and well being of the citizens of the township; and</v>
      </c>
      <c r="B21" s="411"/>
      <c r="C21" s="411"/>
      <c r="D21" s="411"/>
      <c r="E21" s="411"/>
      <c r="F21" s="411"/>
      <c r="G21" s="411"/>
    </row>
    <row r="22" spans="1:7" ht="15.75">
      <c r="A22" s="411"/>
      <c r="B22" s="411"/>
      <c r="C22" s="411"/>
      <c r="D22" s="411"/>
      <c r="E22" s="411"/>
      <c r="F22" s="411"/>
      <c r="G22" s="411"/>
    </row>
    <row r="23" ht="15.75">
      <c r="A23" s="4"/>
    </row>
    <row r="24" ht="15.75">
      <c r="A24" s="3" t="s">
        <v>121</v>
      </c>
    </row>
    <row r="25" ht="15.75">
      <c r="A25" s="4"/>
    </row>
    <row r="26" spans="1:7" ht="15.75">
      <c r="A26" s="410" t="str">
        <f>CONCATENATE("NOW, THEREFORE, BE IT RESOLVED by the Board of ",(inputPrYr!D2)," of ",(inputPrYr!D3),", Kansas that is our desire to notify the public of increased property taxes to finance the ",inputPrYr!D5," ",(inputPrYr!D2),"  budget as defined above.")</f>
        <v>NOW, THEREFORE, BE IT RESOLVED by the Board of Kendall Township of Hamilton County, Kansas that is our desire to notify the public of increased property taxes to finance the 2012 Kendall Township  budget as defined above.</v>
      </c>
      <c r="B26" s="411"/>
      <c r="C26" s="411"/>
      <c r="D26" s="411"/>
      <c r="E26" s="411"/>
      <c r="F26" s="411"/>
      <c r="G26" s="411"/>
    </row>
    <row r="27" spans="1:7" ht="15.75">
      <c r="A27" s="411"/>
      <c r="B27" s="411"/>
      <c r="C27" s="411"/>
      <c r="D27" s="411"/>
      <c r="E27" s="411"/>
      <c r="F27" s="411"/>
      <c r="G27" s="411"/>
    </row>
    <row r="28" spans="1:7" ht="15.75">
      <c r="A28" s="411"/>
      <c r="B28" s="411"/>
      <c r="C28" s="411"/>
      <c r="D28" s="411"/>
      <c r="E28" s="411"/>
      <c r="F28" s="411"/>
      <c r="G28" s="411"/>
    </row>
    <row r="29" ht="15.75">
      <c r="A29" s="4"/>
    </row>
    <row r="30" spans="1:7" ht="15.75">
      <c r="A30" s="413" t="str">
        <f>CONCATENATE("Adopted this _________ day of ___________, ",inputPrYr!D5-1," by the ",(inputPrYr!D2)," Board, ",(inputPrYr!D3),", Kansas.")</f>
        <v>Adopted this _________ day of ___________, 2011 by the Kendall Township Board, Hamilton County, Kansas.</v>
      </c>
      <c r="B30" s="411"/>
      <c r="C30" s="411"/>
      <c r="D30" s="411"/>
      <c r="E30" s="411"/>
      <c r="F30" s="411"/>
      <c r="G30" s="411"/>
    </row>
    <row r="31" spans="1:7" ht="15.75">
      <c r="A31" s="411"/>
      <c r="B31" s="411"/>
      <c r="C31" s="411"/>
      <c r="D31" s="411"/>
      <c r="E31" s="411"/>
      <c r="F31" s="411"/>
      <c r="G31" s="411"/>
    </row>
    <row r="32" ht="15.75">
      <c r="A32" s="4"/>
    </row>
    <row r="33" spans="4:7" ht="15.75">
      <c r="D33" s="412" t="str">
        <f>CONCATENATE((inputPrYr!D2)," Board")</f>
        <v>Kendall Township Board</v>
      </c>
      <c r="E33" s="412"/>
      <c r="F33" s="412"/>
      <c r="G33" s="412"/>
    </row>
    <row r="35" spans="4:7" ht="15.75">
      <c r="D35" s="409" t="s">
        <v>122</v>
      </c>
      <c r="E35" s="409"/>
      <c r="F35" s="409"/>
      <c r="G35" s="409"/>
    </row>
    <row r="36" spans="1:7" ht="15.75">
      <c r="A36" s="5"/>
      <c r="D36" s="409" t="s">
        <v>262</v>
      </c>
      <c r="E36" s="409"/>
      <c r="F36" s="409"/>
      <c r="G36" s="409"/>
    </row>
    <row r="37" spans="4:7" ht="15.75">
      <c r="D37" s="409"/>
      <c r="E37" s="409"/>
      <c r="F37" s="409"/>
      <c r="G37" s="409"/>
    </row>
    <row r="38" spans="4:7" ht="15.75">
      <c r="D38" s="409" t="s">
        <v>122</v>
      </c>
      <c r="E38" s="409"/>
      <c r="F38" s="409"/>
      <c r="G38" s="409"/>
    </row>
    <row r="39" spans="1:7" ht="15.75">
      <c r="A39" s="4"/>
      <c r="D39" s="409" t="s">
        <v>126</v>
      </c>
      <c r="E39" s="409"/>
      <c r="F39" s="409"/>
      <c r="G39" s="409"/>
    </row>
    <row r="40" spans="4:7" ht="15.75">
      <c r="D40" s="409"/>
      <c r="E40" s="409"/>
      <c r="F40" s="409"/>
      <c r="G40" s="409"/>
    </row>
    <row r="41" spans="4:7" ht="15.75">
      <c r="D41" s="409" t="s">
        <v>125</v>
      </c>
      <c r="E41" s="409"/>
      <c r="F41" s="409"/>
      <c r="G41" s="409"/>
    </row>
    <row r="42" spans="1:7" ht="15.75">
      <c r="A42" s="4"/>
      <c r="D42" s="409" t="s">
        <v>261</v>
      </c>
      <c r="E42" s="409"/>
      <c r="F42" s="409"/>
      <c r="G42" s="409"/>
    </row>
    <row r="43" ht="15.75">
      <c r="A43" s="6"/>
    </row>
    <row r="44" ht="15.75">
      <c r="A44" s="6"/>
    </row>
    <row r="45" ht="15.75">
      <c r="A45" s="6" t="s">
        <v>123</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
      <selection activeCell="G39" sqref="G39"/>
    </sheetView>
  </sheetViews>
  <sheetFormatPr defaultColWidth="8.796875" defaultRowHeight="15.75"/>
  <cols>
    <col min="1" max="1" width="14.19921875" style="71" customWidth="1"/>
    <col min="2" max="2" width="18.69921875" style="71" customWidth="1"/>
    <col min="3" max="3" width="9.69921875" style="71" customWidth="1"/>
    <col min="4" max="4" width="14.09765625" style="71" customWidth="1"/>
    <col min="5" max="5" width="12.796875" style="71" customWidth="1"/>
    <col min="6" max="16384" width="8.796875" style="71" customWidth="1"/>
  </cols>
  <sheetData>
    <row r="1" spans="1:5" ht="15.75">
      <c r="A1" s="74" t="str">
        <f>inputPrYr!D2</f>
        <v>Kendall Township</v>
      </c>
      <c r="B1" s="75"/>
      <c r="C1" s="75"/>
      <c r="D1" s="75"/>
      <c r="E1" s="75">
        <f>inputPrYr!D5</f>
        <v>2012</v>
      </c>
    </row>
    <row r="2" spans="1:5" ht="15.75">
      <c r="A2" s="74" t="str">
        <f>inputPrYr!D3</f>
        <v>Hamilton County</v>
      </c>
      <c r="B2" s="75"/>
      <c r="C2" s="75"/>
      <c r="D2" s="75"/>
      <c r="E2" s="75"/>
    </row>
    <row r="3" spans="1:5" ht="15.75">
      <c r="A3" s="75"/>
      <c r="B3" s="75"/>
      <c r="C3" s="75"/>
      <c r="D3" s="75"/>
      <c r="E3" s="75"/>
    </row>
    <row r="4" spans="1:5" ht="15.75">
      <c r="A4" s="358" t="s">
        <v>142</v>
      </c>
      <c r="B4" s="359"/>
      <c r="C4" s="359"/>
      <c r="D4" s="359"/>
      <c r="E4" s="359"/>
    </row>
    <row r="5" spans="1:5" ht="15.75">
      <c r="A5" s="75"/>
      <c r="B5" s="75"/>
      <c r="C5" s="75"/>
      <c r="D5" s="75"/>
      <c r="E5" s="75"/>
    </row>
    <row r="6" spans="1:5" ht="15.75">
      <c r="A6" s="240" t="str">
        <f>CONCATENATE("From the County Clerks Budget Information for ",E1,":")</f>
        <v>From the County Clerks Budget Information for 2012:</v>
      </c>
      <c r="B6" s="241"/>
      <c r="C6" s="241"/>
      <c r="D6" s="14"/>
      <c r="E6" s="52"/>
    </row>
    <row r="7" spans="1:5" ht="15.75">
      <c r="A7" s="22" t="str">
        <f>CONCATENATE("Total Assessed Valuation for ",E1-1,"")</f>
        <v>Total Assessed Valuation for 2011</v>
      </c>
      <c r="B7" s="19"/>
      <c r="C7" s="19"/>
      <c r="D7" s="19"/>
      <c r="E7" s="242">
        <v>2413392</v>
      </c>
    </row>
    <row r="8" spans="1:5" ht="15.75">
      <c r="A8" s="22" t="str">
        <f>CONCATENATE("New Improvements for ",E1-1,"")</f>
        <v>New Improvements for 2011</v>
      </c>
      <c r="B8" s="19"/>
      <c r="C8" s="19"/>
      <c r="D8" s="19"/>
      <c r="E8" s="243">
        <v>4930</v>
      </c>
    </row>
    <row r="9" spans="1:5" ht="15.75">
      <c r="A9" s="22" t="str">
        <f>CONCATENATE("Personal Property excluding oil, gas, and mobile homes - ",E1-1,"")</f>
        <v>Personal Property excluding oil, gas, and mobile homes - 2011</v>
      </c>
      <c r="B9" s="19"/>
      <c r="C9" s="19"/>
      <c r="D9" s="19"/>
      <c r="E9" s="243">
        <v>48346</v>
      </c>
    </row>
    <row r="10" spans="1:5" ht="15.75">
      <c r="A10" s="22" t="str">
        <f>CONCATENATE("Property that has changed in use for ",E1-1,"")</f>
        <v>Property that has changed in use for 2011</v>
      </c>
      <c r="B10" s="19"/>
      <c r="C10" s="19"/>
      <c r="D10" s="19"/>
      <c r="E10" s="243"/>
    </row>
    <row r="11" spans="1:5" ht="15.75">
      <c r="A11" s="22" t="str">
        <f>CONCATENATE("Personal Property excluding oil, gas, and mobile homes- ",E1-2,"")</f>
        <v>Personal Property excluding oil, gas, and mobile homes- 2010</v>
      </c>
      <c r="B11" s="19"/>
      <c r="C11" s="19"/>
      <c r="D11" s="19"/>
      <c r="E11" s="243">
        <v>39945</v>
      </c>
    </row>
    <row r="12" spans="1:5" ht="15.75">
      <c r="A12" s="22" t="str">
        <f>CONCATENATE("Gross earnings (intangible) tax estimate for ",E1,"")</f>
        <v>Gross earnings (intangible) tax estimate for 2012</v>
      </c>
      <c r="B12" s="19"/>
      <c r="C12" s="19"/>
      <c r="D12" s="19"/>
      <c r="E12" s="243"/>
    </row>
    <row r="13" spans="1:5" ht="15.75">
      <c r="A13" s="22" t="str">
        <f>CONCATENATE("Neighborhood Revitalization - ",E1,"")</f>
        <v>Neighborhood Revitalization - 2012</v>
      </c>
      <c r="B13" s="19"/>
      <c r="C13" s="19"/>
      <c r="D13" s="19"/>
      <c r="E13" s="243"/>
    </row>
    <row r="14" spans="1:5" ht="15.75">
      <c r="A14" s="22"/>
      <c r="B14" s="19"/>
      <c r="C14" s="19"/>
      <c r="D14" s="19"/>
      <c r="E14" s="244"/>
    </row>
    <row r="15" spans="1:5" ht="15.75">
      <c r="A15" s="245" t="str">
        <f>CONCATENATE("Actual Tax Rates for the ",E1-1," Budget:")</f>
        <v>Actual Tax Rates for the 2011 Budget:</v>
      </c>
      <c r="B15" s="19"/>
      <c r="C15" s="19"/>
      <c r="D15" s="19"/>
      <c r="E15" s="246"/>
    </row>
    <row r="16" spans="1:5" ht="15.75">
      <c r="A16" s="360" t="s">
        <v>200</v>
      </c>
      <c r="B16" s="361"/>
      <c r="C16" s="75"/>
      <c r="D16" s="247" t="s">
        <v>3</v>
      </c>
      <c r="E16" s="246"/>
    </row>
    <row r="17" spans="1:5" ht="15.75">
      <c r="A17" s="66" t="str">
        <f>inputPrYr!B16</f>
        <v>General</v>
      </c>
      <c r="B17" s="20"/>
      <c r="C17" s="19"/>
      <c r="D17" s="248">
        <v>3.608</v>
      </c>
      <c r="E17" s="246"/>
    </row>
    <row r="18" spans="1:5" ht="15.75">
      <c r="A18" s="66" t="str">
        <f>inputPrYr!B17</f>
        <v>Debt Service</v>
      </c>
      <c r="B18" s="225"/>
      <c r="C18" s="19"/>
      <c r="D18" s="249"/>
      <c r="E18" s="246"/>
    </row>
    <row r="19" spans="1:5" ht="15.75">
      <c r="A19" s="66" t="str">
        <f>inputPrYr!B18</f>
        <v>Road</v>
      </c>
      <c r="B19" s="225"/>
      <c r="C19" s="19"/>
      <c r="D19" s="249"/>
      <c r="E19" s="246"/>
    </row>
    <row r="20" spans="1:5" ht="15.75">
      <c r="A20" s="66">
        <f>inputPrYr!B19</f>
        <v>0</v>
      </c>
      <c r="B20" s="225"/>
      <c r="C20" s="19"/>
      <c r="D20" s="249"/>
      <c r="E20" s="246"/>
    </row>
    <row r="21" spans="1:5" ht="15.75">
      <c r="A21" s="66">
        <f>inputPrYr!B20</f>
        <v>0</v>
      </c>
      <c r="B21" s="225"/>
      <c r="C21" s="19"/>
      <c r="D21" s="249"/>
      <c r="E21" s="246"/>
    </row>
    <row r="22" spans="1:5" ht="15.75">
      <c r="A22" s="66">
        <f>inputPrYr!B21</f>
        <v>0</v>
      </c>
      <c r="B22" s="225"/>
      <c r="C22" s="19"/>
      <c r="D22" s="250"/>
      <c r="E22" s="246"/>
    </row>
    <row r="23" spans="1:5" ht="15.75">
      <c r="A23" s="66">
        <f>inputPrYr!B22</f>
        <v>0</v>
      </c>
      <c r="B23" s="225"/>
      <c r="C23" s="19"/>
      <c r="D23" s="250"/>
      <c r="E23" s="246"/>
    </row>
    <row r="24" spans="1:5" ht="15.75">
      <c r="A24" s="66">
        <f>inputPrYr!B23</f>
        <v>0</v>
      </c>
      <c r="B24" s="225"/>
      <c r="C24" s="19"/>
      <c r="D24" s="250"/>
      <c r="E24" s="246"/>
    </row>
    <row r="25" spans="1:5" ht="15.75">
      <c r="A25" s="66">
        <f>inputPrYr!B24</f>
        <v>0</v>
      </c>
      <c r="B25" s="225"/>
      <c r="C25" s="19"/>
      <c r="D25" s="250"/>
      <c r="E25" s="246"/>
    </row>
    <row r="26" spans="1:5" ht="15.75">
      <c r="A26" s="14"/>
      <c r="B26" s="20" t="s">
        <v>190</v>
      </c>
      <c r="C26" s="217"/>
      <c r="D26" s="251">
        <f>SUM(D17:D25)</f>
        <v>3.608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5">
        <v>2415727</v>
      </c>
    </row>
    <row r="29" spans="1:5" ht="15.75">
      <c r="A29" s="14"/>
      <c r="B29" s="14"/>
      <c r="C29" s="14"/>
      <c r="D29" s="14"/>
      <c r="E29" s="14"/>
    </row>
    <row r="30" spans="1:5" ht="15.75">
      <c r="A30" s="252" t="str">
        <f>CONCATENATE("From the County Treasurer's Budget Information - ",E1," Budget Year Estimates:")</f>
        <v>From the County Treasurer's Budget Information - 2012 Budget Year Estimates:</v>
      </c>
      <c r="B30" s="253"/>
      <c r="C30" s="253"/>
      <c r="D30" s="254"/>
      <c r="E30" s="52"/>
    </row>
    <row r="31" spans="1:5" ht="15.75">
      <c r="A31" s="66" t="s">
        <v>143</v>
      </c>
      <c r="B31" s="20"/>
      <c r="C31" s="20"/>
      <c r="D31" s="255"/>
      <c r="E31" s="33">
        <v>300</v>
      </c>
    </row>
    <row r="32" spans="1:5" ht="15.75">
      <c r="A32" s="256" t="s">
        <v>191</v>
      </c>
      <c r="B32" s="225"/>
      <c r="C32" s="225"/>
      <c r="D32" s="30"/>
      <c r="E32" s="33">
        <v>1</v>
      </c>
    </row>
    <row r="33" spans="1:5" ht="15.75">
      <c r="A33" s="256" t="s">
        <v>144</v>
      </c>
      <c r="B33" s="225"/>
      <c r="C33" s="225"/>
      <c r="D33" s="30"/>
      <c r="E33" s="33">
        <v>10</v>
      </c>
    </row>
    <row r="34" spans="1:5" ht="15.75">
      <c r="A34" s="256" t="s">
        <v>145</v>
      </c>
      <c r="B34" s="225"/>
      <c r="C34" s="225"/>
      <c r="D34" s="30"/>
      <c r="E34" s="33"/>
    </row>
    <row r="35" spans="1:5" ht="15.75">
      <c r="A35" s="256" t="s">
        <v>146</v>
      </c>
      <c r="B35" s="225"/>
      <c r="C35" s="225"/>
      <c r="D35" s="30"/>
      <c r="E35" s="33"/>
    </row>
    <row r="36" spans="1:5" ht="15.75">
      <c r="A36" s="256" t="s">
        <v>96</v>
      </c>
      <c r="B36" s="20"/>
      <c r="C36" s="20"/>
      <c r="D36" s="255"/>
      <c r="E36" s="33"/>
    </row>
    <row r="37" spans="1:5" ht="15.75">
      <c r="A37" s="14" t="s">
        <v>147</v>
      </c>
      <c r="B37" s="14"/>
      <c r="C37" s="14"/>
      <c r="D37" s="14"/>
      <c r="E37" s="14"/>
    </row>
    <row r="38" spans="1:5" ht="15.75">
      <c r="A38" s="64" t="s">
        <v>148</v>
      </c>
      <c r="B38" s="98"/>
      <c r="C38" s="98"/>
      <c r="D38" s="14"/>
      <c r="E38" s="14"/>
    </row>
    <row r="39" spans="1:5" ht="15.75">
      <c r="A39" s="234" t="str">
        <f>CONCATENATE("Actual Delinquency for ",E1-3," Tax (round to three decimal places)")</f>
        <v>Actual Delinquency for 2009 Tax (round to three decimal places)</v>
      </c>
      <c r="B39" s="19"/>
      <c r="C39" s="14"/>
      <c r="D39" s="14"/>
      <c r="E39" s="326">
        <v>0.02</v>
      </c>
    </row>
    <row r="40" spans="1:5" ht="15.75">
      <c r="A40" s="234" t="s">
        <v>149</v>
      </c>
      <c r="B40" s="234"/>
      <c r="C40" s="19"/>
      <c r="D40" s="19"/>
      <c r="E40" s="327">
        <v>0.04</v>
      </c>
    </row>
    <row r="41" spans="1:5" ht="15.75">
      <c r="A41" s="257" t="s">
        <v>150</v>
      </c>
      <c r="B41" s="257"/>
      <c r="C41" s="258"/>
      <c r="D41" s="258"/>
      <c r="E41" s="259"/>
    </row>
    <row r="42" spans="1:5" ht="15.75">
      <c r="A42" s="93"/>
      <c r="B42" s="93"/>
      <c r="C42" s="93"/>
      <c r="D42" s="93"/>
      <c r="E42" s="93"/>
    </row>
    <row r="43" spans="1:5" ht="15.75">
      <c r="A43" s="362" t="str">
        <f>CONCATENATE("From the ",E1-2," Budget Certificate Page")</f>
        <v>From the 2010 Budget Certificate Page</v>
      </c>
      <c r="B43" s="363"/>
      <c r="C43" s="93"/>
      <c r="D43" s="93"/>
      <c r="E43" s="93"/>
    </row>
    <row r="44" spans="1:5" ht="15.75">
      <c r="A44" s="260"/>
      <c r="B44" s="260" t="str">
        <f>CONCATENATE("",E1-2," Expenditure Amounts")</f>
        <v>2010 Expenditure Amounts</v>
      </c>
      <c r="C44" s="364" t="str">
        <f>CONCATENATE("Note: If the ",E1-2," budget was amended, then the")</f>
        <v>Note: If the 2010 budget was amended, then the</v>
      </c>
      <c r="D44" s="365"/>
      <c r="E44" s="365"/>
    </row>
    <row r="45" spans="1:5" ht="15.75">
      <c r="A45" s="261" t="s">
        <v>169</v>
      </c>
      <c r="B45" s="261" t="s">
        <v>170</v>
      </c>
      <c r="C45" s="262" t="s">
        <v>171</v>
      </c>
      <c r="D45" s="263"/>
      <c r="E45" s="263"/>
    </row>
    <row r="46" spans="1:5" ht="15.75">
      <c r="A46" s="264" t="str">
        <f>inputPrYr!B16</f>
        <v>General</v>
      </c>
      <c r="B46" s="35">
        <v>13300</v>
      </c>
      <c r="C46" s="262" t="s">
        <v>172</v>
      </c>
      <c r="D46" s="263"/>
      <c r="E46" s="263"/>
    </row>
    <row r="47" spans="1:5" ht="15.75">
      <c r="A47" s="264" t="str">
        <f>inputPrYr!B17</f>
        <v>Debt Service</v>
      </c>
      <c r="B47" s="35"/>
      <c r="C47" s="262"/>
      <c r="D47" s="263"/>
      <c r="E47" s="263"/>
    </row>
    <row r="48" spans="1:5" ht="15.75">
      <c r="A48" s="264" t="str">
        <f>inputPrYr!B18</f>
        <v>Road</v>
      </c>
      <c r="B48" s="35"/>
      <c r="C48" s="93"/>
      <c r="D48" s="93"/>
      <c r="E48" s="93"/>
    </row>
    <row r="49" spans="1:5" ht="15.75">
      <c r="A49" s="264">
        <f>inputPrYr!B19</f>
        <v>0</v>
      </c>
      <c r="B49" s="35"/>
      <c r="C49" s="93"/>
      <c r="D49" s="93"/>
      <c r="E49" s="93"/>
    </row>
    <row r="50" spans="1:5" ht="15.75">
      <c r="A50" s="264">
        <f>inputPrYr!B20</f>
        <v>0</v>
      </c>
      <c r="B50" s="35"/>
      <c r="C50" s="93"/>
      <c r="D50" s="93"/>
      <c r="E50" s="93"/>
    </row>
    <row r="51" spans="1:5" ht="15.75">
      <c r="A51" s="264">
        <f>inputPrYr!B21</f>
        <v>0</v>
      </c>
      <c r="B51" s="35"/>
      <c r="C51" s="93"/>
      <c r="D51" s="93"/>
      <c r="E51" s="93"/>
    </row>
    <row r="52" spans="1:5" ht="15.75">
      <c r="A52" s="264">
        <f>inputPrYr!B22</f>
        <v>0</v>
      </c>
      <c r="B52" s="35"/>
      <c r="C52" s="93"/>
      <c r="D52" s="93"/>
      <c r="E52" s="93"/>
    </row>
    <row r="53" spans="1:5" ht="15.75">
      <c r="A53" s="264">
        <f>inputPrYr!B23</f>
        <v>0</v>
      </c>
      <c r="B53" s="35"/>
      <c r="C53" s="93"/>
      <c r="D53" s="93"/>
      <c r="E53" s="93"/>
    </row>
    <row r="54" spans="1:5" ht="15.75">
      <c r="A54" s="264">
        <f>inputPrYr!B24</f>
        <v>0</v>
      </c>
      <c r="B54" s="35"/>
      <c r="C54" s="93"/>
      <c r="D54" s="93"/>
      <c r="E54" s="93"/>
    </row>
    <row r="55" spans="1:5" ht="15.75">
      <c r="A55" s="264">
        <f>inputPrYr!B28</f>
        <v>0</v>
      </c>
      <c r="B55" s="35"/>
      <c r="C55" s="93"/>
      <c r="D55" s="93"/>
      <c r="E55" s="93"/>
    </row>
    <row r="56" spans="1:5" ht="15.75">
      <c r="A56" s="264">
        <f>inputPrYr!B29</f>
        <v>0</v>
      </c>
      <c r="B56" s="35"/>
      <c r="C56" s="93"/>
      <c r="D56" s="93"/>
      <c r="E56" s="93"/>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F17" sqref="F17"/>
    </sheetView>
  </sheetViews>
  <sheetFormatPr defaultColWidth="8.796875" defaultRowHeight="15.75"/>
  <cols>
    <col min="1" max="1" width="13.69921875" style="0" customWidth="1"/>
    <col min="2" max="2" width="16" style="0" customWidth="1"/>
  </cols>
  <sheetData>
    <row r="2" spans="1:6" ht="54" customHeight="1">
      <c r="A2" s="366" t="s">
        <v>217</v>
      </c>
      <c r="B2" s="367"/>
      <c r="C2" s="367"/>
      <c r="D2" s="367"/>
      <c r="E2" s="367"/>
      <c r="F2" s="367"/>
    </row>
    <row r="4" spans="1:6" ht="15.75">
      <c r="A4" s="296"/>
      <c r="B4" s="296"/>
      <c r="C4" s="296"/>
      <c r="D4" s="298"/>
      <c r="E4" s="296"/>
      <c r="F4" s="296"/>
    </row>
    <row r="5" spans="1:6" ht="15.75">
      <c r="A5" s="297" t="s">
        <v>218</v>
      </c>
      <c r="B5" s="299" t="s">
        <v>260</v>
      </c>
      <c r="C5" s="300"/>
      <c r="D5" s="297" t="s">
        <v>243</v>
      </c>
      <c r="E5" s="296"/>
      <c r="F5" s="296"/>
    </row>
    <row r="6" spans="1:6" ht="15.75">
      <c r="A6" s="297"/>
      <c r="B6" s="301"/>
      <c r="C6" s="302"/>
      <c r="D6" s="297" t="s">
        <v>242</v>
      </c>
      <c r="E6" s="296"/>
      <c r="F6" s="296"/>
    </row>
    <row r="7" spans="1:6" ht="15.75">
      <c r="A7" s="297" t="s">
        <v>219</v>
      </c>
      <c r="B7" s="299" t="s">
        <v>258</v>
      </c>
      <c r="C7" s="303"/>
      <c r="D7" s="297"/>
      <c r="E7" s="296"/>
      <c r="F7" s="296"/>
    </row>
    <row r="8" spans="1:6" ht="15.75">
      <c r="A8" s="297"/>
      <c r="B8" s="297"/>
      <c r="C8" s="297"/>
      <c r="D8" s="297"/>
      <c r="E8" s="296"/>
      <c r="F8" s="296"/>
    </row>
    <row r="9" spans="1:6" ht="15.75">
      <c r="A9" s="297" t="s">
        <v>220</v>
      </c>
      <c r="B9" s="304" t="s">
        <v>259</v>
      </c>
      <c r="C9" s="304"/>
      <c r="D9" s="304"/>
      <c r="E9" s="305"/>
      <c r="F9" s="296"/>
    </row>
    <row r="10" spans="1:6" ht="15.75">
      <c r="A10" s="297"/>
      <c r="B10" s="297"/>
      <c r="C10" s="297"/>
      <c r="D10" s="297"/>
      <c r="E10" s="296"/>
      <c r="F10" s="296"/>
    </row>
    <row r="11" spans="1:6" ht="15.75">
      <c r="A11" s="297"/>
      <c r="B11" s="297"/>
      <c r="C11" s="297"/>
      <c r="D11" s="297"/>
      <c r="E11" s="296"/>
      <c r="F11" s="296"/>
    </row>
    <row r="12" spans="1:6" ht="15.75">
      <c r="A12" s="297" t="s">
        <v>221</v>
      </c>
      <c r="B12" s="304" t="s">
        <v>259</v>
      </c>
      <c r="C12" s="304"/>
      <c r="D12" s="304"/>
      <c r="E12" s="305"/>
      <c r="F12" s="296"/>
    </row>
    <row r="15" spans="1:6" ht="15.75">
      <c r="A15" s="368" t="s">
        <v>222</v>
      </c>
      <c r="B15" s="368"/>
      <c r="C15" s="297"/>
      <c r="D15" s="297"/>
      <c r="E15" s="297"/>
      <c r="F15" s="296"/>
    </row>
    <row r="16" spans="1:6" ht="15.75">
      <c r="A16" s="297"/>
      <c r="B16" s="297"/>
      <c r="C16" s="297"/>
      <c r="D16" s="297"/>
      <c r="E16" s="297"/>
      <c r="F16" s="296"/>
    </row>
    <row r="17" spans="1:5" ht="15.75">
      <c r="A17" s="297" t="s">
        <v>218</v>
      </c>
      <c r="B17" s="301" t="s">
        <v>223</v>
      </c>
      <c r="C17" s="297"/>
      <c r="D17" s="297"/>
      <c r="E17" s="297"/>
    </row>
    <row r="18" spans="1:5" ht="15.75">
      <c r="A18" s="297"/>
      <c r="B18" s="297"/>
      <c r="C18" s="297"/>
      <c r="D18" s="297"/>
      <c r="E18" s="297"/>
    </row>
    <row r="19" spans="1:5" ht="15.75">
      <c r="A19" s="297" t="s">
        <v>219</v>
      </c>
      <c r="B19" s="297" t="s">
        <v>224</v>
      </c>
      <c r="C19" s="297"/>
      <c r="D19" s="297"/>
      <c r="E19" s="297"/>
    </row>
    <row r="20" spans="1:5" ht="15.75">
      <c r="A20" s="297"/>
      <c r="B20" s="297"/>
      <c r="C20" s="297"/>
      <c r="D20" s="297"/>
      <c r="E20" s="297"/>
    </row>
    <row r="21" spans="1:5" ht="15.75">
      <c r="A21" s="297" t="s">
        <v>220</v>
      </c>
      <c r="B21" s="297" t="s">
        <v>226</v>
      </c>
      <c r="C21" s="297"/>
      <c r="D21" s="297"/>
      <c r="E21" s="297"/>
    </row>
    <row r="22" spans="1:5" ht="15.75">
      <c r="A22" s="297"/>
      <c r="B22" s="297"/>
      <c r="C22" s="297"/>
      <c r="D22" s="297"/>
      <c r="E22" s="297"/>
    </row>
    <row r="23" spans="1:5" ht="15.75">
      <c r="A23" s="297" t="s">
        <v>221</v>
      </c>
      <c r="B23" s="297" t="s">
        <v>225</v>
      </c>
      <c r="C23" s="297"/>
      <c r="D23" s="297"/>
      <c r="E23" s="29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H60"/>
  <sheetViews>
    <sheetView zoomScale="90" zoomScaleNormal="90" zoomScalePageLayoutView="0" workbookViewId="0" topLeftCell="A19">
      <selection activeCell="G31" sqref="G31"/>
    </sheetView>
  </sheetViews>
  <sheetFormatPr defaultColWidth="8.796875" defaultRowHeight="15.75"/>
  <cols>
    <col min="1" max="1" width="8.796875" style="71" customWidth="1"/>
    <col min="2" max="2" width="20.69921875" style="71" customWidth="1"/>
    <col min="3" max="3" width="9.69921875" style="71" customWidth="1"/>
    <col min="4" max="4" width="5.69921875" style="71" customWidth="1"/>
    <col min="5" max="5" width="15.69921875" style="71" customWidth="1"/>
    <col min="6" max="6" width="12.69921875" style="71" customWidth="1"/>
    <col min="7" max="7" width="10.69921875" style="71" customWidth="1"/>
    <col min="8" max="16384" width="8.796875" style="71" customWidth="1"/>
  </cols>
  <sheetData>
    <row r="1" spans="2:8" s="14" customFormat="1" ht="15.75">
      <c r="B1" s="371" t="s">
        <v>66</v>
      </c>
      <c r="C1" s="371"/>
      <c r="D1" s="371"/>
      <c r="E1" s="371"/>
      <c r="F1" s="371"/>
      <c r="G1" s="371"/>
      <c r="H1" s="14">
        <f>inputPrYr!D5</f>
        <v>2012</v>
      </c>
    </row>
    <row r="2" spans="3:7" s="14" customFormat="1" ht="15.75">
      <c r="C2" s="98"/>
      <c r="D2" s="98"/>
      <c r="E2" s="98"/>
      <c r="F2" s="98"/>
      <c r="G2" s="59"/>
    </row>
    <row r="3" spans="2:8" s="14" customFormat="1" ht="15.75">
      <c r="B3" s="380" t="str">
        <f>CONCATENATE("To the Clerk of ",inputPrYr!D3,", State of Kansas")</f>
        <v>To the Clerk of Hamilton County, State of Kansas</v>
      </c>
      <c r="C3" s="379"/>
      <c r="D3" s="379"/>
      <c r="E3" s="379"/>
      <c r="F3" s="379"/>
      <c r="G3" s="379"/>
      <c r="H3" s="379"/>
    </row>
    <row r="4" spans="2:7" s="14" customFormat="1" ht="15.75">
      <c r="B4" s="100" t="s">
        <v>136</v>
      </c>
      <c r="C4" s="98"/>
      <c r="D4" s="98"/>
      <c r="E4" s="98"/>
      <c r="F4" s="98"/>
      <c r="G4" s="98"/>
    </row>
    <row r="5" s="14" customFormat="1" ht="15.75">
      <c r="D5" s="323" t="str">
        <f>inputPrYr!D2</f>
        <v>Kendall Township</v>
      </c>
    </row>
    <row r="6" spans="2:7" s="14" customFormat="1" ht="15.75">
      <c r="B6" s="378" t="s">
        <v>134</v>
      </c>
      <c r="C6" s="379"/>
      <c r="D6" s="379"/>
      <c r="E6" s="379"/>
      <c r="F6" s="379"/>
      <c r="G6" s="379"/>
    </row>
    <row r="7" spans="2:7" s="14" customFormat="1" ht="15.75" customHeight="1">
      <c r="B7" s="380" t="s">
        <v>135</v>
      </c>
      <c r="C7" s="381"/>
      <c r="D7" s="381"/>
      <c r="E7" s="381"/>
      <c r="F7" s="381"/>
      <c r="G7" s="381"/>
    </row>
    <row r="8" spans="2:7" s="14" customFormat="1" ht="15.75" customHeight="1">
      <c r="B8" s="100" t="str">
        <f>CONCATENATE("maximum expenditures for the various funds for the year ",H1,"; and (3) the")</f>
        <v>maximum expenditures for the various funds for the year 2012; and (3) the</v>
      </c>
      <c r="C8" s="98"/>
      <c r="D8" s="98"/>
      <c r="E8" s="98"/>
      <c r="F8" s="98"/>
      <c r="G8" s="98"/>
    </row>
    <row r="9" spans="2:7" s="14" customFormat="1" ht="15.75" customHeight="1">
      <c r="B9" s="100" t="str">
        <f>CONCATENATE("Amount(s) of ",H1-1," Ad Valorem Tax are within statutory limitations for the ",H1," Budget.")</f>
        <v>Amount(s) of 2011 Ad Valorem Tax are within statutory limitations for the 2012 Budget.</v>
      </c>
      <c r="C9" s="98"/>
      <c r="D9" s="98"/>
      <c r="E9" s="98"/>
      <c r="F9" s="98"/>
      <c r="G9" s="98"/>
    </row>
    <row r="10" spans="5:7" s="14" customFormat="1" ht="15.75" customHeight="1">
      <c r="E10" s="63"/>
      <c r="F10" s="63"/>
      <c r="G10" s="63"/>
    </row>
    <row r="11" spans="4:7" s="14" customFormat="1" ht="15.75">
      <c r="D11" s="19"/>
      <c r="E11" s="375" t="str">
        <f>CONCATENATE("",H1," Adopted Budget")</f>
        <v>2012 Adopted Budget</v>
      </c>
      <c r="F11" s="376"/>
      <c r="G11" s="377"/>
    </row>
    <row r="12" spans="2:7" s="14" customFormat="1" ht="15.75">
      <c r="B12" s="22"/>
      <c r="D12" s="63"/>
      <c r="E12" s="213" t="s">
        <v>192</v>
      </c>
      <c r="F12" s="372" t="str">
        <f>CONCATENATE("Amount of ",H1-1," Ad Valorem Tax")</f>
        <v>Amount of 2011 Ad Valorem Tax</v>
      </c>
      <c r="G12" s="23" t="s">
        <v>193</v>
      </c>
    </row>
    <row r="13" spans="4:7" s="14" customFormat="1" ht="15.75">
      <c r="D13" s="23" t="s">
        <v>194</v>
      </c>
      <c r="E13" s="339" t="s">
        <v>170</v>
      </c>
      <c r="F13" s="373"/>
      <c r="G13" s="109" t="s">
        <v>195</v>
      </c>
    </row>
    <row r="14" spans="2:7" s="14" customFormat="1" ht="15.75">
      <c r="B14" s="66" t="s">
        <v>196</v>
      </c>
      <c r="C14" s="20"/>
      <c r="D14" s="26" t="s">
        <v>197</v>
      </c>
      <c r="E14" s="340" t="s">
        <v>239</v>
      </c>
      <c r="F14" s="374"/>
      <c r="G14" s="26" t="s">
        <v>199</v>
      </c>
    </row>
    <row r="15" spans="2:7" s="14" customFormat="1" ht="15.75">
      <c r="B15" s="27" t="str">
        <f>CONCATENATE("Computation to Determine Limit for ",H1,"")</f>
        <v>Computation to Determine Limit for 2012</v>
      </c>
      <c r="C15" s="28"/>
      <c r="D15" s="23">
        <v>2</v>
      </c>
      <c r="E15" s="19"/>
      <c r="F15" s="19"/>
      <c r="G15" s="214"/>
    </row>
    <row r="16" spans="2:7" s="14" customFormat="1" ht="15.75">
      <c r="B16" s="27" t="s">
        <v>168</v>
      </c>
      <c r="C16" s="28"/>
      <c r="D16" s="114">
        <v>3</v>
      </c>
      <c r="E16" s="19"/>
      <c r="F16" s="19"/>
      <c r="G16" s="215"/>
    </row>
    <row r="17" spans="2:7" s="14" customFormat="1" ht="15.75">
      <c r="B17" s="61" t="s">
        <v>155</v>
      </c>
      <c r="C17" s="28"/>
      <c r="D17" s="114">
        <v>4</v>
      </c>
      <c r="E17" s="19"/>
      <c r="F17" s="19"/>
      <c r="G17" s="215"/>
    </row>
    <row r="18" spans="2:7" s="14" customFormat="1" ht="15.75">
      <c r="B18" s="61" t="s">
        <v>127</v>
      </c>
      <c r="C18" s="28"/>
      <c r="D18" s="114">
        <v>5</v>
      </c>
      <c r="E18" s="19"/>
      <c r="F18" s="19"/>
      <c r="G18" s="215"/>
    </row>
    <row r="19" spans="2:7" s="14" customFormat="1" ht="15.75">
      <c r="B19" s="216" t="s">
        <v>200</v>
      </c>
      <c r="C19" s="99" t="s">
        <v>201</v>
      </c>
      <c r="D19" s="131"/>
      <c r="G19" s="217"/>
    </row>
    <row r="20" spans="2:7" s="14" customFormat="1" ht="15.75">
      <c r="B20" s="73" t="str">
        <f>inputPrYr!B16</f>
        <v>General</v>
      </c>
      <c r="C20" s="218" t="str">
        <f>inputPrYr!C16</f>
        <v>79-1962</v>
      </c>
      <c r="D20" s="219">
        <f>IF(gen!C61&gt;0,gen!C61,"  ")</f>
        <v>6</v>
      </c>
      <c r="E20" s="114">
        <f>IF(gen!$E$50&lt;&gt;0,gen!$E$50,"  ")</f>
        <v>13350</v>
      </c>
      <c r="F20" s="114">
        <f>IF(gen!$E$57&lt;&gt;0,gen!$E$57,0)</f>
        <v>12896.45</v>
      </c>
      <c r="G20" s="110" t="str">
        <f>IF(AND(gen!E57=0,$C$36&gt;=0)," ",IF(AND(F20&gt;0,$C$36=0)," ",IF(AND(F20&gt;0,$C$36&gt;0),ROUND(F20/$C$36*1000,3))))</f>
        <v> </v>
      </c>
    </row>
    <row r="21" spans="2:7" s="14" customFormat="1" ht="15.75">
      <c r="B21" s="73" t="str">
        <f>IF(inputPrYr!$B19&gt;"  ",inputPrYr!$B19,"  ")</f>
        <v>  </v>
      </c>
      <c r="C21" s="218" t="str">
        <f>IF(inputPrYr!C19&gt;0,inputPrYr!C19,"  ")</f>
        <v>  </v>
      </c>
      <c r="D21" s="219"/>
      <c r="E21" s="114"/>
      <c r="F21" s="114"/>
      <c r="G21" s="110"/>
    </row>
    <row r="22" spans="2:7" s="14" customFormat="1" ht="15.75">
      <c r="B22" s="73" t="str">
        <f>IF(inputPrYr!$B20&gt;"  ",inputPrYr!$B20,"  ")</f>
        <v>  </v>
      </c>
      <c r="C22" s="218" t="str">
        <f>IF(inputPrYr!C20&gt;0,inputPrYr!C20,"  ")</f>
        <v>  </v>
      </c>
      <c r="D22" s="219"/>
      <c r="E22" s="114"/>
      <c r="F22" s="114"/>
      <c r="G22" s="110"/>
    </row>
    <row r="23" spans="2:7" s="14" customFormat="1" ht="15.75">
      <c r="B23" s="73" t="str">
        <f>IF(inputPrYr!$B21&gt;"  ",inputPrYr!$B21,"  ")</f>
        <v>  </v>
      </c>
      <c r="C23" s="218" t="str">
        <f>IF(inputPrYr!C21&gt;0,inputPrYr!C21,"  ")</f>
        <v>  </v>
      </c>
      <c r="D23" s="219"/>
      <c r="E23" s="114"/>
      <c r="F23" s="114"/>
      <c r="G23" s="110"/>
    </row>
    <row r="24" spans="2:7" s="14" customFormat="1" ht="15.75">
      <c r="B24" s="73" t="str">
        <f>IF(inputPrYr!$B22&gt;"  ",inputPrYr!$B22,"  ")</f>
        <v>  </v>
      </c>
      <c r="C24" s="218" t="str">
        <f>IF(inputPrYr!C22&gt;0,inputPrYr!C22,"  ")</f>
        <v>  </v>
      </c>
      <c r="D24" s="219"/>
      <c r="E24" s="114"/>
      <c r="F24" s="114"/>
      <c r="G24" s="110"/>
    </row>
    <row r="25" spans="2:7" s="14" customFormat="1" ht="15.75">
      <c r="B25" s="73" t="str">
        <f>IF(inputPrYr!$B23&gt;"  ",inputPrYr!$B23,"  ")</f>
        <v>  </v>
      </c>
      <c r="C25" s="218" t="str">
        <f>IF(inputPrYr!C23&gt;0,inputPrYr!C23,"  ")</f>
        <v>  </v>
      </c>
      <c r="D25" s="219"/>
      <c r="E25" s="114"/>
      <c r="F25" s="114"/>
      <c r="G25" s="110"/>
    </row>
    <row r="26" spans="2:7" s="14" customFormat="1" ht="15.75">
      <c r="B26" s="73" t="str">
        <f>IF(inputPrYr!$B24&gt;"  ",inputPrYr!$B24,"  ")</f>
        <v>  </v>
      </c>
      <c r="C26" s="218" t="str">
        <f>IF(inputPrYr!C24&gt;0,inputPrYr!C24,"  ")</f>
        <v>  </v>
      </c>
      <c r="D26" s="219"/>
      <c r="E26" s="114"/>
      <c r="F26" s="114"/>
      <c r="G26" s="110"/>
    </row>
    <row r="27" spans="2:7" s="14" customFormat="1" ht="15.75">
      <c r="B27" s="220" t="str">
        <f>IF(inputPrYr!$B28&gt;"  ",inputPrYr!$B28,"  ")</f>
        <v>  </v>
      </c>
      <c r="C27" s="221"/>
      <c r="D27" s="222"/>
      <c r="E27" s="114"/>
      <c r="F27" s="114"/>
      <c r="G27" s="110"/>
    </row>
    <row r="28" spans="2:7" s="14" customFormat="1" ht="15.75">
      <c r="B28" s="223" t="str">
        <f>IF(inputPrYr!$B29&gt;"  ",inputPrYr!$B29,"  ")</f>
        <v>  </v>
      </c>
      <c r="C28" s="25"/>
      <c r="D28" s="222"/>
      <c r="E28" s="114"/>
      <c r="F28" s="114"/>
      <c r="G28" s="110"/>
    </row>
    <row r="29" spans="2:7" s="14" customFormat="1" ht="15.75">
      <c r="B29" s="220" t="str">
        <f>IF((inputPrYr!$B33&gt;"  "),(#REF!),"  ")</f>
        <v>  </v>
      </c>
      <c r="C29" s="25"/>
      <c r="D29" s="222"/>
      <c r="E29" s="114"/>
      <c r="F29" s="114"/>
      <c r="G29" s="110"/>
    </row>
    <row r="30" spans="2:7" s="14" customFormat="1" ht="15.75">
      <c r="B30" s="27" t="s">
        <v>202</v>
      </c>
      <c r="C30" s="221"/>
      <c r="D30" s="222"/>
      <c r="E30" s="131"/>
      <c r="F30" s="131"/>
      <c r="G30" s="110"/>
    </row>
    <row r="31" spans="2:7" s="14" customFormat="1" ht="16.5" thickBot="1">
      <c r="B31" s="224" t="s">
        <v>203</v>
      </c>
      <c r="C31" s="225"/>
      <c r="D31" s="112" t="s">
        <v>204</v>
      </c>
      <c r="E31" s="226">
        <f>SUM(E20:E26)</f>
        <v>13350</v>
      </c>
      <c r="F31" s="226">
        <f>SUM(F20:F26)</f>
        <v>12896.45</v>
      </c>
      <c r="G31" s="227">
        <f>IF(SUM(G20:G26)&gt;0,SUM(G20:G26),"")</f>
      </c>
    </row>
    <row r="32" spans="2:4" s="14" customFormat="1" ht="16.5" thickTop="1">
      <c r="B32" s="27" t="s">
        <v>154</v>
      </c>
      <c r="C32" s="217"/>
      <c r="D32" s="222">
        <f>summ!D36</f>
        <v>7</v>
      </c>
    </row>
    <row r="33" spans="2:6" s="14" customFormat="1" ht="15.75">
      <c r="B33" s="27" t="s">
        <v>176</v>
      </c>
      <c r="C33" s="28"/>
      <c r="D33" s="222">
        <f>IF(nhood!C37&gt;0,nhood!C37,"")</f>
      </c>
      <c r="E33" s="228" t="s">
        <v>141</v>
      </c>
      <c r="F33" s="229" t="str">
        <f>IF(F31&gt;computation!J34,"Yes","No")</f>
        <v>Yes</v>
      </c>
    </row>
    <row r="34" spans="2:6" s="14" customFormat="1" ht="15.75">
      <c r="B34" s="27" t="s">
        <v>140</v>
      </c>
      <c r="C34" s="28"/>
      <c r="D34" s="222">
        <f>IF(Resolution!D50&gt;0,Resolution!D50,"")</f>
      </c>
      <c r="E34" s="230"/>
      <c r="F34" s="231"/>
    </row>
    <row r="35" spans="2:7" s="14" customFormat="1" ht="15.75">
      <c r="B35" s="61" t="s">
        <v>94</v>
      </c>
      <c r="C35" s="382" t="s">
        <v>115</v>
      </c>
      <c r="D35" s="383"/>
      <c r="E35" s="232"/>
      <c r="G35" s="22" t="s">
        <v>205</v>
      </c>
    </row>
    <row r="36" spans="2:7" s="14" customFormat="1" ht="15.75">
      <c r="B36" s="27" t="s">
        <v>95</v>
      </c>
      <c r="C36" s="384"/>
      <c r="D36" s="385"/>
      <c r="E36" s="233"/>
      <c r="G36" s="22"/>
    </row>
    <row r="37" spans="2:7" s="14" customFormat="1" ht="15.75">
      <c r="B37" s="234"/>
      <c r="C37" s="386" t="str">
        <f>CONCATENATE("Nov. 1, ",H1-1," Valuation")</f>
        <v>Nov. 1, 2011 Valuation</v>
      </c>
      <c r="D37" s="387"/>
      <c r="E37" s="232"/>
      <c r="G37" s="22"/>
    </row>
    <row r="38" spans="2:7" s="14" customFormat="1" ht="15.75">
      <c r="B38" s="234" t="s">
        <v>206</v>
      </c>
      <c r="E38" s="19"/>
      <c r="G38" s="22"/>
    </row>
    <row r="39" spans="2:7" s="14" customFormat="1" ht="15.75">
      <c r="B39" s="235" t="s">
        <v>246</v>
      </c>
      <c r="C39" s="235"/>
      <c r="E39" s="232"/>
      <c r="F39" s="19"/>
      <c r="G39" s="19"/>
    </row>
    <row r="40" spans="2:3" s="14" customFormat="1" ht="15.75">
      <c r="B40" s="236"/>
      <c r="C40" s="236"/>
    </row>
    <row r="41" spans="2:7" s="14" customFormat="1" ht="15.75">
      <c r="B41" s="234" t="s">
        <v>129</v>
      </c>
      <c r="E41" s="20"/>
      <c r="F41" s="20"/>
      <c r="G41" s="20"/>
    </row>
    <row r="42" spans="2:4" s="14" customFormat="1" ht="15.75">
      <c r="B42" s="235" t="s">
        <v>247</v>
      </c>
      <c r="C42" s="235"/>
      <c r="D42" s="22"/>
    </row>
    <row r="43" spans="2:7" s="14" customFormat="1" ht="15.75">
      <c r="B43" s="236" t="s">
        <v>248</v>
      </c>
      <c r="C43" s="236"/>
      <c r="D43" s="22"/>
      <c r="E43" s="66"/>
      <c r="F43" s="116"/>
      <c r="G43" s="116"/>
    </row>
    <row r="44" spans="2:8" ht="15.75">
      <c r="B44" s="236"/>
      <c r="C44" s="236"/>
      <c r="D44" s="22"/>
      <c r="E44" s="22"/>
      <c r="F44" s="14"/>
      <c r="G44" s="14"/>
      <c r="H44" s="75"/>
    </row>
    <row r="45" spans="2:8" ht="15.75">
      <c r="B45" s="63"/>
      <c r="C45" s="63"/>
      <c r="D45" s="22"/>
      <c r="E45" s="66"/>
      <c r="F45" s="116"/>
      <c r="G45" s="116"/>
      <c r="H45" s="75"/>
    </row>
    <row r="46" spans="2:8" ht="15.75">
      <c r="B46" s="63"/>
      <c r="C46" s="14"/>
      <c r="D46" s="22"/>
      <c r="E46" s="22"/>
      <c r="F46" s="14"/>
      <c r="G46" s="14"/>
      <c r="H46" s="75"/>
    </row>
    <row r="47" spans="2:8" ht="15.75">
      <c r="B47" s="348" t="s">
        <v>133</v>
      </c>
      <c r="C47" s="239">
        <f>H1-1</f>
        <v>2011</v>
      </c>
      <c r="D47" s="22"/>
      <c r="E47" s="66"/>
      <c r="F47" s="116"/>
      <c r="G47" s="116"/>
      <c r="H47" s="75"/>
    </row>
    <row r="48" spans="2:8" ht="15.75">
      <c r="B48" s="14"/>
      <c r="C48" s="14"/>
      <c r="D48" s="14"/>
      <c r="E48" s="14"/>
      <c r="F48" s="22"/>
      <c r="G48" s="14"/>
      <c r="H48" s="75"/>
    </row>
    <row r="49" spans="2:8" ht="15.75">
      <c r="B49" s="338"/>
      <c r="C49" s="14"/>
      <c r="D49" s="14"/>
      <c r="E49" s="20"/>
      <c r="F49" s="20"/>
      <c r="G49" s="20"/>
      <c r="H49" s="75"/>
    </row>
    <row r="50" spans="2:7" ht="15.75">
      <c r="B50" s="47" t="s">
        <v>208</v>
      </c>
      <c r="C50" s="14"/>
      <c r="D50" s="14"/>
      <c r="E50" s="369" t="s">
        <v>207</v>
      </c>
      <c r="F50" s="370"/>
      <c r="G50" s="370"/>
    </row>
    <row r="51" spans="2:7" ht="15.75">
      <c r="B51" s="14"/>
      <c r="C51" s="14"/>
      <c r="D51" s="14"/>
      <c r="E51" s="14"/>
      <c r="F51" s="14"/>
      <c r="G51" s="14"/>
    </row>
    <row r="52" spans="2:7" ht="15.75">
      <c r="B52" s="14"/>
      <c r="C52" s="14"/>
      <c r="D52" s="14"/>
      <c r="E52" s="14"/>
      <c r="F52" s="14"/>
      <c r="G52" s="14"/>
    </row>
    <row r="53" spans="2:7" ht="15.75">
      <c r="B53" s="14"/>
      <c r="C53" s="14"/>
      <c r="D53" s="14"/>
      <c r="E53" s="14"/>
      <c r="F53" s="14"/>
      <c r="G53" s="14"/>
    </row>
    <row r="54" spans="2:7" ht="15.75">
      <c r="B54" s="238" t="s">
        <v>0</v>
      </c>
      <c r="C54" s="237"/>
      <c r="D54" s="237"/>
      <c r="E54" s="237"/>
      <c r="F54" s="324"/>
      <c r="G54" s="14"/>
    </row>
    <row r="55" spans="2:7" ht="15.75">
      <c r="B55" s="238" t="s">
        <v>1</v>
      </c>
      <c r="C55" s="237"/>
      <c r="D55" s="237"/>
      <c r="E55" s="237"/>
      <c r="F55" s="324"/>
      <c r="G55" s="14"/>
    </row>
    <row r="56" spans="2:7" ht="15.75">
      <c r="B56" s="238"/>
      <c r="C56" s="237"/>
      <c r="D56" s="237"/>
      <c r="E56" s="237"/>
      <c r="F56" s="324"/>
      <c r="G56" s="14"/>
    </row>
    <row r="57" spans="2:7" ht="15.75">
      <c r="B57" s="14"/>
      <c r="C57" s="14"/>
      <c r="D57" s="14"/>
      <c r="E57" s="14"/>
      <c r="F57" s="14"/>
      <c r="G57" s="14"/>
    </row>
    <row r="58" spans="2:7" ht="15.75">
      <c r="B58" s="351"/>
      <c r="C58" s="352"/>
      <c r="D58" s="352"/>
      <c r="E58" s="352"/>
      <c r="F58" s="352"/>
      <c r="G58" s="352"/>
    </row>
    <row r="59" spans="2:7" ht="15.75">
      <c r="B59" s="351"/>
      <c r="C59" s="352"/>
      <c r="D59" s="352"/>
      <c r="E59" s="352"/>
      <c r="F59" s="352"/>
      <c r="G59" s="352"/>
    </row>
    <row r="60" spans="2:7" ht="15.75">
      <c r="B60" s="351"/>
      <c r="C60" s="352"/>
      <c r="D60" s="352"/>
      <c r="E60" s="353"/>
      <c r="F60" s="354"/>
      <c r="G60" s="352"/>
    </row>
  </sheetData>
  <sheetProtection/>
  <mergeCells count="10">
    <mergeCell ref="E50:G50"/>
    <mergeCell ref="B1:G1"/>
    <mergeCell ref="F12:F14"/>
    <mergeCell ref="E11:G11"/>
    <mergeCell ref="B6:G6"/>
    <mergeCell ref="B7:G7"/>
    <mergeCell ref="B3:H3"/>
    <mergeCell ref="C35:D35"/>
    <mergeCell ref="C36:D36"/>
    <mergeCell ref="C37:D37"/>
  </mergeCells>
  <conditionalFormatting sqref="F20">
    <cfRule type="cellIs" priority="1" dxfId="19" operator="equal" stopIfTrue="1">
      <formula>0</formula>
    </cfRule>
  </conditionalFormatting>
  <printOptions/>
  <pageMargins left="0.4" right="0.4" top="0.83" bottom="0.85" header="0.3" footer="0.6"/>
  <pageSetup blackAndWhite="1" fitToHeight="1" fitToWidth="1" horizontalDpi="600" verticalDpi="600" orientation="portrait" scale="82" r:id="rId1"/>
  <headerFooter alignWithMargins="0">
    <oddHeader>&amp;RState of Kansas
Township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L34" sqref="L34"/>
    </sheetView>
  </sheetViews>
  <sheetFormatPr defaultColWidth="8.796875" defaultRowHeight="15.75"/>
  <cols>
    <col min="1" max="2" width="3" style="71" customWidth="1"/>
    <col min="3" max="3" width="28.19921875" style="71" customWidth="1"/>
    <col min="4" max="4" width="2.09765625" style="71" customWidth="1"/>
    <col min="5" max="5" width="15.69921875" style="71" customWidth="1"/>
    <col min="6" max="6" width="1.796875" style="71" customWidth="1"/>
    <col min="7" max="7" width="15.69921875" style="71" customWidth="1"/>
    <col min="8" max="8" width="1.69921875" style="71" customWidth="1"/>
    <col min="9" max="9" width="1.59765625" style="71" customWidth="1"/>
    <col min="10" max="10" width="15.69921875" style="71" customWidth="1"/>
    <col min="11" max="16384" width="8.796875" style="71" customWidth="1"/>
  </cols>
  <sheetData>
    <row r="1" spans="1:10" ht="15.75">
      <c r="A1" s="14"/>
      <c r="B1" s="14"/>
      <c r="C1" s="13" t="str">
        <f>inputPrYr!D2</f>
        <v>Kendall Township</v>
      </c>
      <c r="D1" s="14"/>
      <c r="E1" s="14"/>
      <c r="F1" s="14"/>
      <c r="G1" s="14"/>
      <c r="H1" s="14"/>
      <c r="I1" s="14"/>
      <c r="J1" s="14">
        <f>inputPrYr!D5</f>
        <v>2012</v>
      </c>
    </row>
    <row r="2" spans="1:10" ht="15.75">
      <c r="A2" s="14"/>
      <c r="B2" s="14"/>
      <c r="C2" s="14"/>
      <c r="D2" s="14"/>
      <c r="E2" s="14"/>
      <c r="F2" s="14"/>
      <c r="G2" s="14"/>
      <c r="H2" s="14"/>
      <c r="I2" s="14"/>
      <c r="J2" s="14"/>
    </row>
    <row r="3" spans="1:10" ht="15.75">
      <c r="A3" s="389" t="str">
        <f>CONCATENATE("Computation to Determine Limit for ",J1,"")</f>
        <v>Computation to Determine Limit for 2012</v>
      </c>
      <c r="B3" s="371"/>
      <c r="C3" s="371"/>
      <c r="D3" s="371"/>
      <c r="E3" s="371"/>
      <c r="F3" s="371"/>
      <c r="G3" s="371"/>
      <c r="H3" s="371"/>
      <c r="I3" s="371"/>
      <c r="J3" s="371"/>
    </row>
    <row r="4" spans="1:10" ht="15.75">
      <c r="A4" s="14"/>
      <c r="B4" s="14"/>
      <c r="C4" s="14"/>
      <c r="D4" s="14"/>
      <c r="E4" s="371"/>
      <c r="F4" s="371"/>
      <c r="G4" s="371"/>
      <c r="H4" s="78"/>
      <c r="I4" s="14"/>
      <c r="J4" s="202" t="s">
        <v>76</v>
      </c>
    </row>
    <row r="5" spans="1:10" ht="15.75">
      <c r="A5" s="203" t="s">
        <v>77</v>
      </c>
      <c r="B5" s="14" t="str">
        <f>CONCATENATE("Total Tax Levy Amount in ",J1-1,"")</f>
        <v>Total Tax Levy Amount in 2011</v>
      </c>
      <c r="C5" s="14"/>
      <c r="D5" s="14"/>
      <c r="E5" s="52"/>
      <c r="F5" s="52"/>
      <c r="G5" s="52"/>
      <c r="H5" s="204" t="s">
        <v>14</v>
      </c>
      <c r="I5" s="52" t="s">
        <v>2</v>
      </c>
      <c r="J5" s="205">
        <f>inputPrYr!E25</f>
        <v>8709</v>
      </c>
    </row>
    <row r="6" spans="1:10" ht="15.75">
      <c r="A6" s="203" t="s">
        <v>78</v>
      </c>
      <c r="B6" s="14" t="str">
        <f>CONCATENATE("Debt Service Levy in ",J1-1,"")</f>
        <v>Debt Service Levy in 2011</v>
      </c>
      <c r="C6" s="14"/>
      <c r="D6" s="14"/>
      <c r="E6" s="52"/>
      <c r="F6" s="52"/>
      <c r="G6" s="52"/>
      <c r="H6" s="204" t="s">
        <v>79</v>
      </c>
      <c r="I6" s="52" t="s">
        <v>2</v>
      </c>
      <c r="J6" s="206">
        <f>inputPrYr!E17</f>
        <v>0</v>
      </c>
    </row>
    <row r="7" spans="1:10" ht="15.75">
      <c r="A7" s="203" t="s">
        <v>80</v>
      </c>
      <c r="B7" s="17" t="s">
        <v>98</v>
      </c>
      <c r="C7" s="14"/>
      <c r="D7" s="14"/>
      <c r="E7" s="52"/>
      <c r="F7" s="52"/>
      <c r="G7" s="52"/>
      <c r="H7" s="52"/>
      <c r="I7" s="52" t="s">
        <v>2</v>
      </c>
      <c r="J7" s="207">
        <f>J5-J6</f>
        <v>8709</v>
      </c>
    </row>
    <row r="8" spans="1:10" ht="15.75">
      <c r="A8" s="14"/>
      <c r="B8" s="14"/>
      <c r="C8" s="14"/>
      <c r="D8" s="14"/>
      <c r="E8" s="52"/>
      <c r="F8" s="52"/>
      <c r="G8" s="52"/>
      <c r="H8" s="52"/>
      <c r="I8" s="52"/>
      <c r="J8" s="52"/>
    </row>
    <row r="9" spans="1:10" ht="15.75">
      <c r="A9" s="14"/>
      <c r="B9" s="17" t="str">
        <f>CONCATENATE("",J1-1," Valuation Information for Valuation Adjustments:")</f>
        <v>2011 Valuation Information for Valuation Adjustments:</v>
      </c>
      <c r="C9" s="14"/>
      <c r="D9" s="14"/>
      <c r="E9" s="52"/>
      <c r="F9" s="52"/>
      <c r="G9" s="52"/>
      <c r="H9" s="52"/>
      <c r="I9" s="52"/>
      <c r="J9" s="52"/>
    </row>
    <row r="10" spans="1:10" ht="15.75">
      <c r="A10" s="14"/>
      <c r="B10" s="14"/>
      <c r="C10" s="17"/>
      <c r="D10" s="14"/>
      <c r="E10" s="52"/>
      <c r="F10" s="52"/>
      <c r="G10" s="52"/>
      <c r="H10" s="52"/>
      <c r="I10" s="52"/>
      <c r="J10" s="52"/>
    </row>
    <row r="11" spans="1:10" ht="15.75">
      <c r="A11" s="203" t="s">
        <v>81</v>
      </c>
      <c r="B11" s="17" t="str">
        <f>CONCATENATE("New Improvements for ",J1-1,":")</f>
        <v>New Improvements for 2011:</v>
      </c>
      <c r="C11" s="14"/>
      <c r="D11" s="14"/>
      <c r="E11" s="204"/>
      <c r="F11" s="204" t="s">
        <v>14</v>
      </c>
      <c r="G11" s="205">
        <f>inputOth!E8</f>
        <v>4930</v>
      </c>
      <c r="H11" s="50"/>
      <c r="I11" s="52"/>
      <c r="J11" s="52"/>
    </row>
    <row r="12" spans="1:10" ht="15.75">
      <c r="A12" s="203"/>
      <c r="B12" s="203"/>
      <c r="C12" s="14"/>
      <c r="D12" s="14"/>
      <c r="E12" s="204"/>
      <c r="F12" s="204"/>
      <c r="G12" s="50"/>
      <c r="H12" s="50"/>
      <c r="I12" s="52"/>
      <c r="J12" s="52"/>
    </row>
    <row r="13" spans="1:10" ht="15.75">
      <c r="A13" s="203" t="s">
        <v>82</v>
      </c>
      <c r="B13" s="17" t="str">
        <f>CONCATENATE("Increase in Personal Property for ",J1-1,":")</f>
        <v>Increase in Personal Property for 2011:</v>
      </c>
      <c r="C13" s="14"/>
      <c r="D13" s="14"/>
      <c r="E13" s="204"/>
      <c r="F13" s="204"/>
      <c r="G13" s="50"/>
      <c r="H13" s="50"/>
      <c r="I13" s="52"/>
      <c r="J13" s="52"/>
    </row>
    <row r="14" spans="1:10" ht="15.75">
      <c r="A14" s="14"/>
      <c r="B14" s="14" t="s">
        <v>83</v>
      </c>
      <c r="C14" s="14" t="str">
        <f>CONCATENATE("Personal Property ",J1-1,"")</f>
        <v>Personal Property 2011</v>
      </c>
      <c r="D14" s="203" t="s">
        <v>14</v>
      </c>
      <c r="E14" s="205">
        <f>inputOth!E9</f>
        <v>48346</v>
      </c>
      <c r="F14" s="204"/>
      <c r="G14" s="52"/>
      <c r="H14" s="52"/>
      <c r="I14" s="50"/>
      <c r="J14" s="52"/>
    </row>
    <row r="15" spans="1:10" ht="15.75">
      <c r="A15" s="203"/>
      <c r="B15" s="14" t="s">
        <v>84</v>
      </c>
      <c r="C15" s="14" t="str">
        <f>CONCATENATE("Personal Property ",J1-2,"")</f>
        <v>Personal Property 2010</v>
      </c>
      <c r="D15" s="203" t="s">
        <v>79</v>
      </c>
      <c r="E15" s="207">
        <f>inputOth!E11</f>
        <v>39945</v>
      </c>
      <c r="F15" s="204"/>
      <c r="G15" s="50"/>
      <c r="H15" s="50"/>
      <c r="I15" s="52"/>
      <c r="J15" s="52"/>
    </row>
    <row r="16" spans="1:10" ht="15.75">
      <c r="A16" s="203"/>
      <c r="B16" s="14" t="s">
        <v>85</v>
      </c>
      <c r="C16" s="14" t="s">
        <v>99</v>
      </c>
      <c r="D16" s="14"/>
      <c r="E16" s="52"/>
      <c r="F16" s="52" t="s">
        <v>14</v>
      </c>
      <c r="G16" s="205">
        <f>IF(E14&gt;E15,E14-E15,0)</f>
        <v>8401</v>
      </c>
      <c r="H16" s="50"/>
      <c r="I16" s="52"/>
      <c r="J16" s="52"/>
    </row>
    <row r="17" spans="1:10" ht="15.75">
      <c r="A17" s="203"/>
      <c r="B17" s="203"/>
      <c r="C17" s="14"/>
      <c r="D17" s="14"/>
      <c r="E17" s="52"/>
      <c r="F17" s="52"/>
      <c r="G17" s="50" t="s">
        <v>93</v>
      </c>
      <c r="H17" s="50"/>
      <c r="I17" s="52"/>
      <c r="J17" s="52"/>
    </row>
    <row r="18" spans="1:10" ht="15.75">
      <c r="A18" s="203" t="s">
        <v>86</v>
      </c>
      <c r="B18" s="17" t="str">
        <f>CONCATENATE("Valuation of Property that Changed in Use during ",J1-1,":")</f>
        <v>Valuation of Property that Changed in Use during 2011:</v>
      </c>
      <c r="C18" s="14"/>
      <c r="D18" s="14"/>
      <c r="E18" s="52"/>
      <c r="F18" s="204" t="s">
        <v>14</v>
      </c>
      <c r="G18" s="205">
        <f>inputOth!E10</f>
        <v>0</v>
      </c>
      <c r="H18" s="52"/>
      <c r="I18" s="52"/>
      <c r="J18" s="52"/>
    </row>
    <row r="19" spans="1:10" ht="15.75">
      <c r="A19" s="14" t="s">
        <v>192</v>
      </c>
      <c r="B19" s="14"/>
      <c r="C19" s="14"/>
      <c r="D19" s="203"/>
      <c r="E19" s="50"/>
      <c r="F19" s="50"/>
      <c r="G19" s="50"/>
      <c r="H19" s="52"/>
      <c r="I19" s="52"/>
      <c r="J19" s="52"/>
    </row>
    <row r="20" spans="1:10" ht="15.75">
      <c r="A20" s="203" t="s">
        <v>87</v>
      </c>
      <c r="B20" s="17" t="s">
        <v>100</v>
      </c>
      <c r="C20" s="14"/>
      <c r="D20" s="14"/>
      <c r="E20" s="52"/>
      <c r="F20" s="52"/>
      <c r="G20" s="205">
        <f>G11+G16+G18</f>
        <v>13331</v>
      </c>
      <c r="H20" s="50"/>
      <c r="I20" s="52"/>
      <c r="J20" s="52"/>
    </row>
    <row r="21" spans="1:10" ht="15.75">
      <c r="A21" s="203"/>
      <c r="B21" s="203"/>
      <c r="C21" s="17"/>
      <c r="D21" s="14"/>
      <c r="E21" s="52"/>
      <c r="F21" s="52"/>
      <c r="G21" s="50"/>
      <c r="H21" s="50"/>
      <c r="I21" s="52"/>
      <c r="J21" s="52"/>
    </row>
    <row r="22" spans="1:10" ht="15.75">
      <c r="A22" s="203" t="s">
        <v>88</v>
      </c>
      <c r="B22" s="14" t="str">
        <f>CONCATENATE("Total Estimated Valuation July 1,",J1-1,"")</f>
        <v>Total Estimated Valuation July 1,2011</v>
      </c>
      <c r="C22" s="14"/>
      <c r="D22" s="14"/>
      <c r="E22" s="205">
        <f>inputOth!E7</f>
        <v>2413392</v>
      </c>
      <c r="F22" s="52"/>
      <c r="G22" s="52"/>
      <c r="H22" s="52"/>
      <c r="I22" s="204"/>
      <c r="J22" s="52"/>
    </row>
    <row r="23" spans="1:10" ht="15.75">
      <c r="A23" s="203"/>
      <c r="B23" s="203"/>
      <c r="C23" s="14"/>
      <c r="D23" s="14"/>
      <c r="E23" s="50"/>
      <c r="F23" s="52"/>
      <c r="G23" s="52"/>
      <c r="H23" s="52"/>
      <c r="I23" s="204"/>
      <c r="J23" s="52"/>
    </row>
    <row r="24" spans="1:10" ht="15.75">
      <c r="A24" s="203" t="s">
        <v>89</v>
      </c>
      <c r="B24" s="17" t="s">
        <v>101</v>
      </c>
      <c r="C24" s="14"/>
      <c r="D24" s="14"/>
      <c r="E24" s="52"/>
      <c r="F24" s="52"/>
      <c r="G24" s="205">
        <f>E22-G20</f>
        <v>2400061</v>
      </c>
      <c r="H24" s="50"/>
      <c r="I24" s="204"/>
      <c r="J24" s="52"/>
    </row>
    <row r="25" spans="1:10" ht="15.75">
      <c r="A25" s="203"/>
      <c r="B25" s="203"/>
      <c r="C25" s="17"/>
      <c r="D25" s="14"/>
      <c r="E25" s="14"/>
      <c r="F25" s="14"/>
      <c r="G25" s="208"/>
      <c r="H25" s="19"/>
      <c r="I25" s="203"/>
      <c r="J25" s="14"/>
    </row>
    <row r="26" spans="1:10" ht="15.75">
      <c r="A26" s="203" t="s">
        <v>90</v>
      </c>
      <c r="B26" s="14" t="s">
        <v>102</v>
      </c>
      <c r="C26" s="14"/>
      <c r="D26" s="14"/>
      <c r="E26" s="14"/>
      <c r="F26" s="14"/>
      <c r="G26" s="209">
        <f>IF(G20&gt;0,G20/G24,0)</f>
        <v>0.005554442157928486</v>
      </c>
      <c r="H26" s="19"/>
      <c r="I26" s="14"/>
      <c r="J26" s="14"/>
    </row>
    <row r="27" spans="1:10" ht="15.75">
      <c r="A27" s="203"/>
      <c r="B27" s="203"/>
      <c r="C27" s="14"/>
      <c r="D27" s="14"/>
      <c r="E27" s="14"/>
      <c r="F27" s="14"/>
      <c r="G27" s="19"/>
      <c r="H27" s="19"/>
      <c r="I27" s="14"/>
      <c r="J27" s="14"/>
    </row>
    <row r="28" spans="1:10" ht="15.75">
      <c r="A28" s="203" t="s">
        <v>91</v>
      </c>
      <c r="B28" s="14" t="s">
        <v>103</v>
      </c>
      <c r="C28" s="14"/>
      <c r="D28" s="14"/>
      <c r="E28" s="14"/>
      <c r="F28" s="14"/>
      <c r="G28" s="19"/>
      <c r="H28" s="210" t="s">
        <v>14</v>
      </c>
      <c r="I28" s="14" t="s">
        <v>2</v>
      </c>
      <c r="J28" s="205">
        <f>ROUND(G26*J7,0)</f>
        <v>48</v>
      </c>
    </row>
    <row r="29" spans="1:10" ht="15.75">
      <c r="A29" s="203"/>
      <c r="B29" s="203"/>
      <c r="C29" s="14"/>
      <c r="D29" s="14"/>
      <c r="E29" s="14"/>
      <c r="F29" s="14"/>
      <c r="G29" s="19"/>
      <c r="H29" s="210"/>
      <c r="I29" s="14"/>
      <c r="J29" s="50"/>
    </row>
    <row r="30" spans="1:10" ht="16.5" thickBot="1">
      <c r="A30" s="203" t="s">
        <v>92</v>
      </c>
      <c r="B30" s="17" t="s">
        <v>107</v>
      </c>
      <c r="C30" s="14"/>
      <c r="D30" s="14"/>
      <c r="E30" s="14"/>
      <c r="F30" s="14"/>
      <c r="G30" s="14"/>
      <c r="H30" s="14"/>
      <c r="I30" s="14" t="s">
        <v>2</v>
      </c>
      <c r="J30" s="211">
        <f>J7+J28</f>
        <v>8757</v>
      </c>
    </row>
    <row r="31" spans="1:10" ht="16.5" thickTop="1">
      <c r="A31" s="14"/>
      <c r="B31" s="14"/>
      <c r="C31" s="14"/>
      <c r="D31" s="14"/>
      <c r="E31" s="14"/>
      <c r="F31" s="14"/>
      <c r="G31" s="14"/>
      <c r="H31" s="14"/>
      <c r="I31" s="14"/>
      <c r="J31" s="14"/>
    </row>
    <row r="32" spans="1:10" ht="15.75">
      <c r="A32" s="203" t="s">
        <v>105</v>
      </c>
      <c r="B32" s="17" t="str">
        <f>CONCATENATE("Debt Service Levy in this ",J1,"")</f>
        <v>Debt Service Levy in this 2012</v>
      </c>
      <c r="C32" s="14"/>
      <c r="D32" s="14"/>
      <c r="E32" s="14"/>
      <c r="F32" s="14"/>
      <c r="G32" s="14"/>
      <c r="H32" s="14"/>
      <c r="I32" s="14"/>
      <c r="J32" s="355">
        <v>0</v>
      </c>
    </row>
    <row r="33" spans="1:10" ht="15.75">
      <c r="A33" s="203"/>
      <c r="B33" s="17"/>
      <c r="C33" s="14"/>
      <c r="D33" s="14"/>
      <c r="E33" s="14"/>
      <c r="F33" s="14"/>
      <c r="G33" s="14"/>
      <c r="H33" s="14"/>
      <c r="I33" s="14"/>
      <c r="J33" s="19"/>
    </row>
    <row r="34" spans="1:10" ht="16.5" thickBot="1">
      <c r="A34" s="203" t="s">
        <v>106</v>
      </c>
      <c r="B34" s="17" t="s">
        <v>108</v>
      </c>
      <c r="C34" s="14"/>
      <c r="D34" s="14"/>
      <c r="E34" s="14"/>
      <c r="F34" s="14"/>
      <c r="G34" s="14"/>
      <c r="H34" s="14"/>
      <c r="I34" s="14"/>
      <c r="J34" s="211">
        <f>J30+J32</f>
        <v>8757</v>
      </c>
    </row>
    <row r="35" spans="1:10" ht="16.5" thickTop="1">
      <c r="A35" s="14"/>
      <c r="B35" s="14"/>
      <c r="C35" s="14"/>
      <c r="D35" s="14"/>
      <c r="E35" s="14"/>
      <c r="F35" s="14"/>
      <c r="G35" s="14"/>
      <c r="H35" s="14"/>
      <c r="I35" s="14"/>
      <c r="J35" s="14"/>
    </row>
    <row r="36" spans="1:10" s="212" customFormat="1" ht="18.75">
      <c r="A36" s="388" t="str">
        <f>CONCATENATE("If the ",J1," budget includes tax levies exceeding the total on line 14, you must")</f>
        <v>If the 2012 budget includes tax levies exceeding the total on line 14, you must</v>
      </c>
      <c r="B36" s="388"/>
      <c r="C36" s="388"/>
      <c r="D36" s="388"/>
      <c r="E36" s="388"/>
      <c r="F36" s="388"/>
      <c r="G36" s="388"/>
      <c r="H36" s="388"/>
      <c r="I36" s="388"/>
      <c r="J36" s="388"/>
    </row>
    <row r="37" spans="1:10" s="212" customFormat="1" ht="18.75">
      <c r="A37" s="388" t="s">
        <v>104</v>
      </c>
      <c r="B37" s="388"/>
      <c r="C37" s="388"/>
      <c r="D37" s="388"/>
      <c r="E37" s="388"/>
      <c r="F37" s="388"/>
      <c r="G37" s="388"/>
      <c r="H37" s="388"/>
      <c r="I37" s="388"/>
      <c r="J37" s="38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N19" sqref="N19"/>
    </sheetView>
  </sheetViews>
  <sheetFormatPr defaultColWidth="8.796875" defaultRowHeight="15.75"/>
  <cols>
    <col min="1" max="1" width="20.69921875" style="75" customWidth="1"/>
    <col min="2" max="2" width="17.796875" style="71" customWidth="1"/>
    <col min="3" max="3" width="8.69921875" style="71" hidden="1" customWidth="1"/>
    <col min="4" max="4" width="13.69921875" style="71" customWidth="1"/>
    <col min="5" max="5" width="0.203125" style="71" customWidth="1"/>
    <col min="6" max="6" width="0.1015625" style="71" hidden="1" customWidth="1"/>
    <col min="7" max="7" width="13.69921875" style="71" customWidth="1"/>
    <col min="8" max="8" width="12.3984375" style="71" hidden="1" customWidth="1"/>
    <col min="9" max="11" width="13.69921875" style="71" customWidth="1"/>
    <col min="12" max="12" width="0.203125" style="71" customWidth="1"/>
    <col min="13" max="16384" width="8.796875" style="71" customWidth="1"/>
  </cols>
  <sheetData>
    <row r="1" spans="2:12" ht="15.75">
      <c r="B1" s="13" t="str">
        <f>inputPrYr!D2</f>
        <v>Kendall Township</v>
      </c>
      <c r="C1" s="14"/>
      <c r="D1" s="14"/>
      <c r="E1" s="14"/>
      <c r="F1" s="14"/>
      <c r="G1" s="14"/>
      <c r="H1" s="14"/>
      <c r="I1" s="14"/>
      <c r="J1" s="15">
        <f>inputPrYr!D5</f>
        <v>2012</v>
      </c>
      <c r="K1" s="15"/>
      <c r="L1" s="75"/>
    </row>
    <row r="2" spans="2:12" ht="15.75">
      <c r="B2" s="13"/>
      <c r="C2" s="14"/>
      <c r="D2" s="14"/>
      <c r="E2" s="14"/>
      <c r="F2" s="14"/>
      <c r="G2" s="14"/>
      <c r="H2" s="14"/>
      <c r="I2" s="14"/>
      <c r="J2" s="49"/>
      <c r="K2" s="49"/>
      <c r="L2" s="75"/>
    </row>
    <row r="3" spans="2:12" ht="15.75">
      <c r="B3" s="13"/>
      <c r="C3" s="14"/>
      <c r="D3" s="14"/>
      <c r="E3" s="14"/>
      <c r="F3" s="14"/>
      <c r="G3" s="14"/>
      <c r="H3" s="14"/>
      <c r="I3" s="14"/>
      <c r="J3" s="49"/>
      <c r="K3" s="49"/>
      <c r="L3" s="75"/>
    </row>
    <row r="4" spans="2:12" ht="15.75">
      <c r="B4" s="13"/>
      <c r="C4" s="14"/>
      <c r="D4" s="14"/>
      <c r="E4" s="14"/>
      <c r="F4" s="14"/>
      <c r="G4" s="14"/>
      <c r="H4" s="14"/>
      <c r="I4" s="14"/>
      <c r="J4" s="49"/>
      <c r="K4" s="49"/>
      <c r="L4" s="75"/>
    </row>
    <row r="5" spans="2:12" ht="15.75">
      <c r="B5" s="14"/>
      <c r="C5" s="14"/>
      <c r="D5" s="14"/>
      <c r="E5" s="14"/>
      <c r="F5" s="14"/>
      <c r="G5" s="14"/>
      <c r="H5" s="14"/>
      <c r="I5" s="14"/>
      <c r="J5" s="14"/>
      <c r="K5" s="14"/>
      <c r="L5" s="75"/>
    </row>
    <row r="6" spans="2:12" ht="15.75">
      <c r="B6" s="394" t="s">
        <v>179</v>
      </c>
      <c r="C6" s="370"/>
      <c r="D6" s="370"/>
      <c r="E6" s="370"/>
      <c r="F6" s="370"/>
      <c r="G6" s="370"/>
      <c r="H6" s="370"/>
      <c r="I6" s="370"/>
      <c r="J6" s="370"/>
      <c r="K6" s="370"/>
      <c r="L6" s="370"/>
    </row>
    <row r="7" spans="2:12" ht="15.75">
      <c r="B7" s="181"/>
      <c r="C7" s="12"/>
      <c r="D7" s="93"/>
      <c r="E7" s="93"/>
      <c r="F7" s="93"/>
      <c r="G7" s="93"/>
      <c r="H7" s="93"/>
      <c r="I7" s="93"/>
      <c r="J7" s="93"/>
      <c r="K7" s="93"/>
      <c r="L7" s="93"/>
    </row>
    <row r="8" spans="2:12" ht="15.75">
      <c r="B8" s="14"/>
      <c r="C8" s="182"/>
      <c r="D8" s="182"/>
      <c r="E8" s="182"/>
      <c r="F8" s="182"/>
      <c r="G8" s="183"/>
      <c r="H8" s="98"/>
      <c r="I8" s="98"/>
      <c r="J8" s="14"/>
      <c r="K8" s="14"/>
      <c r="L8" s="75"/>
    </row>
    <row r="9" spans="2:12" ht="21" customHeight="1">
      <c r="B9" s="108"/>
      <c r="C9" s="122"/>
      <c r="D9" s="390" t="str">
        <f>CONCATENATE("Budget Tax Levy Amount for ",J1-2,"")</f>
        <v>Budget Tax Levy Amount for 2010</v>
      </c>
      <c r="E9" s="390" t="str">
        <f>CONCATENATE("Budget Tax Levy Rate for ",J1-1,"")</f>
        <v>Budget Tax Levy Rate for 2011</v>
      </c>
      <c r="F9" s="184"/>
      <c r="G9" s="375" t="str">
        <f>CONCATENATE("Allocation for Year ",J1,"")</f>
        <v>Allocation for Year 2012</v>
      </c>
      <c r="H9" s="392"/>
      <c r="I9" s="392"/>
      <c r="J9" s="392"/>
      <c r="K9" s="392"/>
      <c r="L9" s="393"/>
    </row>
    <row r="10" spans="2:12" ht="15.75">
      <c r="B10" s="185" t="str">
        <f>CONCATENATE("",J1-1," Budgeted Funds")</f>
        <v>2011 Budgeted Funds</v>
      </c>
      <c r="C10" s="129"/>
      <c r="D10" s="391"/>
      <c r="E10" s="391"/>
      <c r="F10" s="25"/>
      <c r="G10" s="26" t="s">
        <v>74</v>
      </c>
      <c r="H10" s="26"/>
      <c r="I10" s="26" t="s">
        <v>75</v>
      </c>
      <c r="J10" s="109" t="s">
        <v>112</v>
      </c>
      <c r="K10" s="109" t="s">
        <v>146</v>
      </c>
      <c r="L10" s="76"/>
    </row>
    <row r="11" spans="2:12" ht="15.75">
      <c r="B11" s="73" t="str">
        <f>inputPrYr!B16</f>
        <v>General</v>
      </c>
      <c r="C11" s="186"/>
      <c r="D11" s="73">
        <f>IF(inputPrYr!E16&gt;0,inputPrYr!E16,"  ")</f>
        <v>8709</v>
      </c>
      <c r="E11" s="187">
        <f>IF(inputOth!D17&gt;0,inputOth!D17,"  ")</f>
        <v>3.608</v>
      </c>
      <c r="F11" s="188"/>
      <c r="G11" s="73">
        <f>IF(inputPrYr!E16=0,0,G22-SUM(G12:G19))</f>
        <v>300</v>
      </c>
      <c r="H11" s="189"/>
      <c r="I11" s="73">
        <f>IF(inputPrYr!E16=0,0,I24-SUM(I12:I19))</f>
        <v>1</v>
      </c>
      <c r="J11" s="73">
        <f>IF(inputPrYr!E16=0,0,J26-SUM(J12:J19))</f>
        <v>10</v>
      </c>
      <c r="K11" s="73">
        <f>IF(inputPrYr!E16=0,0,K28-SUM(K12:K19))</f>
        <v>0</v>
      </c>
      <c r="L11" s="190" t="e">
        <f>IF(inputOth!D17&gt;0,ROUND(E11*#REF!*-1,0),"")</f>
        <v>#REF!</v>
      </c>
    </row>
    <row r="12" spans="2:12" ht="15.75">
      <c r="B12" s="73" t="str">
        <f>inputPrYr!B17</f>
        <v>Debt Service</v>
      </c>
      <c r="C12" s="186"/>
      <c r="D12" s="73">
        <f>IF(inputPrYr!E17&gt;=0,inputPrYr!E17,"  ")</f>
        <v>0</v>
      </c>
      <c r="E12" s="187" t="str">
        <f>IF(inputOth!D18&gt;0,inputOth!D18,"  ")</f>
        <v>  </v>
      </c>
      <c r="F12" s="188"/>
      <c r="G12" s="73">
        <f>IF(inputPrYr!E17=0,0,ROUND(D12*$G$30,0))</f>
        <v>0</v>
      </c>
      <c r="H12" s="189"/>
      <c r="I12" s="73">
        <f>IF(inputPrYr!$E$17=0,0,ROUND($D$12*$I$32,0))</f>
        <v>0</v>
      </c>
      <c r="J12" s="73">
        <f>IF(inputPrYr!E17=0,0,ROUND($D12*$J$34,0))</f>
        <v>0</v>
      </c>
      <c r="K12" s="73">
        <f>IF(inputPrYr!E17=0,0,ROUND($D12*$K$36,0))</f>
        <v>0</v>
      </c>
      <c r="L12" s="190">
        <f>IF(inputOth!D18&gt;0,ROUND(E12*#REF!*-1,0),"")</f>
      </c>
    </row>
    <row r="13" spans="2:12" ht="15.75">
      <c r="B13" s="73" t="str">
        <f>IF(inputPrYr!$B18&gt;"  ",inputPrYr!$B18,"  ")</f>
        <v>Road</v>
      </c>
      <c r="C13" s="186"/>
      <c r="D13" s="73">
        <f>IF(inputPrYr!E18&gt;=0,inputPrYr!E18,"  ")</f>
        <v>0</v>
      </c>
      <c r="E13" s="187" t="str">
        <f>IF(inputOth!D19&gt;0,inputOth!D19,"  ")</f>
        <v>  </v>
      </c>
      <c r="F13" s="188"/>
      <c r="G13" s="73">
        <f>IF(inputPrYr!E18=0,0,ROUND(D13*$G$30,0))</f>
        <v>0</v>
      </c>
      <c r="H13" s="189"/>
      <c r="I13" s="73">
        <f>IF(inputPrYr!$E$18=0,0,ROUND($D$13*$I$32,0))</f>
        <v>0</v>
      </c>
      <c r="J13" s="73">
        <f>IF(inputPrYr!E18=0,0,ROUND($D13*$J$34,0))</f>
        <v>0</v>
      </c>
      <c r="K13" s="73">
        <f>IF(inputPrYr!E18=0,0,ROUND($D13*$K$36,0))</f>
        <v>0</v>
      </c>
      <c r="L13" s="190">
        <f>IF(inputOth!D19&gt;0,ROUND(E13*#REF!*-1,0),"")</f>
      </c>
    </row>
    <row r="14" spans="2:12" ht="15.75">
      <c r="B14" s="73" t="str">
        <f>IF(inputPrYr!$B19&gt;"  ",inputPrYr!$B19,"  ")</f>
        <v>  </v>
      </c>
      <c r="C14" s="186"/>
      <c r="D14" s="73">
        <f>IF(inputPrYr!E19&gt;=0,inputPrYr!E19,"  ")</f>
        <v>0</v>
      </c>
      <c r="E14" s="187" t="str">
        <f>IF(inputOth!D20&gt;0,inputOth!D20,"  ")</f>
        <v>  </v>
      </c>
      <c r="F14" s="188"/>
      <c r="G14" s="73">
        <f>IF(inputPrYr!E19=0,0,ROUND(D14*$G$30,0))</f>
        <v>0</v>
      </c>
      <c r="H14" s="189"/>
      <c r="I14" s="73">
        <f>IF(inputPrYr!$E$19=0,0,ROUND($D$14*$I$32,0))</f>
        <v>0</v>
      </c>
      <c r="J14" s="73">
        <f>IF(inputPrYr!E19=0,0,ROUND($D14*$J$34,0))</f>
        <v>0</v>
      </c>
      <c r="K14" s="73">
        <f>IF(inputPrYr!E19=0,0,ROUND($D14*$K$36,0))</f>
        <v>0</v>
      </c>
      <c r="L14" s="190">
        <f>IF(inputOth!D20&gt;0,ROUND(E14*#REF!*-1,0),"")</f>
      </c>
    </row>
    <row r="15" spans="2:12" ht="15.75">
      <c r="B15" s="73" t="str">
        <f>IF(inputPrYr!$B20&gt;"  ",inputPrYr!$B20,"  ")</f>
        <v>  </v>
      </c>
      <c r="C15" s="186"/>
      <c r="D15" s="73">
        <f>IF(inputPrYr!E20&gt;=0,inputPrYr!E20,"  ")</f>
        <v>0</v>
      </c>
      <c r="E15" s="187" t="str">
        <f>IF(inputOth!D21&gt;0,inputOth!D21,"  ")</f>
        <v>  </v>
      </c>
      <c r="F15" s="188"/>
      <c r="G15" s="73">
        <f>IF(inputPrYr!E20=0,0,ROUND(D15*$G$30,0))</f>
        <v>0</v>
      </c>
      <c r="H15" s="189"/>
      <c r="I15" s="73">
        <f>IF(inputPrYr!$E$20=0,0,ROUND($D$15*$I$32,0))</f>
        <v>0</v>
      </c>
      <c r="J15" s="73">
        <f>IF(inputPrYr!E20=0,0,ROUND($D15*$J$34,0))</f>
        <v>0</v>
      </c>
      <c r="K15" s="73">
        <f>IF(inputPrYr!E20=0,0,ROUND($D15*$K$36,0))</f>
        <v>0</v>
      </c>
      <c r="L15" s="190">
        <f>IF(inputOth!D21&gt;0,ROUND(E15*#REF!*-1,0),"")</f>
      </c>
    </row>
    <row r="16" spans="2:12" ht="15.75">
      <c r="B16" s="73" t="str">
        <f>IF(inputPrYr!$B21&gt;"  ",inputPrYr!$B21,"  ")</f>
        <v>  </v>
      </c>
      <c r="C16" s="186"/>
      <c r="D16" s="73">
        <f>IF(inputPrYr!E21&gt;=0,inputPrYr!E21,"  ")</f>
        <v>0</v>
      </c>
      <c r="E16" s="187" t="str">
        <f>IF(inputOth!D22&gt;0,inputOth!D22,"  ")</f>
        <v>  </v>
      </c>
      <c r="F16" s="188"/>
      <c r="G16" s="73">
        <f>IF(inputPrYr!E21=0,0,ROUND(D16*$G$30,0))</f>
        <v>0</v>
      </c>
      <c r="H16" s="189"/>
      <c r="I16" s="73">
        <f>IF(inputPrYr!$E$21=0,0,ROUND($D$16*$I$32,0))</f>
        <v>0</v>
      </c>
      <c r="J16" s="73">
        <f>IF(inputPrYr!E21=0,0,ROUND($D16*$J$34,0))</f>
        <v>0</v>
      </c>
      <c r="K16" s="73">
        <f>IF(inputPrYr!E21=0,0,ROUND($D16*$K$36,0))</f>
        <v>0</v>
      </c>
      <c r="L16" s="190">
        <f>IF(inputOth!D22&gt;0,ROUND(E16*#REF!*-1,0),"")</f>
      </c>
    </row>
    <row r="17" spans="2:12" ht="15.75">
      <c r="B17" s="73" t="str">
        <f>IF(inputPrYr!$B22&gt;"  ",inputPrYr!$B22,"  ")</f>
        <v>  </v>
      </c>
      <c r="C17" s="186"/>
      <c r="D17" s="73">
        <f>IF(inputPrYr!E22&gt;=0,inputPrYr!E22,"  ")</f>
        <v>0</v>
      </c>
      <c r="E17" s="187" t="str">
        <f>IF(inputOth!D23&gt;0,inputOth!D23,"  ")</f>
        <v>  </v>
      </c>
      <c r="F17" s="188"/>
      <c r="G17" s="73">
        <f>IF(inputPrYr!E22=0,0,ROUND(D17*$G$30,0))</f>
        <v>0</v>
      </c>
      <c r="H17" s="189"/>
      <c r="I17" s="73">
        <f>IF(inputPrYr!$E$22=0,0,ROUND($D$17*$I$32,0))</f>
        <v>0</v>
      </c>
      <c r="J17" s="73">
        <f>IF(inputPrYr!E22=0,0,ROUND($D17*$J$34,0))</f>
        <v>0</v>
      </c>
      <c r="K17" s="73">
        <f>IF(inputPrYr!E22=0,0,ROUND($D17*$K$36,0))</f>
        <v>0</v>
      </c>
      <c r="L17" s="190">
        <f>IF(inputOth!D23&gt;0,ROUND(E17*#REF!*-1,0),"")</f>
      </c>
    </row>
    <row r="18" spans="2:12" ht="15.75">
      <c r="B18" s="73" t="str">
        <f>IF(inputPrYr!$B23&gt;"  ",inputPrYr!$B23,"  ")</f>
        <v>  </v>
      </c>
      <c r="C18" s="186"/>
      <c r="D18" s="73">
        <f>IF(inputPrYr!E23&gt;=0,inputPrYr!E23,"  ")</f>
        <v>0</v>
      </c>
      <c r="E18" s="187" t="str">
        <f>IF(inputOth!D24&gt;0,inputOth!D24,"  ")</f>
        <v>  </v>
      </c>
      <c r="F18" s="188"/>
      <c r="G18" s="73">
        <f>IF(inputPrYr!E23=0,0,ROUND(D18*$G$30,0))</f>
        <v>0</v>
      </c>
      <c r="H18" s="189"/>
      <c r="I18" s="73">
        <f>IF(inputPrYr!$E$23=0,0,ROUND($D$18*$I$32,0))</f>
        <v>0</v>
      </c>
      <c r="J18" s="73">
        <f>IF(inputPrYr!E23=0,0,ROUND($D18*$J$34,0))</f>
        <v>0</v>
      </c>
      <c r="K18" s="73">
        <f>IF(inputPrYr!E23=0,0,ROUND($D18*$K$36,0))</f>
        <v>0</v>
      </c>
      <c r="L18" s="190">
        <f>IF(inputOth!D24&gt;0,ROUND(E18*#REF!*-1,0),"")</f>
      </c>
    </row>
    <row r="19" spans="2:12" ht="15.75">
      <c r="B19" s="73" t="str">
        <f>IF(inputPrYr!$B24&gt;"  ",inputPrYr!$B24,"  ")</f>
        <v>  </v>
      </c>
      <c r="C19" s="186"/>
      <c r="D19" s="73">
        <f>IF(inputPrYr!E24&gt;=0,inputPrYr!E24,"  ")</f>
        <v>0</v>
      </c>
      <c r="E19" s="187" t="str">
        <f>IF(inputOth!D25&gt;0,inputOth!D25,"  ")</f>
        <v>  </v>
      </c>
      <c r="F19" s="188"/>
      <c r="G19" s="73">
        <f>IF(inputPrYr!E24=0,0,ROUND(D19*$G$30,0))</f>
        <v>0</v>
      </c>
      <c r="H19" s="189"/>
      <c r="I19" s="73">
        <f>IF(inputPrYr!$E$24=0,0,ROUND($D$19*$I$32,0))</f>
        <v>0</v>
      </c>
      <c r="J19" s="73">
        <f>IF(inputPrYr!E24=0,0,ROUND($D19*$J$34,0))</f>
        <v>0</v>
      </c>
      <c r="K19" s="73">
        <f>IF(inputPrYr!E24=0,0,ROUND($D19*$K$36,0))</f>
        <v>0</v>
      </c>
      <c r="L19" s="190">
        <f>IF(inputOth!D25&gt;0,ROUND(E19*#REF!*-1,0),"")</f>
      </c>
    </row>
    <row r="20" spans="2:12" ht="16.5" thickBot="1">
      <c r="B20" s="67" t="s">
        <v>190</v>
      </c>
      <c r="C20" s="191"/>
      <c r="D20" s="192">
        <f>SUM(D11:D19)</f>
        <v>8709</v>
      </c>
      <c r="E20" s="193">
        <f>SUM(E11:E19)</f>
        <v>3.608</v>
      </c>
      <c r="F20" s="194"/>
      <c r="G20" s="192">
        <f>SUM(G11:G19)</f>
        <v>300</v>
      </c>
      <c r="H20" s="192"/>
      <c r="I20" s="192">
        <f>SUM(I11:I19)</f>
        <v>1</v>
      </c>
      <c r="J20" s="192">
        <f>SUM(J11:J19)</f>
        <v>10</v>
      </c>
      <c r="K20" s="192">
        <f>SUM(K11:K19)</f>
        <v>0</v>
      </c>
      <c r="L20" s="195" t="e">
        <f>SUM(L11:L19)</f>
        <v>#REF!</v>
      </c>
    </row>
    <row r="21" spans="2:12" ht="16.5" thickTop="1">
      <c r="B21" s="14"/>
      <c r="C21" s="14"/>
      <c r="D21" s="14"/>
      <c r="E21" s="14"/>
      <c r="F21" s="14"/>
      <c r="G21" s="14"/>
      <c r="H21" s="14"/>
      <c r="I21" s="14"/>
      <c r="J21" s="14"/>
      <c r="K21" s="14"/>
      <c r="L21" s="75"/>
    </row>
    <row r="22" spans="2:12" ht="15.75">
      <c r="B22" s="22" t="s">
        <v>5</v>
      </c>
      <c r="C22" s="58"/>
      <c r="D22" s="14"/>
      <c r="E22" s="14"/>
      <c r="F22" s="14"/>
      <c r="G22" s="70">
        <f>inputOth!E31</f>
        <v>300</v>
      </c>
      <c r="H22" s="14"/>
      <c r="I22" s="14"/>
      <c r="J22" s="14"/>
      <c r="K22" s="14"/>
      <c r="L22" s="75"/>
    </row>
    <row r="23" spans="2:12" ht="15.75">
      <c r="B23" s="14"/>
      <c r="C23" s="14"/>
      <c r="D23" s="14"/>
      <c r="E23" s="14"/>
      <c r="F23" s="14"/>
      <c r="G23" s="14"/>
      <c r="H23" s="14"/>
      <c r="I23" s="14"/>
      <c r="J23" s="14"/>
      <c r="K23" s="14"/>
      <c r="L23" s="75"/>
    </row>
    <row r="24" spans="2:12" ht="15.75">
      <c r="B24" s="22" t="s">
        <v>6</v>
      </c>
      <c r="C24" s="14"/>
      <c r="D24" s="14"/>
      <c r="E24" s="14"/>
      <c r="F24" s="14"/>
      <c r="G24" s="14"/>
      <c r="H24" s="70">
        <f>inputPrYr!E73</f>
        <v>0</v>
      </c>
      <c r="I24" s="70">
        <f>inputOth!E32</f>
        <v>1</v>
      </c>
      <c r="J24" s="14"/>
      <c r="K24" s="14"/>
      <c r="L24" s="75"/>
    </row>
    <row r="25" spans="2:12" ht="15.75">
      <c r="B25" s="14"/>
      <c r="C25" s="14"/>
      <c r="D25" s="14"/>
      <c r="E25" s="14"/>
      <c r="F25" s="14"/>
      <c r="G25" s="14"/>
      <c r="H25" s="14"/>
      <c r="I25" s="14"/>
      <c r="J25" s="14"/>
      <c r="K25" s="14"/>
      <c r="L25" s="75"/>
    </row>
    <row r="26" spans="2:12" ht="15.75">
      <c r="B26" s="22" t="s">
        <v>71</v>
      </c>
      <c r="C26" s="14"/>
      <c r="D26" s="14"/>
      <c r="E26" s="14"/>
      <c r="F26" s="14"/>
      <c r="G26" s="14"/>
      <c r="H26" s="14"/>
      <c r="I26" s="14"/>
      <c r="J26" s="70">
        <f>inputOth!E33</f>
        <v>10</v>
      </c>
      <c r="K26" s="24"/>
      <c r="L26" s="75"/>
    </row>
    <row r="27" spans="2:12" ht="15.75">
      <c r="B27" s="14"/>
      <c r="C27" s="14"/>
      <c r="D27" s="14"/>
      <c r="E27" s="14"/>
      <c r="F27" s="14"/>
      <c r="G27" s="14"/>
      <c r="H27" s="14"/>
      <c r="I27" s="14"/>
      <c r="J27" s="14"/>
      <c r="K27" s="14"/>
      <c r="L27" s="75"/>
    </row>
    <row r="28" spans="2:12" ht="15.75">
      <c r="B28" s="14" t="s">
        <v>166</v>
      </c>
      <c r="C28" s="14"/>
      <c r="D28" s="14"/>
      <c r="E28" s="14"/>
      <c r="F28" s="14"/>
      <c r="G28" s="14"/>
      <c r="H28" s="14"/>
      <c r="I28" s="14"/>
      <c r="J28" s="14"/>
      <c r="K28" s="70">
        <f>inputOth!E35</f>
        <v>0</v>
      </c>
      <c r="L28" s="75"/>
    </row>
    <row r="29" spans="2:12" ht="15.75">
      <c r="B29" s="14"/>
      <c r="C29" s="14"/>
      <c r="D29" s="14"/>
      <c r="E29" s="14"/>
      <c r="F29" s="14"/>
      <c r="G29" s="14"/>
      <c r="H29" s="14"/>
      <c r="I29" s="14"/>
      <c r="J29" s="14"/>
      <c r="K29" s="24"/>
      <c r="L29" s="75"/>
    </row>
    <row r="30" spans="2:12" ht="15.75">
      <c r="B30" s="22" t="s">
        <v>7</v>
      </c>
      <c r="C30" s="14"/>
      <c r="D30" s="14"/>
      <c r="E30" s="14"/>
      <c r="F30" s="14"/>
      <c r="G30" s="196">
        <f>IF(D20=0,0,G22/D20)</f>
        <v>0.03444712366517396</v>
      </c>
      <c r="H30" s="14"/>
      <c r="I30" s="14"/>
      <c r="J30" s="14"/>
      <c r="K30" s="14"/>
      <c r="L30" s="75"/>
    </row>
    <row r="31" spans="2:12" ht="15.75">
      <c r="B31" s="14"/>
      <c r="C31" s="197"/>
      <c r="D31" s="14"/>
      <c r="E31" s="14"/>
      <c r="F31" s="14"/>
      <c r="G31" s="14"/>
      <c r="H31" s="14"/>
      <c r="I31" s="14"/>
      <c r="J31" s="14"/>
      <c r="K31" s="14"/>
      <c r="L31" s="75"/>
    </row>
    <row r="32" spans="2:12" ht="15.75">
      <c r="B32" s="22" t="s">
        <v>8</v>
      </c>
      <c r="C32" s="14"/>
      <c r="D32" s="14"/>
      <c r="E32" s="14"/>
      <c r="F32" s="14"/>
      <c r="G32" s="14"/>
      <c r="H32" s="198">
        <f>IF(D20=0,0,H24/D20)</f>
        <v>0</v>
      </c>
      <c r="I32" s="199">
        <f>IF(D20=0,0,I24/D20)</f>
        <v>0.00011482374555057986</v>
      </c>
      <c r="J32" s="14"/>
      <c r="K32" s="14"/>
      <c r="L32" s="75"/>
    </row>
    <row r="33" spans="2:12" ht="15.75">
      <c r="B33" s="14"/>
      <c r="C33" s="14"/>
      <c r="D33" s="14"/>
      <c r="E33" s="14"/>
      <c r="F33" s="14"/>
      <c r="G33" s="14"/>
      <c r="H33" s="14"/>
      <c r="I33" s="14"/>
      <c r="J33" s="14"/>
      <c r="K33" s="14"/>
      <c r="L33" s="75"/>
    </row>
    <row r="34" spans="2:12" ht="15.75">
      <c r="B34" s="22" t="s">
        <v>73</v>
      </c>
      <c r="C34" s="14"/>
      <c r="D34" s="14"/>
      <c r="E34" s="14"/>
      <c r="F34" s="14"/>
      <c r="G34" s="14"/>
      <c r="H34" s="14"/>
      <c r="I34" s="14"/>
      <c r="J34" s="196">
        <f>IF(D20=0,0,J26/D20)</f>
        <v>0.0011482374555057985</v>
      </c>
      <c r="K34" s="200"/>
      <c r="L34" s="75"/>
    </row>
    <row r="35" spans="2:12" ht="15.75">
      <c r="B35" s="75"/>
      <c r="C35" s="75"/>
      <c r="D35" s="75"/>
      <c r="E35" s="75"/>
      <c r="F35" s="75"/>
      <c r="G35" s="75"/>
      <c r="H35" s="75"/>
      <c r="I35" s="75"/>
      <c r="J35" s="75"/>
      <c r="K35" s="75"/>
      <c r="L35" s="75"/>
    </row>
    <row r="36" spans="2:12" ht="15.75">
      <c r="B36" s="75" t="s">
        <v>167</v>
      </c>
      <c r="C36" s="75"/>
      <c r="D36" s="75"/>
      <c r="E36" s="75"/>
      <c r="F36" s="75"/>
      <c r="G36" s="75"/>
      <c r="H36" s="75"/>
      <c r="I36" s="75"/>
      <c r="J36" s="75"/>
      <c r="K36" s="196">
        <f>IF(D20=0,0,K28/D20)</f>
        <v>0</v>
      </c>
      <c r="L36" s="75"/>
    </row>
    <row r="37" spans="2:12" ht="15.75">
      <c r="B37" s="75"/>
      <c r="C37" s="75"/>
      <c r="D37" s="75"/>
      <c r="E37" s="75"/>
      <c r="F37" s="75"/>
      <c r="G37" s="75"/>
      <c r="H37" s="75"/>
      <c r="I37" s="75"/>
      <c r="J37" s="75"/>
      <c r="K37" s="75"/>
      <c r="L37" s="75"/>
    </row>
    <row r="41" spans="2:9" ht="15.75">
      <c r="B41" s="201"/>
      <c r="C41" s="201"/>
      <c r="D41" s="201"/>
      <c r="E41" s="201"/>
      <c r="F41" s="201"/>
      <c r="G41" s="201"/>
      <c r="H41" s="201"/>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11" sqref="A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49"/>
      <c r="F1" s="14">
        <f>inputPrYr!D5</f>
        <v>2012</v>
      </c>
    </row>
    <row r="2" spans="1:6" ht="15.75">
      <c r="A2" s="74" t="str">
        <f>inputPrYr!D2</f>
        <v>Kendall Township</v>
      </c>
      <c r="B2" s="74"/>
      <c r="C2" s="14"/>
      <c r="D2" s="14"/>
      <c r="E2" s="49"/>
      <c r="F2" s="14"/>
    </row>
    <row r="3" spans="1:6" ht="15.75">
      <c r="A3" s="13"/>
      <c r="B3" s="74"/>
      <c r="C3" s="14"/>
      <c r="D3" s="14"/>
      <c r="E3" s="49"/>
      <c r="F3" s="14"/>
    </row>
    <row r="4" spans="1:6" ht="15.75">
      <c r="A4" s="13"/>
      <c r="B4" s="14"/>
      <c r="C4" s="14"/>
      <c r="D4" s="14"/>
      <c r="E4" s="49"/>
      <c r="F4" s="14"/>
    </row>
    <row r="5" spans="1:6" ht="15" customHeight="1">
      <c r="A5" s="371" t="s">
        <v>155</v>
      </c>
      <c r="B5" s="371"/>
      <c r="C5" s="371"/>
      <c r="D5" s="371"/>
      <c r="E5" s="371"/>
      <c r="F5" s="371"/>
    </row>
    <row r="6" spans="1:6" ht="14.25" customHeight="1">
      <c r="A6" s="78"/>
      <c r="B6" s="165"/>
      <c r="C6" s="165"/>
      <c r="D6" s="165"/>
      <c r="E6" s="165"/>
      <c r="F6" s="165"/>
    </row>
    <row r="7" spans="1:6" ht="15" customHeight="1">
      <c r="A7" s="166" t="s">
        <v>198</v>
      </c>
      <c r="B7" s="166" t="s">
        <v>230</v>
      </c>
      <c r="C7" s="167" t="s">
        <v>28</v>
      </c>
      <c r="D7" s="167" t="s">
        <v>156</v>
      </c>
      <c r="E7" s="166" t="s">
        <v>157</v>
      </c>
      <c r="F7" s="166" t="s">
        <v>158</v>
      </c>
    </row>
    <row r="8" spans="1:6" ht="15" customHeight="1">
      <c r="A8" s="168" t="s">
        <v>231</v>
      </c>
      <c r="B8" s="168" t="s">
        <v>232</v>
      </c>
      <c r="C8" s="169" t="s">
        <v>159</v>
      </c>
      <c r="D8" s="169" t="s">
        <v>159</v>
      </c>
      <c r="E8" s="169" t="s">
        <v>159</v>
      </c>
      <c r="F8" s="169" t="s">
        <v>160</v>
      </c>
    </row>
    <row r="9" spans="1:6" s="172" customFormat="1" ht="15" customHeight="1" thickBot="1">
      <c r="A9" s="170" t="s">
        <v>161</v>
      </c>
      <c r="B9" s="171" t="s">
        <v>162</v>
      </c>
      <c r="C9" s="171">
        <f>F1-2</f>
        <v>2010</v>
      </c>
      <c r="D9" s="171">
        <f>F1-1</f>
        <v>2011</v>
      </c>
      <c r="E9" s="171">
        <f>F1</f>
        <v>2012</v>
      </c>
      <c r="F9" s="171" t="s">
        <v>185</v>
      </c>
    </row>
    <row r="10" spans="1:6" ht="15" customHeight="1" thickTop="1">
      <c r="A10" s="173" t="s">
        <v>249</v>
      </c>
      <c r="B10" s="173"/>
      <c r="C10" s="174"/>
      <c r="D10" s="174"/>
      <c r="E10" s="174"/>
      <c r="F10" s="173"/>
    </row>
    <row r="11" spans="1:6" ht="15" customHeight="1">
      <c r="A11" s="175"/>
      <c r="B11" s="175"/>
      <c r="C11" s="176"/>
      <c r="D11" s="176"/>
      <c r="E11" s="176"/>
      <c r="F11" s="175"/>
    </row>
    <row r="12" spans="1:6" ht="15" customHeight="1">
      <c r="A12" s="175"/>
      <c r="B12" s="175"/>
      <c r="C12" s="176"/>
      <c r="D12" s="176"/>
      <c r="E12" s="176"/>
      <c r="F12" s="175"/>
    </row>
    <row r="13" spans="1:6" ht="15" customHeight="1">
      <c r="A13" s="175"/>
      <c r="B13" s="175"/>
      <c r="C13" s="176"/>
      <c r="D13" s="176"/>
      <c r="E13" s="176"/>
      <c r="F13" s="175"/>
    </row>
    <row r="14" spans="1:6" ht="15" customHeight="1">
      <c r="A14" s="175"/>
      <c r="B14" s="175"/>
      <c r="C14" s="176"/>
      <c r="D14" s="176"/>
      <c r="E14" s="176"/>
      <c r="F14" s="175"/>
    </row>
    <row r="15" spans="1:6" ht="15" customHeight="1">
      <c r="A15" s="175"/>
      <c r="B15" s="175"/>
      <c r="C15" s="176"/>
      <c r="D15" s="176"/>
      <c r="E15" s="176"/>
      <c r="F15" s="175"/>
    </row>
    <row r="16" spans="1:6" ht="15" customHeight="1">
      <c r="A16" s="175"/>
      <c r="B16" s="177"/>
      <c r="C16" s="176"/>
      <c r="D16" s="176"/>
      <c r="E16" s="176"/>
      <c r="F16" s="175"/>
    </row>
    <row r="17" spans="1:6" ht="15" customHeight="1">
      <c r="A17" s="175"/>
      <c r="B17" s="175"/>
      <c r="C17" s="176"/>
      <c r="D17" s="176"/>
      <c r="E17" s="176"/>
      <c r="F17" s="175"/>
    </row>
    <row r="18" spans="1:6" ht="15" customHeight="1">
      <c r="A18" s="175"/>
      <c r="B18" s="175"/>
      <c r="C18" s="176"/>
      <c r="D18" s="176"/>
      <c r="E18" s="176"/>
      <c r="F18" s="175"/>
    </row>
    <row r="19" spans="1:6" ht="15" customHeight="1">
      <c r="A19" s="175"/>
      <c r="B19" s="175"/>
      <c r="C19" s="176"/>
      <c r="D19" s="176"/>
      <c r="E19" s="176"/>
      <c r="F19" s="175"/>
    </row>
    <row r="20" spans="1:6" ht="15" customHeight="1">
      <c r="A20" s="175"/>
      <c r="B20" s="175"/>
      <c r="C20" s="176"/>
      <c r="D20" s="176"/>
      <c r="E20" s="176"/>
      <c r="F20" s="175"/>
    </row>
    <row r="21" spans="1:6" ht="15" customHeight="1">
      <c r="A21" s="175"/>
      <c r="B21" s="175"/>
      <c r="C21" s="176"/>
      <c r="D21" s="176"/>
      <c r="E21" s="176"/>
      <c r="F21" s="175"/>
    </row>
    <row r="22" spans="1:6" ht="15" customHeight="1">
      <c r="A22" s="175"/>
      <c r="B22" s="175"/>
      <c r="C22" s="176"/>
      <c r="D22" s="176"/>
      <c r="E22" s="176"/>
      <c r="F22" s="175"/>
    </row>
    <row r="23" spans="1:6" ht="15" customHeight="1">
      <c r="A23" s="175"/>
      <c r="B23" s="175"/>
      <c r="C23" s="176"/>
      <c r="D23" s="176"/>
      <c r="E23" s="176"/>
      <c r="F23" s="175"/>
    </row>
    <row r="24" spans="1:6" ht="15.75">
      <c r="A24" s="82"/>
      <c r="B24" s="178" t="s">
        <v>190</v>
      </c>
      <c r="C24" s="179">
        <f>SUM(C10:C23)</f>
        <v>0</v>
      </c>
      <c r="D24" s="179">
        <f>SUM(D10:D23)</f>
        <v>0</v>
      </c>
      <c r="E24" s="179">
        <f>SUM(E10:E23)</f>
        <v>0</v>
      </c>
      <c r="F24" s="82"/>
    </row>
    <row r="25" spans="1:6" ht="15.75">
      <c r="A25" s="82"/>
      <c r="B25" s="178" t="s">
        <v>229</v>
      </c>
      <c r="C25" s="82"/>
      <c r="D25" s="175"/>
      <c r="E25" s="175"/>
      <c r="F25" s="82"/>
    </row>
    <row r="26" spans="1:6" ht="15.75">
      <c r="A26" s="82"/>
      <c r="B26" s="131" t="s">
        <v>163</v>
      </c>
      <c r="C26" s="180">
        <f>C24</f>
        <v>0</v>
      </c>
      <c r="D26" s="180">
        <f>SUM(D24-D25)</f>
        <v>0</v>
      </c>
      <c r="E26" s="180">
        <f>SUM(E24-E25)</f>
        <v>0</v>
      </c>
      <c r="F26" s="82"/>
    </row>
    <row r="27" spans="1:6" ht="15.75">
      <c r="A27" s="82"/>
      <c r="B27" s="14"/>
      <c r="C27" s="14"/>
      <c r="D27" s="14"/>
      <c r="E27" s="14"/>
      <c r="F27" s="82"/>
    </row>
    <row r="28" spans="1:6" ht="15.75">
      <c r="A28" s="82"/>
      <c r="B28" s="14"/>
      <c r="C28" s="14"/>
      <c r="D28" s="14"/>
      <c r="E28" s="14"/>
      <c r="F28" s="82"/>
    </row>
    <row r="29" spans="1:6" ht="15.75">
      <c r="A29" s="307" t="s">
        <v>233</v>
      </c>
      <c r="B29" s="308" t="str">
        <f>CONCATENATE("Adjustments are required only if the transfer is being made in ",D9," and/or ",E9," from a non-budgeted fund.")</f>
        <v>Adjustments are required only if the transfer is being made in 2011 and/or 2012 from a non-budgeted fund.</v>
      </c>
      <c r="C29" s="14"/>
      <c r="D29" s="14"/>
      <c r="E29" s="14"/>
      <c r="F29" s="82"/>
    </row>
  </sheetData>
  <sheetProtection/>
  <mergeCells count="1">
    <mergeCell ref="A5:F5"/>
  </mergeCells>
  <printOptions/>
  <pageMargins left="0.75" right="0.75" top="1" bottom="1" header="0.5" footer="0.5"/>
  <pageSetup blackAndWhite="1" fitToHeight="1" fitToWidth="1" horizontalDpi="600" verticalDpi="600" orientation="landscape" r:id="rId1"/>
  <headerFooter alignWithMargins="0">
    <oddHeader>&amp;RState of Kansas
Township</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4" sqref="A14"/>
    </sheetView>
  </sheetViews>
  <sheetFormatPr defaultColWidth="8.796875" defaultRowHeight="15.75"/>
  <cols>
    <col min="1" max="1" width="18.69921875" style="119" customWidth="1"/>
    <col min="2" max="2" width="8.796875" style="119" customWidth="1"/>
    <col min="3" max="3" width="7.8984375" style="119" customWidth="1"/>
    <col min="4" max="4" width="8.796875" style="119" customWidth="1"/>
    <col min="5" max="5" width="16.19921875" style="119" customWidth="1"/>
    <col min="6" max="16384" width="8.796875" style="119" customWidth="1"/>
  </cols>
  <sheetData>
    <row r="1" spans="1:11" ht="15.75">
      <c r="A1" s="117" t="str">
        <f>inputPrYr!$D$2</f>
        <v>Kendall Township</v>
      </c>
      <c r="B1" s="118"/>
      <c r="C1" s="118"/>
      <c r="D1" s="118"/>
      <c r="E1" s="118"/>
      <c r="F1" s="118"/>
      <c r="G1" s="118"/>
      <c r="H1" s="118"/>
      <c r="I1" s="14"/>
      <c r="J1" s="14"/>
      <c r="K1" s="15">
        <f>inputPrYr!D5</f>
        <v>2012</v>
      </c>
    </row>
    <row r="2" spans="1:11" ht="15.75">
      <c r="A2" s="117" t="str">
        <f>inputPrYr!$D$3</f>
        <v>Hamilton County</v>
      </c>
      <c r="B2" s="118"/>
      <c r="C2" s="118"/>
      <c r="D2" s="118"/>
      <c r="E2" s="118"/>
      <c r="F2" s="118"/>
      <c r="G2" s="118"/>
      <c r="H2" s="118"/>
      <c r="I2" s="14"/>
      <c r="J2" s="14"/>
      <c r="K2" s="49"/>
    </row>
    <row r="3" spans="1:11" ht="15.75">
      <c r="A3" s="120" t="s">
        <v>70</v>
      </c>
      <c r="B3" s="121"/>
      <c r="C3" s="121"/>
      <c r="D3" s="98"/>
      <c r="E3" s="121"/>
      <c r="F3" s="121"/>
      <c r="G3" s="121"/>
      <c r="H3" s="121"/>
      <c r="I3" s="121"/>
      <c r="J3" s="121"/>
      <c r="K3" s="121"/>
    </row>
    <row r="4" spans="1:11" ht="15.75">
      <c r="A4" s="118"/>
      <c r="B4" s="118"/>
      <c r="C4" s="118"/>
      <c r="D4" s="118"/>
      <c r="E4" s="118"/>
      <c r="F4" s="118"/>
      <c r="G4" s="118"/>
      <c r="H4" s="118"/>
      <c r="I4" s="118"/>
      <c r="J4" s="118"/>
      <c r="K4" s="118"/>
    </row>
    <row r="5" spans="1:11" ht="15.75">
      <c r="A5" s="14"/>
      <c r="B5" s="122" t="s">
        <v>48</v>
      </c>
      <c r="C5" s="122" t="s">
        <v>56</v>
      </c>
      <c r="D5" s="122"/>
      <c r="E5" s="122" t="s">
        <v>4</v>
      </c>
      <c r="F5" s="123"/>
      <c r="G5" s="124"/>
      <c r="H5" s="123" t="s">
        <v>49</v>
      </c>
      <c r="I5" s="124"/>
      <c r="J5" s="123" t="s">
        <v>49</v>
      </c>
      <c r="K5" s="124"/>
    </row>
    <row r="6" spans="1:11" ht="15.75">
      <c r="A6" s="14"/>
      <c r="B6" s="125" t="s">
        <v>50</v>
      </c>
      <c r="C6" s="125" t="s">
        <v>3</v>
      </c>
      <c r="D6" s="125" t="s">
        <v>4</v>
      </c>
      <c r="E6" s="125" t="s">
        <v>113</v>
      </c>
      <c r="F6" s="126" t="s">
        <v>51</v>
      </c>
      <c r="G6" s="127"/>
      <c r="H6" s="126">
        <f>K1-1</f>
        <v>2011</v>
      </c>
      <c r="I6" s="127"/>
      <c r="J6" s="126">
        <f>K1</f>
        <v>2012</v>
      </c>
      <c r="K6" s="127"/>
    </row>
    <row r="7" spans="1:11" ht="15.75">
      <c r="A7" s="128" t="s">
        <v>52</v>
      </c>
      <c r="B7" s="129" t="s">
        <v>53</v>
      </c>
      <c r="C7" s="129" t="s">
        <v>27</v>
      </c>
      <c r="D7" s="129" t="s">
        <v>54</v>
      </c>
      <c r="E7" s="130" t="str">
        <f>CONCATENATE("Jan 1,",K1-1,"")</f>
        <v>Jan 1,2011</v>
      </c>
      <c r="F7" s="131" t="s">
        <v>56</v>
      </c>
      <c r="G7" s="131" t="s">
        <v>57</v>
      </c>
      <c r="H7" s="131" t="s">
        <v>56</v>
      </c>
      <c r="I7" s="131" t="s">
        <v>57</v>
      </c>
      <c r="J7" s="131" t="s">
        <v>56</v>
      </c>
      <c r="K7" s="131" t="s">
        <v>57</v>
      </c>
    </row>
    <row r="8" spans="1:11" ht="15.75">
      <c r="A8" s="132" t="s">
        <v>44</v>
      </c>
      <c r="B8" s="133"/>
      <c r="C8" s="132"/>
      <c r="D8" s="132"/>
      <c r="E8" s="132"/>
      <c r="F8" s="134"/>
      <c r="G8" s="134"/>
      <c r="H8" s="132"/>
      <c r="I8" s="132"/>
      <c r="J8" s="132"/>
      <c r="K8" s="135"/>
    </row>
    <row r="9" spans="1:11" ht="15.75">
      <c r="A9" s="136" t="s">
        <v>249</v>
      </c>
      <c r="B9" s="309"/>
      <c r="C9" s="138"/>
      <c r="D9" s="33"/>
      <c r="E9" s="139"/>
      <c r="F9" s="140"/>
      <c r="G9" s="140"/>
      <c r="H9" s="139"/>
      <c r="I9" s="139"/>
      <c r="J9" s="139"/>
      <c r="K9" s="139"/>
    </row>
    <row r="10" spans="1:11" ht="15.75">
      <c r="A10" s="136"/>
      <c r="B10" s="309"/>
      <c r="C10" s="138"/>
      <c r="D10" s="33"/>
      <c r="E10" s="139"/>
      <c r="F10" s="140"/>
      <c r="G10" s="140"/>
      <c r="H10" s="139"/>
      <c r="I10" s="139"/>
      <c r="J10" s="139"/>
      <c r="K10" s="139"/>
    </row>
    <row r="11" spans="1:11" ht="15.75">
      <c r="A11" s="68" t="s">
        <v>138</v>
      </c>
      <c r="B11" s="141"/>
      <c r="C11" s="142"/>
      <c r="D11" s="31"/>
      <c r="E11" s="111">
        <f>SUM(E9:E10)</f>
        <v>0</v>
      </c>
      <c r="F11" s="143"/>
      <c r="G11" s="143"/>
      <c r="H11" s="111">
        <f>SUM(H9:H10)</f>
        <v>0</v>
      </c>
      <c r="I11" s="111">
        <f>SUM(I9:I10)</f>
        <v>0</v>
      </c>
      <c r="J11" s="111">
        <f>SUM(J9:J10)</f>
        <v>0</v>
      </c>
      <c r="K11" s="111">
        <f>SUM(K9:K10)</f>
        <v>0</v>
      </c>
    </row>
    <row r="12" spans="1:11" ht="15.75">
      <c r="A12" s="68" t="s">
        <v>20</v>
      </c>
      <c r="B12" s="141"/>
      <c r="C12" s="142"/>
      <c r="D12" s="31"/>
      <c r="E12" s="73"/>
      <c r="F12" s="143"/>
      <c r="G12" s="143"/>
      <c r="H12" s="73"/>
      <c r="I12" s="73"/>
      <c r="J12" s="73"/>
      <c r="K12" s="73"/>
    </row>
    <row r="13" spans="1:11" ht="15.75">
      <c r="A13" s="136" t="s">
        <v>249</v>
      </c>
      <c r="B13" s="309"/>
      <c r="C13" s="138"/>
      <c r="D13" s="33"/>
      <c r="E13" s="139"/>
      <c r="F13" s="140"/>
      <c r="G13" s="140"/>
      <c r="H13" s="139"/>
      <c r="I13" s="139"/>
      <c r="J13" s="139"/>
      <c r="K13" s="139"/>
    </row>
    <row r="14" spans="1:11" ht="15.75">
      <c r="A14" s="136"/>
      <c r="B14" s="309"/>
      <c r="C14" s="138"/>
      <c r="D14" s="33"/>
      <c r="E14" s="139"/>
      <c r="F14" s="140"/>
      <c r="G14" s="140"/>
      <c r="H14" s="139"/>
      <c r="I14" s="139"/>
      <c r="J14" s="139"/>
      <c r="K14" s="139"/>
    </row>
    <row r="15" spans="1:11" ht="15.75">
      <c r="A15" s="68" t="s">
        <v>139</v>
      </c>
      <c r="B15" s="141"/>
      <c r="C15" s="142"/>
      <c r="D15" s="31"/>
      <c r="E15" s="111">
        <f>SUM(E13:E14)</f>
        <v>0</v>
      </c>
      <c r="F15" s="143"/>
      <c r="G15" s="143"/>
      <c r="H15" s="111">
        <f>SUM(H13:H14)</f>
        <v>0</v>
      </c>
      <c r="I15" s="111">
        <f>SUM(I13:I14)</f>
        <v>0</v>
      </c>
      <c r="J15" s="111">
        <f>SUM(J13:J14)</f>
        <v>0</v>
      </c>
      <c r="K15" s="111">
        <f>SUM(K13:K14)</f>
        <v>0</v>
      </c>
    </row>
    <row r="16" spans="1:11" ht="15.75">
      <c r="A16" s="144" t="s">
        <v>72</v>
      </c>
      <c r="B16" s="145"/>
      <c r="C16" s="146"/>
      <c r="D16" s="147"/>
      <c r="E16" s="148">
        <f>SUM(E11+E15)</f>
        <v>0</v>
      </c>
      <c r="F16" s="145"/>
      <c r="G16" s="149"/>
      <c r="H16" s="148">
        <f>SUM(H11+H15)</f>
        <v>0</v>
      </c>
      <c r="I16" s="148">
        <f>SUM(I11+I15)</f>
        <v>0</v>
      </c>
      <c r="J16" s="148">
        <f>SUM(J11+J15)</f>
        <v>0</v>
      </c>
      <c r="K16" s="148">
        <f>SUM(K11+K15)</f>
        <v>0</v>
      </c>
    </row>
    <row r="17" spans="1:24" ht="15.75">
      <c r="A17" s="14"/>
      <c r="B17" s="14"/>
      <c r="C17" s="19"/>
      <c r="D17" s="19"/>
      <c r="E17" s="19"/>
      <c r="F17" s="19"/>
      <c r="G17" s="19"/>
      <c r="H17" s="19"/>
      <c r="I17" s="19"/>
      <c r="J17" s="19"/>
      <c r="K17" s="19"/>
      <c r="L17" s="71"/>
      <c r="M17" s="71"/>
      <c r="N17" s="71"/>
      <c r="O17" s="71"/>
      <c r="P17" s="71"/>
      <c r="Q17" s="71"/>
      <c r="R17" s="71"/>
      <c r="S17" s="71"/>
      <c r="T17" s="71"/>
      <c r="U17" s="71"/>
      <c r="V17" s="71"/>
      <c r="W17" s="71"/>
      <c r="X17" s="71"/>
    </row>
    <row r="18" spans="1:11" s="152" customFormat="1" ht="15.75">
      <c r="A18" s="120" t="s">
        <v>69</v>
      </c>
      <c r="B18" s="150"/>
      <c r="C18" s="150"/>
      <c r="D18" s="150"/>
      <c r="E18" s="98"/>
      <c r="F18" s="150"/>
      <c r="G18" s="150"/>
      <c r="H18" s="150"/>
      <c r="I18" s="150"/>
      <c r="J18" s="150"/>
      <c r="K18" s="151"/>
    </row>
    <row r="19" spans="1:11" s="152" customFormat="1" ht="15.75">
      <c r="A19" s="19"/>
      <c r="B19" s="153"/>
      <c r="C19" s="153"/>
      <c r="D19" s="153"/>
      <c r="E19" s="153"/>
      <c r="F19" s="153"/>
      <c r="G19" s="153"/>
      <c r="H19" s="153"/>
      <c r="I19" s="154"/>
      <c r="J19" s="154"/>
      <c r="K19" s="151"/>
    </row>
    <row r="20" spans="1:11" s="152" customFormat="1" ht="15.75">
      <c r="A20" s="108"/>
      <c r="B20" s="108"/>
      <c r="C20" s="122" t="s">
        <v>55</v>
      </c>
      <c r="D20" s="108"/>
      <c r="E20" s="122" t="s">
        <v>190</v>
      </c>
      <c r="F20" s="108"/>
      <c r="G20" s="108"/>
      <c r="H20" s="108"/>
      <c r="I20" s="155"/>
      <c r="J20" s="156"/>
      <c r="K20" s="151"/>
    </row>
    <row r="21" spans="1:11" s="152" customFormat="1" ht="15.75">
      <c r="A21" s="157"/>
      <c r="B21" s="125"/>
      <c r="C21" s="125" t="s">
        <v>50</v>
      </c>
      <c r="D21" s="125" t="s">
        <v>56</v>
      </c>
      <c r="E21" s="125" t="s">
        <v>4</v>
      </c>
      <c r="F21" s="125" t="s">
        <v>57</v>
      </c>
      <c r="G21" s="125" t="s">
        <v>58</v>
      </c>
      <c r="H21" s="125" t="s">
        <v>58</v>
      </c>
      <c r="I21" s="151"/>
      <c r="J21" s="151"/>
      <c r="K21" s="151"/>
    </row>
    <row r="22" spans="1:11" s="152" customFormat="1" ht="15.75">
      <c r="A22" s="157"/>
      <c r="B22" s="125" t="s">
        <v>59</v>
      </c>
      <c r="C22" s="125" t="s">
        <v>60</v>
      </c>
      <c r="D22" s="125" t="s">
        <v>3</v>
      </c>
      <c r="E22" s="125" t="s">
        <v>61</v>
      </c>
      <c r="F22" s="125" t="s">
        <v>97</v>
      </c>
      <c r="G22" s="125" t="s">
        <v>62</v>
      </c>
      <c r="H22" s="125" t="s">
        <v>62</v>
      </c>
      <c r="I22" s="151"/>
      <c r="J22" s="151"/>
      <c r="K22" s="151"/>
    </row>
    <row r="23" spans="1:11" s="152" customFormat="1" ht="15.75">
      <c r="A23" s="158" t="s">
        <v>63</v>
      </c>
      <c r="B23" s="129" t="s">
        <v>48</v>
      </c>
      <c r="C23" s="159" t="s">
        <v>64</v>
      </c>
      <c r="D23" s="129" t="s">
        <v>27</v>
      </c>
      <c r="E23" s="159" t="s">
        <v>114</v>
      </c>
      <c r="F23" s="130" t="str">
        <f>CONCATENATE("Jan 1,",K1-1,"")</f>
        <v>Jan 1,2011</v>
      </c>
      <c r="G23" s="129">
        <f>K1-1</f>
        <v>2011</v>
      </c>
      <c r="H23" s="129">
        <f>K1</f>
        <v>2012</v>
      </c>
      <c r="I23" s="151"/>
      <c r="J23" s="151"/>
      <c r="K23" s="151"/>
    </row>
    <row r="24" spans="1:11" s="152" customFormat="1" ht="15.75">
      <c r="A24" s="136" t="s">
        <v>249</v>
      </c>
      <c r="B24" s="137"/>
      <c r="C24" s="160"/>
      <c r="D24" s="138"/>
      <c r="E24" s="33"/>
      <c r="F24" s="33"/>
      <c r="G24" s="33"/>
      <c r="H24" s="33"/>
      <c r="I24" s="151"/>
      <c r="J24" s="151"/>
      <c r="K24" s="151"/>
    </row>
    <row r="25" spans="1:11" s="152" customFormat="1" ht="15.75">
      <c r="A25" s="136"/>
      <c r="B25" s="137"/>
      <c r="C25" s="160"/>
      <c r="D25" s="138"/>
      <c r="E25" s="33"/>
      <c r="F25" s="33"/>
      <c r="G25" s="33"/>
      <c r="H25" s="33"/>
      <c r="I25" s="151"/>
      <c r="J25" s="151"/>
      <c r="K25" s="151"/>
    </row>
    <row r="26" spans="1:11" s="152" customFormat="1" ht="15.75">
      <c r="A26" s="136"/>
      <c r="B26" s="137"/>
      <c r="C26" s="160"/>
      <c r="D26" s="138"/>
      <c r="E26" s="33"/>
      <c r="F26" s="33"/>
      <c r="G26" s="33"/>
      <c r="H26" s="33"/>
      <c r="I26" s="151"/>
      <c r="J26" s="151"/>
      <c r="K26" s="151"/>
    </row>
    <row r="27" spans="1:11" s="152" customFormat="1" ht="15.75">
      <c r="A27" s="136"/>
      <c r="B27" s="137"/>
      <c r="C27" s="160"/>
      <c r="D27" s="138"/>
      <c r="E27" s="33"/>
      <c r="F27" s="33"/>
      <c r="G27" s="33"/>
      <c r="H27" s="33"/>
      <c r="I27" s="151"/>
      <c r="J27" s="151"/>
      <c r="K27" s="151"/>
    </row>
    <row r="28" spans="1:11" s="152" customFormat="1" ht="15.75">
      <c r="A28" s="136"/>
      <c r="B28" s="137"/>
      <c r="C28" s="160"/>
      <c r="D28" s="138"/>
      <c r="E28" s="33"/>
      <c r="F28" s="33"/>
      <c r="G28" s="33"/>
      <c r="H28" s="33"/>
      <c r="I28" s="151"/>
      <c r="J28" s="151"/>
      <c r="K28" s="151"/>
    </row>
    <row r="29" spans="1:11" s="152" customFormat="1" ht="15.75">
      <c r="A29" s="136"/>
      <c r="B29" s="137"/>
      <c r="C29" s="160"/>
      <c r="D29" s="138"/>
      <c r="E29" s="33"/>
      <c r="F29" s="33"/>
      <c r="G29" s="33"/>
      <c r="H29" s="33"/>
      <c r="I29" s="151"/>
      <c r="J29" s="151"/>
      <c r="K29" s="151"/>
    </row>
    <row r="30" spans="1:11" s="152" customFormat="1" ht="15.75">
      <c r="A30" s="136"/>
      <c r="B30" s="137"/>
      <c r="C30" s="160"/>
      <c r="D30" s="138"/>
      <c r="E30" s="33"/>
      <c r="F30" s="33"/>
      <c r="G30" s="33"/>
      <c r="H30" s="33"/>
      <c r="I30" s="151"/>
      <c r="J30" s="151"/>
      <c r="K30" s="151"/>
    </row>
    <row r="31" spans="1:11" s="152" customFormat="1" ht="15.75">
      <c r="A31" s="136"/>
      <c r="B31" s="137"/>
      <c r="C31" s="160"/>
      <c r="D31" s="138"/>
      <c r="E31" s="33"/>
      <c r="F31" s="33"/>
      <c r="G31" s="33"/>
      <c r="H31" s="33"/>
      <c r="I31" s="151"/>
      <c r="J31" s="151"/>
      <c r="K31" s="151"/>
    </row>
    <row r="32" spans="1:11" s="152" customFormat="1" ht="15.75">
      <c r="A32" s="136"/>
      <c r="B32" s="137"/>
      <c r="C32" s="160"/>
      <c r="D32" s="138"/>
      <c r="E32" s="33"/>
      <c r="F32" s="33"/>
      <c r="G32" s="33"/>
      <c r="H32" s="33"/>
      <c r="I32" s="151"/>
      <c r="J32" s="151"/>
      <c r="K32" s="151"/>
    </row>
    <row r="33" spans="1:11" s="152" customFormat="1" ht="15.75">
      <c r="A33" s="136"/>
      <c r="B33" s="137"/>
      <c r="C33" s="160"/>
      <c r="D33" s="138"/>
      <c r="E33" s="33"/>
      <c r="F33" s="33"/>
      <c r="G33" s="33"/>
      <c r="H33" s="33"/>
      <c r="I33" s="151"/>
      <c r="J33" s="151"/>
      <c r="K33" s="151"/>
    </row>
    <row r="34" spans="1:11" s="152" customFormat="1" ht="15.75">
      <c r="A34" s="136"/>
      <c r="B34" s="137"/>
      <c r="C34" s="160"/>
      <c r="D34" s="138"/>
      <c r="E34" s="33"/>
      <c r="F34" s="33"/>
      <c r="G34" s="33"/>
      <c r="H34" s="33"/>
      <c r="I34" s="151"/>
      <c r="J34" s="151"/>
      <c r="K34" s="151"/>
    </row>
    <row r="35" spans="1:11" s="152" customFormat="1" ht="15.75">
      <c r="A35" s="136"/>
      <c r="B35" s="137"/>
      <c r="C35" s="160"/>
      <c r="D35" s="138"/>
      <c r="E35" s="33"/>
      <c r="F35" s="33"/>
      <c r="G35" s="33"/>
      <c r="H35" s="33"/>
      <c r="I35" s="151"/>
      <c r="J35" s="151"/>
      <c r="K35" s="151"/>
    </row>
    <row r="36" spans="1:11" ht="15.75">
      <c r="A36" s="144" t="s">
        <v>72</v>
      </c>
      <c r="B36" s="145"/>
      <c r="C36" s="146"/>
      <c r="D36" s="161"/>
      <c r="E36" s="149"/>
      <c r="F36" s="148">
        <f>SUM(F24:F35)</f>
        <v>0</v>
      </c>
      <c r="G36" s="148">
        <f>SUM(G24:G35)</f>
        <v>0</v>
      </c>
      <c r="H36" s="148">
        <f>SUM(H24:H35)</f>
        <v>0</v>
      </c>
      <c r="I36" s="118"/>
      <c r="J36" s="118"/>
      <c r="K36" s="162"/>
    </row>
    <row r="37" spans="1:11" ht="15.75">
      <c r="A37" s="118"/>
      <c r="B37" s="118"/>
      <c r="C37" s="118"/>
      <c r="D37" s="118"/>
      <c r="E37" s="118"/>
      <c r="F37" s="118"/>
      <c r="G37" s="118"/>
      <c r="H37" s="118"/>
      <c r="I37" s="118"/>
      <c r="J37" s="118"/>
      <c r="K37" s="118"/>
    </row>
    <row r="38" spans="1:11" ht="15.75">
      <c r="A38" s="163" t="s">
        <v>180</v>
      </c>
      <c r="B38" s="163"/>
      <c r="C38" s="163"/>
      <c r="D38" s="163"/>
      <c r="E38" s="163"/>
      <c r="F38" s="163"/>
      <c r="G38" s="163"/>
      <c r="H38" s="118"/>
      <c r="I38" s="118"/>
      <c r="J38" s="118"/>
      <c r="K38" s="118"/>
    </row>
    <row r="39" ht="15.75">
      <c r="A39" s="164"/>
    </row>
  </sheetData>
  <sheetProtection sheet="1"/>
  <printOptions/>
  <pageMargins left="0.5" right="0.5" top="1" bottom="0.5" header="0.5" footer="0.5"/>
  <pageSetup blackAndWhite="1" fitToHeight="1" fitToWidth="1" horizontalDpi="600" verticalDpi="600" orientation="landscape" scale="88" r:id="rId1"/>
  <headerFooter alignWithMargins="0">
    <oddHeader>&amp;RState of Kansas
Township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A22">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16384" width="8.796875" style="16" customWidth="1"/>
  </cols>
  <sheetData>
    <row r="1" spans="2:5" ht="15.75">
      <c r="B1" s="13" t="str">
        <f>inputPrYr!D2</f>
        <v>Kendall Township</v>
      </c>
      <c r="C1" s="14"/>
      <c r="D1" s="14"/>
      <c r="E1" s="15">
        <f>inputPrYr!D5</f>
        <v>2012</v>
      </c>
    </row>
    <row r="2" spans="2:5" ht="15.75">
      <c r="B2" s="17"/>
      <c r="C2" s="14"/>
      <c r="D2" s="14"/>
      <c r="E2" s="18"/>
    </row>
    <row r="3" spans="2:5" ht="15.75">
      <c r="B3" s="349" t="s">
        <v>240</v>
      </c>
      <c r="C3" s="20"/>
      <c r="D3" s="20"/>
      <c r="E3" s="21"/>
    </row>
    <row r="4" spans="2:5" ht="15.75">
      <c r="B4" s="22" t="s">
        <v>10</v>
      </c>
      <c r="C4" s="318" t="s">
        <v>11</v>
      </c>
      <c r="D4" s="321" t="s">
        <v>12</v>
      </c>
      <c r="E4" s="23" t="s">
        <v>13</v>
      </c>
    </row>
    <row r="5" spans="2:5" ht="15.75">
      <c r="B5" s="330" t="str">
        <f>inputPrYr!B16</f>
        <v>General</v>
      </c>
      <c r="C5" s="319" t="str">
        <f>CONCATENATE("Actual ",$E$1-2,"")</f>
        <v>Actual 2010</v>
      </c>
      <c r="D5" s="319" t="str">
        <f>CONCATENATE("Estimate ",$E$1-1,"")</f>
        <v>Estimate 2011</v>
      </c>
      <c r="E5" s="26" t="str">
        <f>CONCATENATE("Year ",$E$1,"")</f>
        <v>Year 2012</v>
      </c>
    </row>
    <row r="6" spans="2:5" ht="15.75">
      <c r="B6" s="27" t="s">
        <v>109</v>
      </c>
      <c r="C6" s="29">
        <v>4560</v>
      </c>
      <c r="D6" s="320">
        <f>C51</f>
        <v>160</v>
      </c>
      <c r="E6" s="31">
        <f>D51</f>
        <v>38.54999999999927</v>
      </c>
    </row>
    <row r="7" spans="2:5" ht="15.75">
      <c r="B7" s="27" t="s">
        <v>111</v>
      </c>
      <c r="C7" s="320"/>
      <c r="D7" s="320"/>
      <c r="E7" s="32"/>
    </row>
    <row r="8" spans="2:5" ht="15.75">
      <c r="B8" s="27" t="s">
        <v>15</v>
      </c>
      <c r="C8" s="29">
        <v>8924</v>
      </c>
      <c r="D8" s="320">
        <f>inputPrYr!E16*0.95</f>
        <v>8273.55</v>
      </c>
      <c r="E8" s="32" t="s">
        <v>204</v>
      </c>
    </row>
    <row r="9" spans="2:5" ht="15.75">
      <c r="B9" s="27" t="s">
        <v>16</v>
      </c>
      <c r="C9" s="29"/>
      <c r="D9" s="29"/>
      <c r="E9" s="33"/>
    </row>
    <row r="10" spans="2:5" ht="15.75">
      <c r="B10" s="27" t="s">
        <v>17</v>
      </c>
      <c r="C10" s="29"/>
      <c r="D10" s="29">
        <v>175</v>
      </c>
      <c r="E10" s="31">
        <f>mvalloc!G11</f>
        <v>300</v>
      </c>
    </row>
    <row r="11" spans="2:5" ht="15.75">
      <c r="B11" s="27" t="s">
        <v>18</v>
      </c>
      <c r="C11" s="29"/>
      <c r="D11" s="29">
        <v>2</v>
      </c>
      <c r="E11" s="31">
        <f>mvalloc!I11</f>
        <v>1</v>
      </c>
    </row>
    <row r="12" spans="2:5" ht="15.75">
      <c r="B12" s="34" t="s">
        <v>65</v>
      </c>
      <c r="C12" s="29"/>
      <c r="D12" s="29">
        <v>3</v>
      </c>
      <c r="E12" s="31">
        <f>mvalloc!J11</f>
        <v>10</v>
      </c>
    </row>
    <row r="13" spans="2:5" ht="15.75">
      <c r="B13" s="34" t="s">
        <v>145</v>
      </c>
      <c r="C13" s="29"/>
      <c r="D13" s="29"/>
      <c r="E13" s="31">
        <f>inputOth!E34</f>
        <v>0</v>
      </c>
    </row>
    <row r="14" spans="2:5" ht="15.75">
      <c r="B14" s="34" t="s">
        <v>146</v>
      </c>
      <c r="C14" s="29"/>
      <c r="D14" s="29"/>
      <c r="E14" s="31">
        <f>mvalloc!K11</f>
        <v>0</v>
      </c>
    </row>
    <row r="15" spans="2:5" ht="15.75">
      <c r="B15" s="34"/>
      <c r="C15" s="29"/>
      <c r="D15" s="29"/>
      <c r="E15" s="35"/>
    </row>
    <row r="16" spans="2:5" ht="15.75">
      <c r="B16" s="27" t="s">
        <v>19</v>
      </c>
      <c r="C16" s="29"/>
      <c r="D16" s="29"/>
      <c r="E16" s="31">
        <f>inputOth!E12</f>
        <v>0</v>
      </c>
    </row>
    <row r="17" spans="2:5" ht="15.75">
      <c r="B17" s="36" t="s">
        <v>250</v>
      </c>
      <c r="C17" s="29">
        <v>410</v>
      </c>
      <c r="D17" s="29">
        <v>400</v>
      </c>
      <c r="E17" s="33">
        <v>400</v>
      </c>
    </row>
    <row r="18" spans="2:5" ht="15.75">
      <c r="B18" s="36" t="s">
        <v>254</v>
      </c>
      <c r="C18" s="29">
        <v>250</v>
      </c>
      <c r="D18" s="29">
        <v>200</v>
      </c>
      <c r="E18" s="33">
        <v>200</v>
      </c>
    </row>
    <row r="19" spans="2:5" ht="15.75">
      <c r="B19" s="37"/>
      <c r="C19" s="29"/>
      <c r="D19" s="29"/>
      <c r="E19" s="33"/>
    </row>
    <row r="20" spans="2:5" ht="15.75">
      <c r="B20" s="37"/>
      <c r="C20" s="29"/>
      <c r="D20" s="29"/>
      <c r="E20" s="33"/>
    </row>
    <row r="21" spans="2:5" ht="15.75">
      <c r="B21" s="37"/>
      <c r="C21" s="29"/>
      <c r="D21" s="29"/>
      <c r="E21" s="33"/>
    </row>
    <row r="22" spans="2:5" ht="15.75">
      <c r="B22" s="36"/>
      <c r="C22" s="29"/>
      <c r="D22" s="29"/>
      <c r="E22" s="33"/>
    </row>
    <row r="23" spans="2:5" ht="15.75">
      <c r="B23" s="37" t="s">
        <v>21</v>
      </c>
      <c r="C23" s="29"/>
      <c r="D23" s="29"/>
      <c r="E23" s="33"/>
    </row>
    <row r="24" spans="2:5" ht="15.75">
      <c r="B24" s="38" t="s">
        <v>174</v>
      </c>
      <c r="C24" s="29"/>
      <c r="D24" s="29"/>
      <c r="E24" s="33"/>
    </row>
    <row r="25" spans="2:5" ht="15.75">
      <c r="B25" s="38" t="s">
        <v>175</v>
      </c>
      <c r="C25" s="317">
        <f>IF(C26*0.1&lt;C24,"Exceed 10% Rule","")</f>
      </c>
      <c r="D25" s="317">
        <f>IF(D26*0.1&lt;D24,"Exceed 10% Rule","")</f>
      </c>
      <c r="E25" s="43">
        <f>IF(E26*0.1+E57&lt;E24,"Exceed 10% Rule","")</f>
      </c>
    </row>
    <row r="26" spans="2:5" ht="15.75">
      <c r="B26" s="39" t="s">
        <v>22</v>
      </c>
      <c r="C26" s="322">
        <f>SUM(C8:C24)</f>
        <v>9584</v>
      </c>
      <c r="D26" s="322">
        <f>SUM(D8:D24)</f>
        <v>9053.55</v>
      </c>
      <c r="E26" s="40">
        <f>SUM(E8:E24)</f>
        <v>911</v>
      </c>
    </row>
    <row r="27" spans="2:5" ht="15.75">
      <c r="B27" s="41" t="s">
        <v>23</v>
      </c>
      <c r="C27" s="322">
        <f>C26+C6</f>
        <v>14144</v>
      </c>
      <c r="D27" s="322">
        <f>D26+D6</f>
        <v>9213.55</v>
      </c>
      <c r="E27" s="40">
        <f>E26+E6</f>
        <v>949.5499999999993</v>
      </c>
    </row>
    <row r="28" spans="2:5" ht="15.75">
      <c r="B28" s="27" t="s">
        <v>24</v>
      </c>
      <c r="C28" s="320"/>
      <c r="D28" s="320"/>
      <c r="E28" s="31"/>
    </row>
    <row r="29" spans="2:5" ht="15.75">
      <c r="B29" s="36" t="s">
        <v>251</v>
      </c>
      <c r="C29" s="29">
        <v>700</v>
      </c>
      <c r="D29" s="29">
        <v>700</v>
      </c>
      <c r="E29" s="33">
        <v>700</v>
      </c>
    </row>
    <row r="30" spans="2:5" ht="15.75">
      <c r="B30" s="37" t="s">
        <v>252</v>
      </c>
      <c r="C30" s="29">
        <v>2035</v>
      </c>
      <c r="D30" s="29">
        <v>400</v>
      </c>
      <c r="E30" s="33">
        <v>2100</v>
      </c>
    </row>
    <row r="31" spans="2:5" ht="15.75">
      <c r="B31" s="37" t="s">
        <v>29</v>
      </c>
      <c r="C31" s="29">
        <v>110</v>
      </c>
      <c r="D31" s="29">
        <v>200</v>
      </c>
      <c r="E31" s="33">
        <v>200</v>
      </c>
    </row>
    <row r="32" spans="2:5" ht="15.75">
      <c r="B32" s="37" t="s">
        <v>257</v>
      </c>
      <c r="C32" s="29">
        <v>3174</v>
      </c>
      <c r="D32" s="29">
        <v>100</v>
      </c>
      <c r="E32" s="33">
        <v>1500</v>
      </c>
    </row>
    <row r="33" spans="2:5" ht="15.75">
      <c r="B33" s="36" t="s">
        <v>253</v>
      </c>
      <c r="C33" s="29">
        <v>5597</v>
      </c>
      <c r="D33" s="29">
        <v>6000</v>
      </c>
      <c r="E33" s="33">
        <v>6300</v>
      </c>
    </row>
    <row r="34" spans="2:5" ht="15.75">
      <c r="B34" s="36" t="s">
        <v>116</v>
      </c>
      <c r="C34" s="29">
        <v>1365</v>
      </c>
      <c r="D34" s="29">
        <v>1375</v>
      </c>
      <c r="E34" s="33">
        <v>1500</v>
      </c>
    </row>
    <row r="35" spans="2:5" ht="15.75">
      <c r="B35" s="37" t="s">
        <v>255</v>
      </c>
      <c r="C35" s="29">
        <v>403</v>
      </c>
      <c r="D35" s="29">
        <v>400</v>
      </c>
      <c r="E35" s="33">
        <v>450</v>
      </c>
    </row>
    <row r="36" spans="2:5" ht="15.75">
      <c r="B36" s="37" t="s">
        <v>256</v>
      </c>
      <c r="C36" s="29">
        <v>600</v>
      </c>
      <c r="D36" s="29"/>
      <c r="E36" s="33">
        <v>600</v>
      </c>
    </row>
    <row r="37" spans="2:5" ht="15.75">
      <c r="B37" s="37"/>
      <c r="C37" s="29"/>
      <c r="D37" s="29"/>
      <c r="E37" s="33"/>
    </row>
    <row r="38" spans="2:5" ht="15.75">
      <c r="B38" s="36"/>
      <c r="C38" s="29"/>
      <c r="D38" s="29"/>
      <c r="E38" s="33"/>
    </row>
    <row r="39" spans="2:5" ht="15.75">
      <c r="B39" s="37"/>
      <c r="C39" s="29"/>
      <c r="D39" s="29"/>
      <c r="E39" s="33"/>
    </row>
    <row r="40" spans="2:5" ht="15.75">
      <c r="B40" s="37"/>
      <c r="C40" s="29"/>
      <c r="D40" s="29"/>
      <c r="E40" s="33"/>
    </row>
    <row r="41" spans="2:5" ht="15.75">
      <c r="B41" s="36"/>
      <c r="C41" s="29"/>
      <c r="D41" s="29"/>
      <c r="E41" s="33"/>
    </row>
    <row r="42" spans="2:5" ht="15.75">
      <c r="B42" s="37"/>
      <c r="C42" s="29"/>
      <c r="D42" s="29"/>
      <c r="E42" s="33"/>
    </row>
    <row r="43" spans="2:5" ht="15.75">
      <c r="B43" s="34" t="s">
        <v>182</v>
      </c>
      <c r="C43" s="29"/>
      <c r="D43" s="29"/>
      <c r="E43" s="33"/>
    </row>
    <row r="44" spans="2:5" ht="15.75">
      <c r="B44" s="34" t="s">
        <v>181</v>
      </c>
      <c r="C44" s="316">
        <f>IF(AND($C$43&gt;0,$C$8&gt;0),"Not Authorized","")</f>
      </c>
      <c r="D44" s="316">
        <f>IF(AND($D$43&gt;0,$D$8&gt;0),"Not Authorized","")</f>
      </c>
      <c r="E44" s="42">
        <f>IF(AND(cert!F20&gt;0,$E$43&gt;0),"Not Authorized","")</f>
      </c>
    </row>
    <row r="45" spans="2:5" ht="15.75">
      <c r="B45" s="27" t="s">
        <v>183</v>
      </c>
      <c r="C45" s="29"/>
      <c r="D45" s="29"/>
      <c r="E45" s="33"/>
    </row>
    <row r="46" spans="2:5" ht="15.75">
      <c r="B46" s="27" t="s">
        <v>235</v>
      </c>
      <c r="C46" s="317">
        <f>IF(C27*0.25&lt;C45,"Exceeds 25%","")</f>
      </c>
      <c r="D46" s="317">
        <f>IF(D27*0.25&lt;D45,"Exceeds 25%","")</f>
      </c>
      <c r="E46" s="43">
        <f>IF(E27*0.25+E57&lt;E45,"Exceeds 25%","")</f>
      </c>
    </row>
    <row r="47" spans="2:5" ht="15.75">
      <c r="B47" s="34" t="s">
        <v>176</v>
      </c>
      <c r="C47" s="29"/>
      <c r="D47" s="29"/>
      <c r="E47" s="44">
        <f>nhood!E6</f>
      </c>
    </row>
    <row r="48" spans="2:5" ht="15.75">
      <c r="B48" s="34" t="s">
        <v>174</v>
      </c>
      <c r="C48" s="29"/>
      <c r="D48" s="29"/>
      <c r="E48" s="33"/>
    </row>
    <row r="49" spans="2:5" ht="15.75">
      <c r="B49" s="34" t="s">
        <v>234</v>
      </c>
      <c r="C49" s="317">
        <f>IF(C50*0.1&lt;C48,"Exceed 10% Rule","")</f>
      </c>
      <c r="D49" s="317">
        <f>IF(D50*0.1&lt;D48,"Exceed 10% Rule","")</f>
      </c>
      <c r="E49" s="43">
        <f>IF(E50*0.1&lt;E48,"Exceed 10% Rule","")</f>
      </c>
    </row>
    <row r="50" spans="2:5" ht="15.75">
      <c r="B50" s="41" t="s">
        <v>25</v>
      </c>
      <c r="C50" s="314">
        <f>SUM(C29:C48)</f>
        <v>13984</v>
      </c>
      <c r="D50" s="314">
        <f>SUM(D29:D48)</f>
        <v>9175</v>
      </c>
      <c r="E50" s="45">
        <f>SUM(E29:E43,E45,E47:E48)</f>
        <v>13350</v>
      </c>
    </row>
    <row r="51" spans="2:5" ht="15.75">
      <c r="B51" s="27" t="s">
        <v>110</v>
      </c>
      <c r="C51" s="315">
        <f>C27-C50</f>
        <v>160</v>
      </c>
      <c r="D51" s="315">
        <f>SUM(D27-D50)</f>
        <v>38.54999999999927</v>
      </c>
      <c r="E51" s="32" t="s">
        <v>204</v>
      </c>
    </row>
    <row r="52" spans="2:6" ht="15.75">
      <c r="B52" s="46" t="str">
        <f>CONCATENATE("",E1-2,"/",E1-1," Budget Authority Amount:")</f>
        <v>2010/2011 Budget Authority Amount:</v>
      </c>
      <c r="C52" s="85">
        <f>inputOth!B46</f>
        <v>13300</v>
      </c>
      <c r="D52" s="114">
        <f>inputPrYr!D16</f>
        <v>12200</v>
      </c>
      <c r="E52" s="32" t="s">
        <v>204</v>
      </c>
      <c r="F52" s="48"/>
    </row>
    <row r="53" spans="2:6" ht="15.75">
      <c r="B53" s="46"/>
      <c r="C53" s="397" t="s">
        <v>236</v>
      </c>
      <c r="D53" s="398"/>
      <c r="E53" s="33"/>
      <c r="F53" s="336">
        <f>IF(E50/0.95-E50&lt;E53,"Exceeds 5%","")</f>
      </c>
    </row>
    <row r="54" spans="2:5" ht="15.75">
      <c r="B54" s="329" t="str">
        <f>CONCATENATE(C72,"     ",D72)</f>
        <v>See Tab A     </v>
      </c>
      <c r="C54" s="399" t="s">
        <v>237</v>
      </c>
      <c r="D54" s="400"/>
      <c r="E54" s="31">
        <f>E50+E53</f>
        <v>13350</v>
      </c>
    </row>
    <row r="55" spans="2:5" ht="15.75">
      <c r="B55" s="329" t="str">
        <f>CONCATENATE(C73,"     ",D73)</f>
        <v>     </v>
      </c>
      <c r="C55" s="57"/>
      <c r="D55" s="49" t="s">
        <v>26</v>
      </c>
      <c r="E55" s="44">
        <f>IF(E54-E27&gt;0,E54-E27,0)</f>
        <v>12400.45</v>
      </c>
    </row>
    <row r="56" spans="2:5" ht="15.75">
      <c r="B56" s="49"/>
      <c r="C56" s="331" t="s">
        <v>238</v>
      </c>
      <c r="D56" s="328">
        <f>inputOth!$E$40</f>
        <v>0.04</v>
      </c>
      <c r="E56" s="31">
        <f>ROUND(IF(D56&gt;0,(E55*D56),0),0)</f>
        <v>496</v>
      </c>
    </row>
    <row r="57" spans="2:5" ht="15.75">
      <c r="B57" s="14"/>
      <c r="C57" s="395" t="str">
        <f>CONCATENATE("Amount of  ",$E$1-1," Ad Valorem Tax")</f>
        <v>Amount of  2011 Ad Valorem Tax</v>
      </c>
      <c r="D57" s="396"/>
      <c r="E57" s="44">
        <f>E55+E56</f>
        <v>12896.45</v>
      </c>
    </row>
    <row r="58" spans="2:5" ht="15.75">
      <c r="B58" s="14"/>
      <c r="C58" s="14"/>
      <c r="D58" s="14"/>
      <c r="E58" s="14"/>
    </row>
    <row r="59" spans="2:5" s="51" customFormat="1" ht="15.75">
      <c r="B59" s="19"/>
      <c r="C59" s="19"/>
      <c r="D59" s="50"/>
      <c r="E59" s="19"/>
    </row>
    <row r="60" spans="2:5" s="53" customFormat="1" ht="15.75">
      <c r="B60" s="14"/>
      <c r="C60" s="14"/>
      <c r="D60" s="52"/>
      <c r="E60" s="14"/>
    </row>
    <row r="61" spans="2:5" ht="15.75">
      <c r="B61" s="49" t="s">
        <v>9</v>
      </c>
      <c r="C61" s="332">
        <v>6</v>
      </c>
      <c r="D61" s="14"/>
      <c r="E61" s="52"/>
    </row>
    <row r="63" ht="15.75">
      <c r="B63" s="12"/>
    </row>
    <row r="66" ht="15.75">
      <c r="E66" s="54"/>
    </row>
    <row r="68" ht="15.75">
      <c r="E68" s="54"/>
    </row>
    <row r="70" ht="15.75">
      <c r="C70" s="55"/>
    </row>
    <row r="71" spans="3:5" ht="15.75">
      <c r="C71" s="54"/>
      <c r="E71" s="54"/>
    </row>
    <row r="72" spans="3:4" ht="15.75" hidden="1">
      <c r="C72" s="16" t="str">
        <f>IF(C50&gt;C52,"See Tab A","")</f>
        <v>See Tab A</v>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3" dxfId="20" operator="greaterThan" stopIfTrue="1">
      <formula>$E$50/0.95-$E$50</formula>
    </cfRule>
  </conditionalFormatting>
  <conditionalFormatting sqref="C48">
    <cfRule type="cellIs" priority="14" dxfId="20" operator="greaterThan" stopIfTrue="1">
      <formula>$C$50*0.1</formula>
    </cfRule>
  </conditionalFormatting>
  <conditionalFormatting sqref="D48">
    <cfRule type="cellIs" priority="15" dxfId="20" operator="greaterThan" stopIfTrue="1">
      <formula>$D$50*0.1</formula>
    </cfRule>
  </conditionalFormatting>
  <conditionalFormatting sqref="E48">
    <cfRule type="cellIs" priority="16" dxfId="20" operator="greaterThan" stopIfTrue="1">
      <formula>$E$50*0.1</formula>
    </cfRule>
  </conditionalFormatting>
  <conditionalFormatting sqref="C51">
    <cfRule type="cellIs" priority="18" dxfId="2" operator="lessThan" stopIfTrue="1">
      <formula>0</formula>
    </cfRule>
  </conditionalFormatting>
  <conditionalFormatting sqref="D50">
    <cfRule type="cellIs" priority="19" dxfId="2" operator="greaterThan" stopIfTrue="1">
      <formula>$D$52</formula>
    </cfRule>
  </conditionalFormatting>
  <conditionalFormatting sqref="C45">
    <cfRule type="cellIs" priority="20" dxfId="20" operator="greaterThan" stopIfTrue="1">
      <formula>$C$27*0.25</formula>
    </cfRule>
  </conditionalFormatting>
  <conditionalFormatting sqref="C24">
    <cfRule type="cellIs" priority="21" dxfId="20" operator="greaterThan" stopIfTrue="1">
      <formula>$C$26*0.1</formula>
    </cfRule>
  </conditionalFormatting>
  <conditionalFormatting sqref="D24">
    <cfRule type="cellIs" priority="22" dxfId="20" operator="greaterThan" stopIfTrue="1">
      <formula>$D$26*0.1</formula>
    </cfRule>
  </conditionalFormatting>
  <conditionalFormatting sqref="E24">
    <cfRule type="cellIs" priority="23" dxfId="20" operator="greaterThan" stopIfTrue="1">
      <formula>$E$26*0.1+$E$57</formula>
    </cfRule>
  </conditionalFormatting>
  <conditionalFormatting sqref="C42">
    <cfRule type="expression" priority="24" dxfId="2" stopIfTrue="1">
      <formula>"Mike"</formula>
    </cfRule>
  </conditionalFormatting>
  <conditionalFormatting sqref="D45">
    <cfRule type="cellIs" priority="25" dxfId="20" operator="greaterThan" stopIfTrue="1">
      <formula>$D$27*0.25</formula>
    </cfRule>
  </conditionalFormatting>
  <conditionalFormatting sqref="E45">
    <cfRule type="cellIs" priority="26" dxfId="20" operator="greaterThan" stopIfTrue="1">
      <formula>$E$27*0.25+$E$57</formula>
    </cfRule>
  </conditionalFormatting>
  <conditionalFormatting sqref="C43:D43">
    <cfRule type="expression" priority="27" dxfId="20" stopIfTrue="1">
      <formula>$C$8&gt;0</formula>
    </cfRule>
  </conditionalFormatting>
  <conditionalFormatting sqref="D43">
    <cfRule type="expression" priority="29" dxfId="2" stopIfTrue="1">
      <formula>$D$8&gt;0</formula>
    </cfRule>
  </conditionalFormatting>
  <conditionalFormatting sqref="C50">
    <cfRule type="cellIs" priority="11" dxfId="2" operator="greaterThan" stopIfTrue="1">
      <formula>$C$52</formula>
    </cfRule>
  </conditionalFormatting>
  <conditionalFormatting sqref="D51">
    <cfRule type="cellIs" priority="10" dxfId="0" operator="lessThan" stopIfTrue="1">
      <formula>0</formula>
    </cfRule>
  </conditionalFormatting>
  <conditionalFormatting sqref="E43">
    <cfRule type="expression" priority="3"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2011-07-29T20:10:07Z</cp:lastPrinted>
  <dcterms:created xsi:type="dcterms:W3CDTF">1998-08-26T16:30:41Z</dcterms:created>
  <dcterms:modified xsi:type="dcterms:W3CDTF">2011-07-29T20:11:29Z</dcterms:modified>
  <cp:category/>
  <cp:version/>
  <cp:contentType/>
  <cp:contentStatus/>
</cp:coreProperties>
</file>