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road" sheetId="12" r:id="rId12"/>
    <sheet name="summ" sheetId="13" r:id="rId13"/>
    <sheet name="DebtService"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1">'road'!$B$1:$F$68</definedName>
    <definedName name="_xlnm.Print_Area" localSheetId="12">'summ'!$B$1:$I$37</definedName>
  </definedNames>
  <calcPr fullCalcOnLoad="1"/>
</workbook>
</file>

<file path=xl/sharedStrings.xml><?xml version="1.0" encoding="utf-8"?>
<sst xmlns="http://schemas.openxmlformats.org/spreadsheetml/2006/main" count="1376" uniqueCount="826">
  <si>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</si>
  <si>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</si>
  <si>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</si>
  <si>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</si>
  <si>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</si>
  <si>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</si>
  <si>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</si>
  <si>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</si>
  <si>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</si>
  <si>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</si>
  <si>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</si>
  <si>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</si>
  <si>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</si>
  <si>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</si>
  <si>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</si>
  <si>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</si>
  <si>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</si>
  <si>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</si>
  <si>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</si>
  <si>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</si>
  <si>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</si>
  <si>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</si>
  <si>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</si>
  <si>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</si>
  <si>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</si>
  <si>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</si>
  <si>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</si>
  <si>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</si>
  <si>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</si>
  <si>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</si>
  <si>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</si>
  <si>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</si>
  <si>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</si>
  <si>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</si>
  <si>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</si>
  <si>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</si>
  <si>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</si>
  <si>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</si>
  <si>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</si>
  <si>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</si>
  <si>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</si>
  <si>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</si>
  <si>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</si>
  <si>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</si>
  <si>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</si>
  <si>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</si>
  <si>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</si>
  <si>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</si>
  <si>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</si>
  <si>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</si>
  <si>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</si>
  <si>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</si>
  <si>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</si>
  <si>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</si>
  <si>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</si>
  <si>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</si>
  <si>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</si>
  <si>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</si>
  <si>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</si>
  <si>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</si>
  <si>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</si>
  <si>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</si>
  <si>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</si>
  <si>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</si>
  <si>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</si>
  <si>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</si>
  <si>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</si>
  <si>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</si>
  <si>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</si>
  <si>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</si>
  <si>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</si>
  <si>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</si>
  <si>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</si>
  <si>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</si>
  <si>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</si>
  <si>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</si>
  <si>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</si>
  <si>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</si>
  <si>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</si>
  <si>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</si>
  <si>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</si>
  <si>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</si>
  <si>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</si>
  <si>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</si>
  <si>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</si>
  <si>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</si>
  <si>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</si>
  <si>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</si>
  <si>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</si>
  <si>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</si>
  <si>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</si>
  <si>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</si>
  <si>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</si>
  <si>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</si>
  <si>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</si>
  <si>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</si>
  <si>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</si>
  <si>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</si>
  <si>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</si>
  <si>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</si>
  <si>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</si>
  <si>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</si>
  <si>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</si>
  <si>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</si>
  <si>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</si>
  <si>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</si>
  <si>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</si>
  <si>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</si>
  <si>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</si>
  <si>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</si>
  <si>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</si>
  <si>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</si>
  <si>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</si>
  <si>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</si>
  <si>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</si>
  <si>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</si>
  <si>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</si>
  <si>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</si>
  <si>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</si>
  <si>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</si>
  <si>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</si>
  <si>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</si>
  <si>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</si>
  <si>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</si>
  <si>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</si>
  <si>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</si>
  <si>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</si>
  <si>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</si>
  <si>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</si>
  <si>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</si>
  <si>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</si>
  <si>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</si>
  <si>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</si>
  <si>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</si>
  <si>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</si>
  <si>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</si>
  <si>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</si>
  <si>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</si>
  <si>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</si>
  <si>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</si>
  <si>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</si>
  <si>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</si>
  <si>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</si>
  <si>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</si>
  <si>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</si>
  <si>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</si>
  <si>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</si>
  <si>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</si>
  <si>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</si>
  <si>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</si>
  <si>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</si>
  <si>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</si>
  <si>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</si>
  <si>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</si>
  <si>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</si>
  <si>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</si>
  <si>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</si>
  <si>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</si>
  <si>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</si>
  <si>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</si>
  <si>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</si>
  <si>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</si>
  <si>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</si>
  <si>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</si>
  <si>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</si>
  <si>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</si>
  <si>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</si>
  <si>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</si>
  <si>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</si>
  <si>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</si>
  <si>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</si>
  <si>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</si>
  <si>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</si>
  <si>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</si>
  <si>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</si>
  <si>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</si>
  <si>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</si>
  <si>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</si>
  <si>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</si>
  <si>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</si>
  <si>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</si>
  <si>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</si>
  <si>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</si>
  <si>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</si>
  <si>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</si>
  <si>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</si>
  <si>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</si>
  <si>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</si>
  <si>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</si>
  <si>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</si>
  <si>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</si>
  <si>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</si>
  <si>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</si>
  <si>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</si>
  <si>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</si>
  <si>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</si>
  <si>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</si>
  <si>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</si>
  <si>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</si>
  <si>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</si>
  <si>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</si>
  <si>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</si>
  <si>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</si>
  <si>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</si>
  <si>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</si>
  <si>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</si>
  <si>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</si>
  <si>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</si>
  <si>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</si>
  <si>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</si>
  <si>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</si>
  <si>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</si>
  <si>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</si>
  <si>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</si>
  <si>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</si>
  <si>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</si>
  <si>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</si>
  <si>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</si>
  <si>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</si>
  <si>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</si>
  <si>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</si>
  <si>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</si>
  <si>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</si>
  <si>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</si>
  <si>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</si>
  <si>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</si>
  <si>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</si>
  <si>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</si>
  <si>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</si>
  <si>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</si>
  <si>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</si>
  <si>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</si>
  <si>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</si>
  <si>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</si>
  <si>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</si>
  <si>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</si>
  <si>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</si>
  <si>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</si>
  <si>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</si>
  <si>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</si>
  <si>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</si>
  <si>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</si>
  <si>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</si>
  <si>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</si>
  <si>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</si>
  <si>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</si>
  <si>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</si>
  <si>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</si>
  <si>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</si>
  <si>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</si>
  <si>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</si>
  <si>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</si>
  <si>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</si>
  <si>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</si>
  <si>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</si>
  <si>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</si>
  <si>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</si>
  <si>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</si>
  <si>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</si>
  <si>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</si>
  <si>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</si>
  <si>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</si>
  <si>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</si>
  <si>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</si>
  <si>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</si>
  <si>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</si>
  <si>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</si>
  <si>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</si>
  <si>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</si>
  <si>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</si>
  <si>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</si>
  <si>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</si>
  <si>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</si>
  <si>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</si>
  <si>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</si>
  <si>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</si>
  <si>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</si>
  <si>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</si>
  <si>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</si>
  <si>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</si>
  <si>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</si>
  <si>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</si>
  <si>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</si>
  <si>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</si>
  <si>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</si>
  <si>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</si>
  <si>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</si>
  <si>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</si>
  <si>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</si>
  <si>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</si>
  <si>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</si>
  <si>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</si>
  <si>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</si>
  <si>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</si>
  <si>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</si>
  <si>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</si>
  <si>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</si>
  <si>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</si>
  <si>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</si>
  <si>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</si>
  <si>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</si>
  <si>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</si>
  <si>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</si>
  <si>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</si>
  <si>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</si>
  <si>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</si>
  <si>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</si>
  <si>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</si>
  <si>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</si>
  <si>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</si>
  <si>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</si>
  <si>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</si>
  <si>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</si>
  <si>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</si>
  <si>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</si>
  <si>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</si>
  <si>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</si>
  <si>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</si>
  <si>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</si>
  <si>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</si>
  <si>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</si>
  <si>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</si>
  <si>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</si>
  <si>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</si>
  <si>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</si>
  <si>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</si>
  <si>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</si>
  <si>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</si>
  <si>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</si>
  <si>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</si>
  <si>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</si>
  <si>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</si>
  <si>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</si>
  <si>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</si>
  <si>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</si>
  <si>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</si>
  <si>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</si>
  <si>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</si>
  <si>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</si>
  <si>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</si>
  <si>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</si>
  <si>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</si>
  <si>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</si>
  <si>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</si>
  <si>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</si>
  <si>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</si>
  <si>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</si>
  <si>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</si>
  <si>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</si>
  <si>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</si>
  <si>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</si>
  <si>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</si>
  <si>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</si>
  <si>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</si>
  <si>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</si>
  <si>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</si>
  <si>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</si>
  <si>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</si>
  <si>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</si>
  <si>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</si>
  <si>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</si>
  <si>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</si>
  <si>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</si>
  <si>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</si>
  <si>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</si>
  <si>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</si>
  <si>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</si>
  <si>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</si>
  <si>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</si>
  <si>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</si>
  <si>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</si>
  <si>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</si>
  <si>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</si>
  <si>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</si>
  <si>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</si>
  <si>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</si>
  <si>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</si>
  <si>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</si>
  <si>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</si>
  <si>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</si>
  <si>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</si>
  <si>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</si>
  <si>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</si>
  <si>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</si>
  <si>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</si>
  <si>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</si>
  <si>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</si>
  <si>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</si>
  <si>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</si>
  <si>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</si>
  <si>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</si>
  <si>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</si>
  <si>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</si>
  <si>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</si>
  <si>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</si>
  <si>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</si>
  <si>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</si>
  <si>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</si>
  <si>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</si>
  <si>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</si>
  <si>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</si>
  <si>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</si>
  <si>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</si>
  <si>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</si>
  <si>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</si>
  <si>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</si>
  <si>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</si>
  <si>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</si>
  <si>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</si>
  <si>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</si>
  <si>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</si>
  <si>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</si>
  <si>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</si>
  <si>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</si>
  <si>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</si>
  <si>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</si>
  <si>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</si>
  <si>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</si>
  <si>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</si>
  <si>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</si>
  <si>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</si>
  <si>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</si>
  <si>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</si>
  <si>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</si>
  <si>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</si>
  <si>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</si>
  <si>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</si>
  <si>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</si>
  <si>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</si>
  <si>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</si>
  <si>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</si>
  <si>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</si>
  <si>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</si>
  <si>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</si>
  <si>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</si>
  <si>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</si>
  <si>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</si>
  <si>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</si>
  <si>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</si>
  <si>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</si>
  <si>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</si>
  <si>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</si>
  <si>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</si>
  <si>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</si>
  <si>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</si>
  <si>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</si>
  <si>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</si>
  <si>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</si>
  <si>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</si>
  <si>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</si>
  <si>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</si>
  <si>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</si>
  <si>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</si>
  <si>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</si>
  <si>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</si>
  <si>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</si>
  <si>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</si>
  <si>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</si>
  <si>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</si>
  <si>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</si>
  <si>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</si>
  <si>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</si>
  <si>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</si>
  <si>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</si>
  <si>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</si>
  <si>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</si>
  <si>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</si>
  <si>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</si>
  <si>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</si>
  <si>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</si>
  <si>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</si>
  <si>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</si>
  <si>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</si>
  <si>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</si>
  <si>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</si>
  <si>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</si>
  <si>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</si>
  <si>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</si>
  <si>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</si>
  <si>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</si>
  <si>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</si>
  <si>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</si>
  <si>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</si>
  <si>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</si>
  <si>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</si>
  <si>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</si>
  <si>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</si>
  <si>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</si>
  <si>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</si>
  <si>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</si>
  <si>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</si>
  <si>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</si>
  <si>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</si>
  <si>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</si>
  <si>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</si>
  <si>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</si>
  <si>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</si>
  <si>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</si>
  <si>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</si>
  <si>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</si>
  <si>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</si>
  <si>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</si>
  <si>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</si>
  <si>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</si>
  <si>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</si>
  <si>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</si>
  <si>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</si>
  <si>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</si>
  <si>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</si>
  <si>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</si>
  <si>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</si>
  <si>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</si>
  <si>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</si>
  <si>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</si>
  <si>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</si>
  <si>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</si>
  <si>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</si>
  <si>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</si>
  <si>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</si>
  <si>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</si>
  <si>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</si>
  <si>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</si>
  <si>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</si>
  <si>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</si>
  <si>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</si>
  <si>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</si>
  <si>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</si>
  <si>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</si>
  <si>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</si>
  <si>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</si>
  <si>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</si>
  <si>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</si>
  <si>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</si>
  <si>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</si>
  <si>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</si>
  <si>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</si>
  <si>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</si>
  <si>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</si>
  <si>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</si>
  <si>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</si>
  <si>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</si>
  <si>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</si>
  <si>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</si>
  <si>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</si>
  <si>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</si>
  <si>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</si>
  <si>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</si>
  <si>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</si>
  <si>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</si>
  <si>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</si>
  <si>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</si>
  <si>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</si>
  <si>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</si>
  <si>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</si>
  <si>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</si>
  <si>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</si>
  <si>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</si>
  <si>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</si>
  <si>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</si>
  <si>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</si>
  <si>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</si>
  <si>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</si>
  <si>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</si>
  <si>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</si>
  <si>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</si>
  <si>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</si>
  <si>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</si>
  <si>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</si>
  <si>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</si>
  <si>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</si>
  <si>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</si>
  <si>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</si>
  <si>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</si>
  <si>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</si>
  <si>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</si>
  <si>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</si>
  <si>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</si>
  <si>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</si>
  <si>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</si>
  <si>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</si>
  <si>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</si>
  <si>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</si>
  <si>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</si>
  <si>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</si>
  <si>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</si>
  <si>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</si>
  <si>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</si>
  <si>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</si>
  <si>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</si>
  <si>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</si>
  <si>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</si>
  <si>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</si>
  <si>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</si>
  <si>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</si>
  <si>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</si>
  <si>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</si>
  <si>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</si>
  <si>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</si>
  <si>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</si>
  <si>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</si>
  <si>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</si>
  <si>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</si>
  <si>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</si>
  <si>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</si>
  <si>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</si>
  <si>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</si>
  <si>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</si>
  <si>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</si>
  <si>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</si>
  <si>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</si>
  <si>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</si>
  <si>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</si>
  <si>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</si>
  <si>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</si>
  <si>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</si>
  <si>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</si>
  <si>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</si>
  <si>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</si>
  <si>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</si>
  <si>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</si>
  <si>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</si>
  <si>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</si>
  <si>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</si>
  <si>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</si>
  <si>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</si>
  <si>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</si>
  <si>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</si>
  <si>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</si>
  <si>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</si>
  <si>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</si>
  <si>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</si>
  <si>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</si>
  <si>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</si>
  <si>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</si>
  <si>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</si>
  <si>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</si>
  <si>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</si>
  <si>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</si>
  <si>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</si>
  <si>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</si>
  <si>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</si>
  <si>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</si>
  <si>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</si>
  <si>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</si>
  <si>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</si>
  <si>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</si>
  <si>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</si>
  <si>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</si>
  <si>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</si>
  <si>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</si>
  <si>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</si>
  <si>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</si>
  <si>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</si>
  <si>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</si>
  <si>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</si>
  <si>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</si>
  <si>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</si>
  <si>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</si>
  <si>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</si>
  <si>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</si>
  <si>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</si>
  <si>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</si>
  <si>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</si>
  <si>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</si>
  <si>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</si>
  <si>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</si>
  <si>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</si>
  <si>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</si>
  <si>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</si>
  <si>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</si>
  <si>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</si>
  <si>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</si>
  <si>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</si>
  <si>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</si>
  <si>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</si>
  <si>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</si>
  <si>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</si>
  <si>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</si>
  <si>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</si>
  <si>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</si>
  <si>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</si>
  <si>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</si>
  <si>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</si>
  <si>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</si>
  <si>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</si>
  <si>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</si>
  <si>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</si>
  <si>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</si>
  <si>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</si>
  <si>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</si>
  <si>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</si>
  <si>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</si>
  <si>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</si>
  <si>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</si>
  <si>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</si>
  <si>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</si>
  <si>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</si>
  <si>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</si>
  <si>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</si>
  <si>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</si>
  <si>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</si>
  <si>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</si>
  <si>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</si>
  <si>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</si>
  <si>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</si>
  <si>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</si>
  <si>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</si>
  <si>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</si>
  <si>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</si>
  <si>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</si>
  <si>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</si>
  <si>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</si>
  <si>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</si>
  <si>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</si>
  <si>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</si>
  <si>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</si>
  <si>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</si>
  <si>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</si>
  <si>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</si>
  <si>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</si>
  <si>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</si>
  <si>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</si>
  <si>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</si>
  <si>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</si>
  <si>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</si>
  <si>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</si>
  <si>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</si>
  <si>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</si>
  <si>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</si>
  <si>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</si>
  <si>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</si>
  <si>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</si>
  <si>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</si>
  <si>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</si>
  <si>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</si>
  <si>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</si>
  <si>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</si>
  <si>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</si>
  <si>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</si>
  <si>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</si>
  <si>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</si>
  <si>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</si>
  <si>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</si>
  <si>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</si>
  <si>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</si>
  <si>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</si>
  <si>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</si>
  <si>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</si>
  <si>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</si>
  <si>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</si>
  <si>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</si>
  <si>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</si>
  <si>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</si>
  <si>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</si>
  <si>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</si>
  <si>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</si>
  <si>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</si>
  <si>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</si>
  <si>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</si>
  <si>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</si>
  <si>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</si>
  <si>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</si>
  <si>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</si>
  <si>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</si>
  <si>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</si>
  <si>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</si>
  <si>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</si>
  <si>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</si>
  <si>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</si>
  <si>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</si>
  <si>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</si>
  <si>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</si>
  <si>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</si>
  <si>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</si>
  <si>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</si>
  <si>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</si>
  <si>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</si>
  <si>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</si>
  <si>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</si>
  <si>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</si>
  <si>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</si>
  <si>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</si>
  <si>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</si>
  <si>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</si>
  <si>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</si>
  <si>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</si>
  <si>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</si>
  <si>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</si>
  <si>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</si>
  <si>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</si>
  <si>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</si>
  <si>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</si>
  <si>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</si>
  <si>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</si>
  <si>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</si>
  <si>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</si>
  <si>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</si>
  <si>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</si>
  <si>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</si>
  <si>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</si>
  <si>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</si>
  <si>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</si>
  <si>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</si>
  <si>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</si>
  <si>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</si>
  <si>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</si>
  <si>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</si>
  <si>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</si>
  <si>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</si>
  <si>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</si>
  <si>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</si>
  <si>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</si>
  <si>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North Brown Township</t>
  </si>
  <si>
    <t>Edwards County</t>
  </si>
  <si>
    <t>Municipal Services</t>
  </si>
  <si>
    <t>7:00 p.m.</t>
  </si>
  <si>
    <t>Edwards County Clerk's Office</t>
  </si>
  <si>
    <t>Rodney Strate's residence</t>
  </si>
  <si>
    <t>Budget/Publication</t>
  </si>
  <si>
    <t>Fire Protection</t>
  </si>
  <si>
    <t>Diesel Fuel</t>
  </si>
  <si>
    <t>Ed Co Public Works</t>
  </si>
  <si>
    <t>NONE</t>
  </si>
  <si>
    <t>Mark Handshy</t>
  </si>
  <si>
    <t>Capital Outlay</t>
  </si>
  <si>
    <t>August 16,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</si>
</sst>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33" borderId="14" xfId="0" applyNumberFormat="1" applyFont="1" applyFill="1" applyBorder="1" applyAlignment="1" applyProtection="1">
      <alignment horizontal="lef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335</v>
      </c>
    </row>
    <row r="6" ht="15.75">
      <c r="A6" s="360"/>
    </row>
    <row r="7" ht="34.5" customHeight="1">
      <c r="A7" s="360" t="s">
        <v>353</v>
      </c>
    </row>
    <row r="8" ht="15.75">
      <c r="A8" s="360"/>
    </row>
    <row r="9" ht="15.75">
      <c r="A9" s="360" t="s">
        <v>184</v>
      </c>
    </row>
    <row r="12" ht="15.75">
      <c r="A12" s="362" t="s">
        <v>231</v>
      </c>
    </row>
    <row r="13" ht="15.75">
      <c r="A13" s="362"/>
    </row>
    <row r="14" ht="18.75" customHeight="1">
      <c r="A14" s="364" t="s">
        <v>233</v>
      </c>
    </row>
    <row r="16" ht="39" customHeight="1">
      <c r="A16" s="365" t="s">
        <v>367</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749</v>
      </c>
    </row>
    <row r="40" ht="57.75" customHeight="1">
      <c r="A40" s="371" t="s">
        <v>191</v>
      </c>
    </row>
    <row r="41" ht="10.5" customHeight="1">
      <c r="A41" s="360"/>
    </row>
    <row r="42" ht="65.25" customHeight="1">
      <c r="A42" s="360" t="s">
        <v>750</v>
      </c>
    </row>
    <row r="43" ht="59.25" customHeight="1">
      <c r="A43" s="360" t="s">
        <v>192</v>
      </c>
    </row>
    <row r="44" ht="84.75" customHeight="1">
      <c r="A44" s="360" t="s">
        <v>272</v>
      </c>
    </row>
    <row r="45" ht="12" customHeight="1">
      <c r="A45" s="360"/>
    </row>
    <row r="46" ht="67.5" customHeight="1">
      <c r="A46" s="398" t="s">
        <v>605</v>
      </c>
    </row>
    <row r="47" ht="69.75" customHeight="1">
      <c r="A47" s="394"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751</v>
      </c>
    </row>
    <row r="70" ht="63" customHeight="1">
      <c r="A70" s="601" t="s">
        <v>752</v>
      </c>
    </row>
    <row r="71" ht="57" customHeight="1">
      <c r="A71" s="601" t="s">
        <v>753</v>
      </c>
    </row>
    <row r="72" ht="60" customHeight="1">
      <c r="A72" s="360" t="s">
        <v>754</v>
      </c>
    </row>
    <row r="73" ht="117.75" customHeight="1">
      <c r="A73" s="360" t="s">
        <v>755</v>
      </c>
    </row>
    <row r="74" ht="59.25" customHeight="1">
      <c r="A74" s="360" t="s">
        <v>756</v>
      </c>
    </row>
    <row r="75" ht="59.25" customHeight="1">
      <c r="A75" s="601" t="s">
        <v>757</v>
      </c>
    </row>
    <row r="76" ht="84.75" customHeight="1">
      <c r="A76" s="360" t="s">
        <v>758</v>
      </c>
    </row>
    <row r="77" ht="102.75" customHeight="1">
      <c r="A77" s="360" t="s">
        <v>759</v>
      </c>
    </row>
    <row r="78" ht="102.75" customHeight="1">
      <c r="A78" s="372" t="s">
        <v>760</v>
      </c>
    </row>
    <row r="79" ht="54" customHeight="1">
      <c r="A79" s="363" t="s">
        <v>761</v>
      </c>
    </row>
    <row r="80" ht="115.5" customHeight="1">
      <c r="A80" s="360" t="s">
        <v>762</v>
      </c>
    </row>
    <row r="81" ht="78" customHeight="1">
      <c r="A81" s="372" t="s">
        <v>763</v>
      </c>
    </row>
    <row r="82" ht="124.5" customHeight="1">
      <c r="A82" s="372" t="s">
        <v>764</v>
      </c>
    </row>
    <row r="83" ht="138" customHeight="1">
      <c r="A83" s="360" t="s">
        <v>765</v>
      </c>
    </row>
    <row r="84" ht="147" customHeight="1">
      <c r="A84" s="360" t="s">
        <v>766</v>
      </c>
    </row>
    <row r="85" ht="101.25" customHeight="1">
      <c r="A85" s="360" t="s">
        <v>767</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1" t="s">
        <v>768</v>
      </c>
    </row>
    <row r="95" ht="75" customHeight="1">
      <c r="A95" s="601" t="s">
        <v>769</v>
      </c>
    </row>
    <row r="96" ht="33.75" customHeight="1">
      <c r="A96" s="360" t="s">
        <v>770</v>
      </c>
    </row>
    <row r="97" ht="51.75" customHeight="1">
      <c r="A97" s="360" t="s">
        <v>771</v>
      </c>
    </row>
    <row r="98" ht="14.25" customHeight="1"/>
    <row r="99" ht="69.75" customHeight="1">
      <c r="A99" s="360" t="s">
        <v>622</v>
      </c>
    </row>
    <row r="101" ht="54" customHeight="1">
      <c r="A101" s="601" t="s">
        <v>772</v>
      </c>
    </row>
    <row r="102" ht="85.5" customHeight="1">
      <c r="A102" s="601" t="s">
        <v>773</v>
      </c>
    </row>
    <row r="103" ht="99" customHeight="1">
      <c r="A103" s="601"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North Brown Township</v>
      </c>
      <c r="B1" s="179"/>
      <c r="C1" s="179"/>
      <c r="D1" s="179"/>
      <c r="E1" s="179"/>
      <c r="F1" s="179"/>
      <c r="G1" s="179"/>
      <c r="H1" s="179"/>
      <c r="I1" s="14"/>
      <c r="J1" s="14"/>
      <c r="K1" s="15">
        <f>inputPrYr!D5</f>
        <v>2012</v>
      </c>
    </row>
    <row r="2" spans="1:11" ht="15.75">
      <c r="A2" s="178" t="str">
        <f>inputPrYr!$D$3</f>
        <v>Edwards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125</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822</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286</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109</v>
      </c>
      <c r="G22" s="186" t="s">
        <v>68</v>
      </c>
      <c r="H22" s="186" t="s">
        <v>68</v>
      </c>
      <c r="I22" s="212"/>
      <c r="J22" s="212"/>
      <c r="K22" s="212"/>
    </row>
    <row r="23" spans="1:11" s="213" customFormat="1" ht="15.7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822</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31">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North Brown Township</v>
      </c>
      <c r="C1" s="14"/>
      <c r="D1" s="14"/>
      <c r="E1" s="15">
        <f>inputPrYr!D5</f>
        <v>2012</v>
      </c>
    </row>
    <row r="2" spans="2:5" ht="15.75">
      <c r="B2" s="17"/>
      <c r="C2" s="14"/>
      <c r="D2" s="14"/>
      <c r="E2" s="18"/>
    </row>
    <row r="3" spans="2:5" ht="15.75">
      <c r="B3" s="600" t="s">
        <v>748</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121</v>
      </c>
      <c r="C6" s="29">
        <v>10673</v>
      </c>
      <c r="D6" s="415">
        <f>C51</f>
        <v>6417</v>
      </c>
      <c r="E6" s="32">
        <f>D51</f>
        <v>0</v>
      </c>
    </row>
    <row r="7" spans="2:5" ht="15.75">
      <c r="B7" s="27" t="s">
        <v>123</v>
      </c>
      <c r="C7" s="415"/>
      <c r="D7" s="415"/>
      <c r="E7" s="33"/>
    </row>
    <row r="8" spans="2:5" ht="15.75">
      <c r="B8" s="27" t="s">
        <v>16</v>
      </c>
      <c r="C8" s="29">
        <v>8950</v>
      </c>
      <c r="D8" s="415">
        <f>inputPrYr!E16</f>
        <v>8800</v>
      </c>
      <c r="E8" s="33" t="s">
        <v>300</v>
      </c>
    </row>
    <row r="9" spans="2:5" ht="15.75">
      <c r="B9" s="27" t="s">
        <v>17</v>
      </c>
      <c r="C9" s="29"/>
      <c r="D9" s="29"/>
      <c r="E9" s="34"/>
    </row>
    <row r="10" spans="2:5" ht="15.75">
      <c r="B10" s="27" t="s">
        <v>18</v>
      </c>
      <c r="C10" s="29"/>
      <c r="D10" s="29">
        <v>504</v>
      </c>
      <c r="E10" s="32">
        <f>mvalloc!G11</f>
        <v>540</v>
      </c>
    </row>
    <row r="11" spans="2:5" ht="15.75">
      <c r="B11" s="27" t="s">
        <v>19</v>
      </c>
      <c r="C11" s="29"/>
      <c r="D11" s="29">
        <v>20</v>
      </c>
      <c r="E11" s="32">
        <f>mvalloc!I11</f>
        <v>17</v>
      </c>
    </row>
    <row r="12" spans="2:5" ht="15.75">
      <c r="B12" s="35" t="s">
        <v>71</v>
      </c>
      <c r="C12" s="29"/>
      <c r="D12" s="29">
        <v>132</v>
      </c>
      <c r="E12" s="32">
        <f>mvalloc!J11</f>
        <v>138</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222</v>
      </c>
      <c r="C24" s="29"/>
      <c r="D24" s="29"/>
      <c r="E24" s="34"/>
    </row>
    <row r="25" spans="2:5" ht="15.75">
      <c r="B25" s="39" t="s">
        <v>223</v>
      </c>
      <c r="C25" s="412">
        <f>IF(C26*0.1&lt;C24,"Exceed 10% Rule","")</f>
      </c>
      <c r="D25" s="412">
        <f>IF(D26*0.1&lt;D24,"Exceed 10% Rule","")</f>
      </c>
      <c r="E25" s="45">
        <f>IF(E26*0.1+E57&lt;E24,"Exceed 10% Rule","")</f>
      </c>
    </row>
    <row r="26" spans="2:5" ht="15.75">
      <c r="B26" s="41" t="s">
        <v>23</v>
      </c>
      <c r="C26" s="417">
        <f>SUM(C8:C24)</f>
        <v>8950</v>
      </c>
      <c r="D26" s="417">
        <f>SUM(D8:D24)</f>
        <v>9456</v>
      </c>
      <c r="E26" s="42">
        <f>SUM(E8:E24)</f>
        <v>695</v>
      </c>
    </row>
    <row r="27" spans="2:5" ht="15.75">
      <c r="B27" s="43" t="s">
        <v>24</v>
      </c>
      <c r="C27" s="417">
        <f>C26+C6</f>
        <v>19623</v>
      </c>
      <c r="D27" s="417">
        <f>D26+D6</f>
        <v>15873</v>
      </c>
      <c r="E27" s="42">
        <f>E26+E6</f>
        <v>695</v>
      </c>
    </row>
    <row r="28" spans="2:5" ht="15.75">
      <c r="B28" s="27" t="s">
        <v>25</v>
      </c>
      <c r="C28" s="415"/>
      <c r="D28" s="415"/>
      <c r="E28" s="32"/>
    </row>
    <row r="29" spans="2:5" ht="15.75">
      <c r="B29" s="37"/>
      <c r="C29" s="29"/>
      <c r="D29" s="29"/>
      <c r="E29" s="34"/>
    </row>
    <row r="30" spans="2:5" ht="15.75">
      <c r="B30" s="38" t="s">
        <v>104</v>
      </c>
      <c r="C30" s="29">
        <v>1500</v>
      </c>
      <c r="D30" s="29">
        <v>1500</v>
      </c>
      <c r="E30" s="34">
        <v>1500</v>
      </c>
    </row>
    <row r="31" spans="2:5" ht="15.75">
      <c r="B31" s="38" t="s">
        <v>128</v>
      </c>
      <c r="C31" s="29"/>
      <c r="D31" s="29"/>
      <c r="E31" s="34"/>
    </row>
    <row r="32" spans="2:5" ht="15.75">
      <c r="B32" s="38" t="s">
        <v>105</v>
      </c>
      <c r="C32" s="29">
        <f>263+719</f>
        <v>982</v>
      </c>
      <c r="D32" s="29">
        <v>990</v>
      </c>
      <c r="E32" s="34">
        <v>1000</v>
      </c>
    </row>
    <row r="33" spans="2:5" ht="15.75">
      <c r="B33" s="38" t="s">
        <v>130</v>
      </c>
      <c r="C33" s="29">
        <v>1898</v>
      </c>
      <c r="D33" s="29">
        <v>1900</v>
      </c>
      <c r="E33" s="34">
        <v>2000</v>
      </c>
    </row>
    <row r="34" spans="2:5" ht="15.75">
      <c r="B34" s="37" t="s">
        <v>106</v>
      </c>
      <c r="C34" s="29">
        <f>13206-10026</f>
        <v>3180</v>
      </c>
      <c r="D34" s="29">
        <f>3300+2463</f>
        <v>5763</v>
      </c>
      <c r="E34" s="34">
        <v>3000</v>
      </c>
    </row>
    <row r="35" spans="2:5" ht="15.75">
      <c r="B35" s="37" t="s">
        <v>818</v>
      </c>
      <c r="C35" s="29">
        <f>32+80</f>
        <v>112</v>
      </c>
      <c r="D35" s="29">
        <v>120</v>
      </c>
      <c r="E35" s="34">
        <v>150</v>
      </c>
    </row>
    <row r="36" spans="2:5" ht="15.75">
      <c r="B36" s="38" t="s">
        <v>819</v>
      </c>
      <c r="C36" s="29">
        <v>5534</v>
      </c>
      <c r="D36" s="29">
        <v>5600</v>
      </c>
      <c r="E36" s="34">
        <v>5800</v>
      </c>
    </row>
    <row r="37" spans="2:5" ht="15.75">
      <c r="B37" s="38" t="s">
        <v>824</v>
      </c>
      <c r="C37" s="29"/>
      <c r="D37" s="29"/>
      <c r="E37" s="34">
        <v>10500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1">
        <f>IF(AND($C$43&gt;0,$C$8&gt;0),"Not Authorized","")</f>
      </c>
      <c r="D44" s="411">
        <f>IF(AND($D$43&gt;0,$D$8&gt;0),"Not Authorized","")</f>
      </c>
      <c r="E44" s="44">
        <f>IF(AND(cert!F20&gt;0,$E$43&gt;0),"Not Authorized","")</f>
      </c>
    </row>
    <row r="45" spans="2:5" ht="15.75">
      <c r="B45" s="27" t="s">
        <v>279</v>
      </c>
      <c r="C45" s="29"/>
      <c r="D45" s="29"/>
      <c r="E45" s="34"/>
    </row>
    <row r="46" spans="2:6" ht="15.75">
      <c r="B46" s="27" t="s">
        <v>807</v>
      </c>
      <c r="C46" s="412">
        <f>IF(C27*0.25&lt;C45,"Exceeds 25%","")</f>
      </c>
      <c r="D46" s="412">
        <f>IF(D27*0.25&lt;D45,"Exceeds 25%","")</f>
      </c>
      <c r="E46" s="45">
        <f>IF(E27*0.25+E57&lt;E45,"Exceeds 25%","")</f>
      </c>
      <c r="F46" s="16">
        <f>IF(G28*0.25&lt;G46,"Exceeds 25%","")</f>
      </c>
    </row>
    <row r="47" spans="2:5" ht="15.75">
      <c r="B47" s="35" t="s">
        <v>224</v>
      </c>
      <c r="C47" s="29"/>
      <c r="D47" s="29"/>
      <c r="E47" s="46">
        <f>nhood!E6</f>
      </c>
    </row>
    <row r="48" spans="2:5" ht="15.75">
      <c r="B48" s="35" t="s">
        <v>222</v>
      </c>
      <c r="C48" s="29"/>
      <c r="D48" s="29"/>
      <c r="E48" s="34"/>
    </row>
    <row r="49" spans="2:10" ht="15.75">
      <c r="B49" s="35" t="s">
        <v>643</v>
      </c>
      <c r="C49" s="412">
        <f>IF(C50*0.1&lt;C48,"Exceed 10% Rule","")</f>
      </c>
      <c r="D49" s="412">
        <f>IF(D50*0.1&lt;D48,"Exceed 10% Rule","")</f>
      </c>
      <c r="E49" s="45">
        <f>IF(E50*0.1&lt;E48,"Exceed 10% Rule","")</f>
      </c>
      <c r="G49" s="658" t="str">
        <f>CONCATENATE("Projected Carryover Into ",E1+1,"")</f>
        <v>Projected Carryover Into 2013</v>
      </c>
      <c r="H49" s="659"/>
      <c r="I49" s="659"/>
      <c r="J49" s="640"/>
    </row>
    <row r="50" spans="2:10" ht="15.75">
      <c r="B50" s="43" t="s">
        <v>26</v>
      </c>
      <c r="C50" s="409">
        <f>SUM(C29:C48)</f>
        <v>13206</v>
      </c>
      <c r="D50" s="409">
        <f>SUM(D29:D48)</f>
        <v>15873</v>
      </c>
      <c r="E50" s="47">
        <f>SUM(E29:E43,E45,E47:E48)</f>
        <v>23950</v>
      </c>
      <c r="G50" s="531"/>
      <c r="H50" s="532"/>
      <c r="I50" s="532"/>
      <c r="J50" s="533"/>
    </row>
    <row r="51" spans="2:10" ht="15.75">
      <c r="B51" s="27" t="s">
        <v>122</v>
      </c>
      <c r="C51" s="410">
        <f>C27-C50</f>
        <v>6417</v>
      </c>
      <c r="D51" s="410">
        <f>SUM(D27-D50)</f>
        <v>0</v>
      </c>
      <c r="E51" s="33" t="s">
        <v>300</v>
      </c>
      <c r="G51" s="534">
        <f>D51</f>
        <v>0</v>
      </c>
      <c r="H51" s="535" t="str">
        <f>CONCATENATE("",E1-1," Ending Cash Balance (est.)")</f>
        <v>2011 Ending Cash Balance (est.)</v>
      </c>
      <c r="I51" s="536"/>
      <c r="J51" s="533"/>
    </row>
    <row r="52" spans="2:10" ht="15.75">
      <c r="B52" s="48" t="str">
        <f>CONCATENATE("",E1-2,"/",E1-1," Budget Authority Amount:")</f>
        <v>2010/2011 Budget Authority Amount:</v>
      </c>
      <c r="C52" s="143">
        <f>inputOth!B46</f>
        <v>16475</v>
      </c>
      <c r="D52" s="172">
        <f>inputPrYr!D16</f>
        <v>16388</v>
      </c>
      <c r="E52" s="33" t="s">
        <v>300</v>
      </c>
      <c r="F52" s="50"/>
      <c r="G52" s="534">
        <f>E26</f>
        <v>695</v>
      </c>
      <c r="H52" s="537" t="str">
        <f>CONCATENATE("",E1," Non-AV Receipts (est.)")</f>
        <v>2012 Non-AV Receipts (est.)</v>
      </c>
      <c r="I52" s="537"/>
      <c r="J52" s="533"/>
    </row>
    <row r="53" spans="2:10" ht="15.75">
      <c r="B53" s="48"/>
      <c r="C53" s="654" t="s">
        <v>644</v>
      </c>
      <c r="D53" s="655"/>
      <c r="E53" s="34"/>
      <c r="F53" s="530">
        <f>IF(E50/0.95-E50&lt;E53,"Exceeds 5%","")</f>
      </c>
      <c r="G53" s="538">
        <f>E57</f>
        <v>23255</v>
      </c>
      <c r="H53" s="537" t="str">
        <f>CONCATENATE("",E1," Ad Valorem Tax (est.)")</f>
        <v>2012 Ad Valorem Tax (est.)</v>
      </c>
      <c r="I53" s="537"/>
      <c r="J53" s="533"/>
    </row>
    <row r="54" spans="2:10" ht="15.75">
      <c r="B54" s="433" t="str">
        <f>CONCATENATE(C72,"     ",D72)</f>
        <v>     </v>
      </c>
      <c r="C54" s="656" t="s">
        <v>645</v>
      </c>
      <c r="D54" s="657"/>
      <c r="E54" s="32">
        <f>E50+E53</f>
        <v>23950</v>
      </c>
      <c r="G54" s="534">
        <f>SUM(G51:G53)</f>
        <v>23950</v>
      </c>
      <c r="H54" s="537" t="str">
        <f>CONCATENATE("Total ",E1," Resources Available")</f>
        <v>Total 2012 Resources Available</v>
      </c>
      <c r="I54" s="536"/>
      <c r="J54" s="533"/>
    </row>
    <row r="55" spans="2:10" ht="15.75">
      <c r="B55" s="433" t="str">
        <f>CONCATENATE(C73,"     ",D73)</f>
        <v>     </v>
      </c>
      <c r="C55" s="60"/>
      <c r="D55" s="52" t="s">
        <v>28</v>
      </c>
      <c r="E55" s="46">
        <f>IF(E54-E27&gt;0,E54-E27,0)</f>
        <v>23255</v>
      </c>
      <c r="G55" s="539"/>
      <c r="H55" s="537"/>
      <c r="I55" s="537"/>
      <c r="J55" s="533"/>
    </row>
    <row r="56" spans="2:10" ht="15.75">
      <c r="B56" s="52"/>
      <c r="C56" s="437" t="s">
        <v>646</v>
      </c>
      <c r="D56" s="429">
        <f>inputOth!$E$40</f>
        <v>0</v>
      </c>
      <c r="E56" s="32">
        <f>ROUND(IF(D56&gt;0,(E55*D56),0),0)</f>
        <v>0</v>
      </c>
      <c r="G56" s="538">
        <f>C50*0.05+C50</f>
        <v>13866.3</v>
      </c>
      <c r="H56" s="537" t="str">
        <f>CONCATENATE("Less ",E1-2," Expenditures + 5%")</f>
        <v>Less 2010 Expenditures + 5%</v>
      </c>
      <c r="I56" s="536"/>
      <c r="J56" s="533"/>
    </row>
    <row r="57" spans="2:10" ht="15.75">
      <c r="B57" s="14"/>
      <c r="C57" s="652" t="str">
        <f>CONCATENATE("Amount of  ",$E$1-1," Ad Valorem Tax")</f>
        <v>Amount of  2011 Ad Valorem Tax</v>
      </c>
      <c r="D57" s="653"/>
      <c r="E57" s="46">
        <f>E55+E56</f>
        <v>23255</v>
      </c>
      <c r="G57" s="540">
        <f>G54-G56</f>
        <v>10083.7</v>
      </c>
      <c r="H57" s="541" t="str">
        <f>CONCATENATE("Projected ",E1+1," Carryover (est.)")</f>
        <v>Projected 2013 Carryover (est.)</v>
      </c>
      <c r="I57" s="542"/>
      <c r="J57" s="543"/>
    </row>
    <row r="58" spans="2:5" ht="15.75">
      <c r="B58" s="14"/>
      <c r="C58" s="14"/>
      <c r="D58" s="14"/>
      <c r="E58" s="14"/>
    </row>
    <row r="59" spans="2:10" s="54" customFormat="1" ht="15.75">
      <c r="B59" s="19"/>
      <c r="C59" s="19"/>
      <c r="D59" s="53"/>
      <c r="E59" s="19"/>
      <c r="G59" s="557">
        <f>IF(inputOth!E7=0,"",ROUND(gen!E57/inputOth!E7*1000,3))</f>
        <v>8.175</v>
      </c>
      <c r="H59" s="544" t="str">
        <f>CONCATENATE("Projected ",E1-1," Mill Rate (est.)")</f>
        <v>Projected 2011 Mill Rate (est.)</v>
      </c>
      <c r="I59" s="545"/>
      <c r="J59" s="546"/>
    </row>
    <row r="60" spans="2:10" s="56" customFormat="1" ht="15.75">
      <c r="B60" s="14"/>
      <c r="C60" s="14"/>
      <c r="D60" s="55"/>
      <c r="E60" s="14"/>
      <c r="G60" s="547"/>
      <c r="H60" s="547"/>
      <c r="I60" s="547"/>
      <c r="J60" s="547"/>
    </row>
    <row r="61" spans="2:10" ht="15.75">
      <c r="B61" s="52" t="s">
        <v>9</v>
      </c>
      <c r="C61" s="439">
        <v>6</v>
      </c>
      <c r="D61" s="14"/>
      <c r="E61" s="55"/>
      <c r="G61" s="658" t="str">
        <f>CONCATENATE("Desired Carryover Into ",E1+1,"")</f>
        <v>Desired Carryover Into 2013</v>
      </c>
      <c r="H61" s="660"/>
      <c r="I61" s="660"/>
      <c r="J61" s="640"/>
    </row>
    <row r="62" spans="7:10" ht="15.75">
      <c r="G62" s="548"/>
      <c r="H62" s="532"/>
      <c r="I62" s="537"/>
      <c r="J62" s="549"/>
    </row>
    <row r="63" spans="2:10" ht="15.75">
      <c r="B63" s="12"/>
      <c r="G63" s="550" t="s">
        <v>742</v>
      </c>
      <c r="H63" s="537"/>
      <c r="I63" s="537"/>
      <c r="J63" s="551">
        <v>0</v>
      </c>
    </row>
    <row r="64" spans="7:10" ht="15.75">
      <c r="G64" s="548" t="s">
        <v>743</v>
      </c>
      <c r="H64" s="532"/>
      <c r="I64" s="532"/>
      <c r="J64" s="552">
        <f>IF(gen!J63=0,"",ROUND((J63+E57-G57)/inputOth!E7*1000,3)-G59)</f>
      </c>
    </row>
    <row r="65" spans="7:10" ht="15.75">
      <c r="G65" s="553" t="str">
        <f>CONCATENATE("",E1," Total Expenditures Must Be:")</f>
        <v>2012 Total Expenditures Must Be:</v>
      </c>
      <c r="H65" s="554"/>
      <c r="I65" s="555"/>
      <c r="J65" s="556">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25">
      <selection activeCell="F49" sqref="F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North Brown Township</v>
      </c>
      <c r="C1" s="14"/>
      <c r="D1" s="14"/>
      <c r="E1" s="15">
        <f>inputPrYr!D5</f>
        <v>2012</v>
      </c>
    </row>
    <row r="2" spans="2:5" ht="15.75">
      <c r="B2" s="17"/>
      <c r="C2" s="14"/>
      <c r="D2" s="62"/>
      <c r="E2" s="63"/>
    </row>
    <row r="3" spans="2:5" ht="15.75">
      <c r="B3" s="600" t="s">
        <v>748</v>
      </c>
      <c r="C3" s="77"/>
      <c r="D3" s="77"/>
      <c r="E3" s="77"/>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121</v>
      </c>
      <c r="C6" s="29">
        <v>41299</v>
      </c>
      <c r="D6" s="415">
        <f>C44</f>
        <v>-5981</v>
      </c>
      <c r="E6" s="32">
        <f>D44</f>
        <v>0</v>
      </c>
    </row>
    <row r="7" spans="2:5" ht="15.75">
      <c r="B7" s="27" t="s">
        <v>123</v>
      </c>
      <c r="C7" s="415"/>
      <c r="D7" s="415"/>
      <c r="E7" s="33"/>
    </row>
    <row r="8" spans="2:5" ht="15.75">
      <c r="B8" s="27" t="s">
        <v>16</v>
      </c>
      <c r="C8" s="29">
        <v>31076</v>
      </c>
      <c r="D8" s="415">
        <f>inputPrYr!E18</f>
        <v>25035</v>
      </c>
      <c r="E8" s="33" t="s">
        <v>300</v>
      </c>
    </row>
    <row r="9" spans="2:5" ht="15.75">
      <c r="B9" s="27" t="s">
        <v>17</v>
      </c>
      <c r="C9" s="29"/>
      <c r="D9" s="29"/>
      <c r="E9" s="34"/>
    </row>
    <row r="10" spans="2:5" ht="15.75">
      <c r="B10" s="27" t="s">
        <v>18</v>
      </c>
      <c r="C10" s="29"/>
      <c r="D10" s="29">
        <v>1415</v>
      </c>
      <c r="E10" s="32">
        <f>mvalloc!G13</f>
        <v>1538</v>
      </c>
    </row>
    <row r="11" spans="2:5" ht="15.75">
      <c r="B11" s="27" t="s">
        <v>19</v>
      </c>
      <c r="C11" s="29"/>
      <c r="D11" s="29">
        <v>57</v>
      </c>
      <c r="E11" s="32">
        <f>mvalloc!I13</f>
        <v>49</v>
      </c>
    </row>
    <row r="12" spans="2:5" ht="15.75">
      <c r="B12" s="27" t="s">
        <v>102</v>
      </c>
      <c r="C12" s="29"/>
      <c r="D12" s="29">
        <v>372</v>
      </c>
      <c r="E12" s="32">
        <f>mvalloc!J13</f>
        <v>393</v>
      </c>
    </row>
    <row r="13" spans="2:5" ht="15.75">
      <c r="B13" s="27" t="s">
        <v>165</v>
      </c>
      <c r="C13" s="29"/>
      <c r="D13" s="29"/>
      <c r="E13" s="32">
        <f>mvalloc!K13</f>
        <v>0</v>
      </c>
    </row>
    <row r="14" spans="2:5" ht="15.75">
      <c r="B14" s="27" t="s">
        <v>103</v>
      </c>
      <c r="C14" s="29">
        <v>1868</v>
      </c>
      <c r="D14" s="29">
        <v>1857</v>
      </c>
      <c r="E14" s="32">
        <f>inputOth!E36</f>
        <v>1814</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2">
        <f>IF(C23*0.1&lt;C21,"Exceed 10% Rule","")</f>
      </c>
      <c r="D22" s="412">
        <f>IF(D23*0.1&lt;D21,"Exceed 10% Rule","")</f>
      </c>
      <c r="E22" s="45">
        <f>IF(E23*0.1+E50&lt;E21,"Exceed 10% Rule","")</f>
      </c>
    </row>
    <row r="23" spans="2:5" ht="15.75">
      <c r="B23" s="41" t="s">
        <v>23</v>
      </c>
      <c r="C23" s="417">
        <f>SUM(C8:C21)</f>
        <v>32944</v>
      </c>
      <c r="D23" s="417">
        <f>SUM(D8:D21)</f>
        <v>28736</v>
      </c>
      <c r="E23" s="42">
        <f>SUM(E8:E21)</f>
        <v>3794</v>
      </c>
    </row>
    <row r="24" spans="2:5" ht="15.75">
      <c r="B24" s="43" t="s">
        <v>24</v>
      </c>
      <c r="C24" s="417">
        <f>C23+C6</f>
        <v>74243</v>
      </c>
      <c r="D24" s="417">
        <f>D23+D6</f>
        <v>22755</v>
      </c>
      <c r="E24" s="42">
        <f>E23+E6</f>
        <v>3794</v>
      </c>
    </row>
    <row r="25" spans="2:5" ht="15.75">
      <c r="B25" s="27" t="s">
        <v>25</v>
      </c>
      <c r="C25" s="415"/>
      <c r="D25" s="415"/>
      <c r="E25" s="32"/>
    </row>
    <row r="26" spans="2:5" ht="15.75">
      <c r="B26" s="38" t="s">
        <v>128</v>
      </c>
      <c r="C26" s="29">
        <f>80224-60141</f>
        <v>20083</v>
      </c>
      <c r="D26" s="29">
        <v>20100</v>
      </c>
      <c r="E26" s="34">
        <v>20100</v>
      </c>
    </row>
    <row r="27" spans="2:5" ht="15.75">
      <c r="B27" s="37" t="s">
        <v>105</v>
      </c>
      <c r="C27" s="29"/>
      <c r="D27" s="29"/>
      <c r="E27" s="34"/>
    </row>
    <row r="28" spans="2:5" ht="15.75">
      <c r="B28" s="38" t="s">
        <v>129</v>
      </c>
      <c r="C28" s="29">
        <f>1369+11+1243+69</f>
        <v>2692</v>
      </c>
      <c r="D28" s="29">
        <f>2700-45</f>
        <v>2655</v>
      </c>
      <c r="E28" s="34">
        <v>2900</v>
      </c>
    </row>
    <row r="29" spans="2:5" ht="15.75">
      <c r="B29" s="38" t="s">
        <v>108</v>
      </c>
      <c r="C29" s="29">
        <f>1360+2304</f>
        <v>3664</v>
      </c>
      <c r="D29" s="29"/>
      <c r="E29" s="34">
        <v>3900</v>
      </c>
    </row>
    <row r="30" spans="2:5" ht="15.75">
      <c r="B30" s="38" t="s">
        <v>106</v>
      </c>
      <c r="C30" s="29">
        <v>50000</v>
      </c>
      <c r="D30" s="29"/>
      <c r="E30" s="34">
        <v>14700</v>
      </c>
    </row>
    <row r="31" spans="2:5" ht="15.75">
      <c r="B31" s="612" t="s">
        <v>820</v>
      </c>
      <c r="C31" s="29">
        <f>302+600+2531</f>
        <v>3433</v>
      </c>
      <c r="D31" s="29"/>
      <c r="E31" s="34">
        <v>15000</v>
      </c>
    </row>
    <row r="32" spans="2:5" ht="15.75">
      <c r="B32" s="612" t="s">
        <v>821</v>
      </c>
      <c r="C32" s="29">
        <f>190+162</f>
        <v>352</v>
      </c>
      <c r="D32" s="29"/>
      <c r="E32" s="34">
        <v>500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647</v>
      </c>
      <c r="C39" s="423">
        <f>IF(C24*0.25&lt;C38,"Not Authorized","")</f>
      </c>
      <c r="D39" s="423">
        <f>IF(D24*0.25&lt;D38,"Not Authorized","")</f>
      </c>
      <c r="E39" s="78">
        <f>IF(E24*0.25+E50&lt;E38,"Not Authorized","")</f>
      </c>
      <c r="G39" s="658" t="str">
        <f>CONCATENATE("Projected Carryover Into ",E1+1,"")</f>
        <v>Projected Carryover Into 2013</v>
      </c>
      <c r="H39" s="659"/>
      <c r="I39" s="659"/>
      <c r="J39" s="640"/>
    </row>
    <row r="40" spans="2:10" ht="15.75">
      <c r="B40" s="35" t="s">
        <v>224</v>
      </c>
      <c r="C40" s="29"/>
      <c r="D40" s="29"/>
      <c r="E40" s="46">
        <f>nhood!E8</f>
      </c>
      <c r="G40" s="531"/>
      <c r="H40" s="532"/>
      <c r="I40" s="532"/>
      <c r="J40" s="533"/>
    </row>
    <row r="41" spans="2:10" ht="15.75">
      <c r="B41" s="35" t="s">
        <v>222</v>
      </c>
      <c r="C41" s="29"/>
      <c r="D41" s="29"/>
      <c r="E41" s="34"/>
      <c r="G41" s="534">
        <f>D44</f>
        <v>0</v>
      </c>
      <c r="H41" s="535" t="str">
        <f>CONCATENATE("",E1-1," Ending Cash Balance (est.)")</f>
        <v>2011 Ending Cash Balance (est.)</v>
      </c>
      <c r="I41" s="536"/>
      <c r="J41" s="533"/>
    </row>
    <row r="42" spans="2:10" ht="15.75">
      <c r="B42" s="35" t="s">
        <v>643</v>
      </c>
      <c r="C42" s="412">
        <f>IF(C43*0.1&lt;C41,"Exceed 10% Rule","")</f>
      </c>
      <c r="D42" s="412">
        <f>IF(D43*0.1&lt;D41,"Exceed 10% Rule","")</f>
      </c>
      <c r="E42" s="45">
        <f>IF(E43*0.1&lt;E41,"Exceed 10% Rule","")</f>
      </c>
      <c r="G42" s="534">
        <f>E23</f>
        <v>3794</v>
      </c>
      <c r="H42" s="537" t="str">
        <f>CONCATENATE("",E1," Non-AV Receipts (est.)")</f>
        <v>2012 Non-AV Receipts (est.)</v>
      </c>
      <c r="I42" s="537"/>
      <c r="J42" s="533"/>
    </row>
    <row r="43" spans="2:10" ht="15.75">
      <c r="B43" s="43" t="s">
        <v>26</v>
      </c>
      <c r="C43" s="417">
        <f>SUM(C26:C38,C40:C41)</f>
        <v>80224</v>
      </c>
      <c r="D43" s="417">
        <f>SUM(D26:D38,D40:D41)</f>
        <v>22755</v>
      </c>
      <c r="E43" s="42">
        <f>SUM(E26:E38,E40:E41)</f>
        <v>57100</v>
      </c>
      <c r="G43" s="538">
        <f>E50</f>
        <v>53306</v>
      </c>
      <c r="H43" s="537" t="str">
        <f>CONCATENATE("",E1," Ad Valorem Tax (est.)")</f>
        <v>2012 Ad Valorem Tax (est.)</v>
      </c>
      <c r="I43" s="537"/>
      <c r="J43" s="533"/>
    </row>
    <row r="44" spans="2:10" ht="15.75">
      <c r="B44" s="27" t="s">
        <v>122</v>
      </c>
      <c r="C44" s="410">
        <f>C24-C43</f>
        <v>-5981</v>
      </c>
      <c r="D44" s="410">
        <f>D24-D43</f>
        <v>0</v>
      </c>
      <c r="E44" s="33" t="s">
        <v>300</v>
      </c>
      <c r="G44" s="534">
        <f>SUM(G41:G43)</f>
        <v>57100</v>
      </c>
      <c r="H44" s="537" t="str">
        <f>CONCATENATE("Total ",E1," Resources Available")</f>
        <v>Total 2012 Resources Available</v>
      </c>
      <c r="I44" s="536"/>
      <c r="J44" s="533"/>
    </row>
    <row r="45" spans="2:10" ht="15.75">
      <c r="B45" s="48" t="str">
        <f>CONCATENATE("",E1-2,"/",E1-1," Budget Authority Amount:")</f>
        <v>2010/2011 Budget Authority Amount:</v>
      </c>
      <c r="C45" s="143">
        <f>inputOth!B48</f>
        <v>40817</v>
      </c>
      <c r="D45" s="172">
        <f>inputPrYr!D18</f>
        <v>82123</v>
      </c>
      <c r="E45" s="33" t="s">
        <v>300</v>
      </c>
      <c r="F45" s="50"/>
      <c r="G45" s="539"/>
      <c r="H45" s="537"/>
      <c r="I45" s="537"/>
      <c r="J45" s="533"/>
    </row>
    <row r="46" spans="2:10" ht="15.75">
      <c r="B46" s="48"/>
      <c r="C46" s="654" t="s">
        <v>644</v>
      </c>
      <c r="D46" s="655"/>
      <c r="E46" s="34"/>
      <c r="F46" s="530">
        <f>IF(E43/0.95-E43&lt;E46,"Exceeds 5%","")</f>
      </c>
      <c r="G46" s="538">
        <f>C43*0.05+C43</f>
        <v>84235.2</v>
      </c>
      <c r="H46" s="537" t="str">
        <f>CONCATENATE("Less ",E1-2," Expenditures + 5%")</f>
        <v>Less 2010 Expenditures + 5%</v>
      </c>
      <c r="I46" s="536"/>
      <c r="J46" s="533"/>
    </row>
    <row r="47" spans="2:10" ht="15.75">
      <c r="B47" s="433" t="str">
        <f>CONCATENATE(C74,"     ",D74)</f>
        <v>See Tab A     </v>
      </c>
      <c r="C47" s="656" t="s">
        <v>645</v>
      </c>
      <c r="D47" s="657"/>
      <c r="E47" s="32">
        <f>E43+E46</f>
        <v>57100</v>
      </c>
      <c r="G47" s="540">
        <f>G44-G46</f>
        <v>-27135.199999999997</v>
      </c>
      <c r="H47" s="541" t="str">
        <f>CONCATENATE("Projected ",E1+1," Carryover (est.)")</f>
        <v>Projected 2013 Carryover (est.)</v>
      </c>
      <c r="I47" s="542"/>
      <c r="J47" s="543"/>
    </row>
    <row r="48" spans="2:5" ht="15.75">
      <c r="B48" s="433" t="str">
        <f>CONCATENATE(C75,"     ",D75)</f>
        <v>See Tab B     </v>
      </c>
      <c r="C48" s="60"/>
      <c r="D48" s="52" t="s">
        <v>28</v>
      </c>
      <c r="E48" s="46">
        <f>IF(E47-E24&gt;0,E47-E24,0)</f>
        <v>53306</v>
      </c>
    </row>
    <row r="49" spans="2:10" ht="15.75">
      <c r="B49" s="52"/>
      <c r="C49" s="437" t="s">
        <v>646</v>
      </c>
      <c r="D49" s="429">
        <f>inputOth!$E$40</f>
        <v>0</v>
      </c>
      <c r="E49" s="32">
        <f>ROUND(IF(D49&gt;0,(E48*D49),0),0)</f>
        <v>0</v>
      </c>
      <c r="G49" s="557">
        <f>IF(inputOth!E7=0,"",ROUND(E50/inputOth!E7*1000,3))</f>
        <v>18.739</v>
      </c>
      <c r="H49" s="544" t="str">
        <f>CONCATENATE("Projected ",E1-1," Mill Rate (est.)")</f>
        <v>Projected 2011 Mill Rate (est.)</v>
      </c>
      <c r="I49" s="545"/>
      <c r="J49" s="546"/>
    </row>
    <row r="50" spans="2:10" ht="15.75">
      <c r="B50" s="14"/>
      <c r="C50" s="652" t="str">
        <f>CONCATENATE("Amount of  ",$E$1-1," Ad Valorem Tax")</f>
        <v>Amount of  2011 Ad Valorem Tax</v>
      </c>
      <c r="D50" s="653"/>
      <c r="E50" s="46">
        <f>E48+E49</f>
        <v>53306</v>
      </c>
      <c r="G50" s="547"/>
      <c r="H50" s="547"/>
      <c r="I50" s="547"/>
      <c r="J50" s="547"/>
    </row>
    <row r="51" spans="2:10" ht="15.75">
      <c r="B51" s="14"/>
      <c r="C51" s="14"/>
      <c r="D51" s="14"/>
      <c r="E51" s="14"/>
      <c r="G51" s="658" t="str">
        <f>CONCATENATE("Desired Carryover Into ",E1+1,"")</f>
        <v>Desired Carryover Into 2013</v>
      </c>
      <c r="H51" s="660"/>
      <c r="I51" s="660"/>
      <c r="J51" s="640"/>
    </row>
    <row r="52" spans="2:10" ht="15.75">
      <c r="B52" s="14"/>
      <c r="C52" s="14"/>
      <c r="D52" s="14"/>
      <c r="E52" s="14"/>
      <c r="G52" s="548"/>
      <c r="H52" s="532"/>
      <c r="I52" s="537"/>
      <c r="J52" s="549"/>
    </row>
    <row r="53" spans="2:10" ht="15.75">
      <c r="B53" s="79" t="s">
        <v>30</v>
      </c>
      <c r="C53" s="81"/>
      <c r="D53" s="14"/>
      <c r="E53" s="14"/>
      <c r="G53" s="550" t="s">
        <v>742</v>
      </c>
      <c r="H53" s="537"/>
      <c r="I53" s="537"/>
      <c r="J53" s="551">
        <v>0</v>
      </c>
    </row>
    <row r="54" spans="2:10" ht="15.75">
      <c r="B54" s="82" t="s">
        <v>31</v>
      </c>
      <c r="C54" s="438" t="str">
        <f>CONCATENATE("",E1-2," Actual Year")</f>
        <v>2010 Actual Year</v>
      </c>
      <c r="D54" s="14"/>
      <c r="E54" s="14"/>
      <c r="G54" s="548" t="s">
        <v>743</v>
      </c>
      <c r="H54" s="532"/>
      <c r="I54" s="532"/>
      <c r="J54" s="552">
        <f>IF(J53=0,"",ROUND((J53+E50-G47)/inputOth!E7*1000,3)-G49)</f>
      </c>
    </row>
    <row r="55" spans="2:10" ht="15.75">
      <c r="B55" s="83" t="s">
        <v>14</v>
      </c>
      <c r="C55" s="597"/>
      <c r="D55" s="14"/>
      <c r="E55" s="14"/>
      <c r="G55" s="553" t="str">
        <f>CONCATENATE("",E1," Total Expenditures Must Be:")</f>
        <v>2012 Total Expenditures Must Be:</v>
      </c>
      <c r="H55" s="554"/>
      <c r="I55" s="555"/>
      <c r="J55" s="556">
        <f>IF((J53&gt;0),(E43+J53-G47),0)</f>
        <v>0</v>
      </c>
    </row>
    <row r="56" spans="2:5" ht="15.75">
      <c r="B56" s="83" t="s">
        <v>33</v>
      </c>
      <c r="C56" s="143"/>
      <c r="D56" s="14"/>
      <c r="E56" s="14"/>
    </row>
    <row r="57" spans="2:5" ht="15.75">
      <c r="B57" s="83" t="s">
        <v>34</v>
      </c>
      <c r="C57" s="436">
        <f>C38</f>
        <v>0</v>
      </c>
      <c r="D57" s="85"/>
      <c r="E57" s="14"/>
    </row>
    <row r="58" spans="2:5" ht="15.75">
      <c r="B58" s="83" t="s">
        <v>257</v>
      </c>
      <c r="C58" s="436">
        <f>gen!C43</f>
        <v>0</v>
      </c>
      <c r="D58" s="661">
        <f>IF(AND(C58&gt;0,C59&gt;0),"Not Auth. Two General Transfers - Only One","")</f>
      </c>
      <c r="E58" s="662"/>
    </row>
    <row r="59" spans="2:5" ht="15.75">
      <c r="B59" s="86" t="s">
        <v>258</v>
      </c>
      <c r="C59" s="436">
        <f>gen!C45</f>
        <v>0</v>
      </c>
      <c r="D59" s="663"/>
      <c r="E59" s="662"/>
    </row>
    <row r="60" spans="2:5" ht="15.75">
      <c r="B60" s="87"/>
      <c r="C60" s="597"/>
      <c r="D60" s="14"/>
      <c r="E60" s="14"/>
    </row>
    <row r="61" spans="2:5" ht="15.75">
      <c r="B61" s="87" t="s">
        <v>22</v>
      </c>
      <c r="C61" s="597"/>
      <c r="D61" s="14"/>
      <c r="E61" s="14"/>
    </row>
    <row r="62" spans="2:5" ht="15.75">
      <c r="B62" s="87" t="s">
        <v>21</v>
      </c>
      <c r="C62" s="597"/>
      <c r="D62" s="14"/>
      <c r="E62" s="14"/>
    </row>
    <row r="63" spans="2:5" ht="15.75">
      <c r="B63" s="88" t="s">
        <v>24</v>
      </c>
      <c r="C63" s="143">
        <f>SUM(C55:C62)</f>
        <v>0</v>
      </c>
      <c r="D63" s="14"/>
      <c r="E63" s="14"/>
    </row>
    <row r="64" spans="2:5" ht="15.75">
      <c r="B64" s="88" t="s">
        <v>26</v>
      </c>
      <c r="C64" s="597"/>
      <c r="D64" s="14"/>
      <c r="E64" s="14"/>
    </row>
    <row r="65" spans="2:5" ht="15.75">
      <c r="B65" s="88" t="s">
        <v>27</v>
      </c>
      <c r="C65" s="435">
        <f>SUM(C63-C64)</f>
        <v>0</v>
      </c>
      <c r="D65" s="14"/>
      <c r="E65" s="14"/>
    </row>
    <row r="66" spans="2:5" ht="15.75">
      <c r="B66" s="14"/>
      <c r="C66" s="14"/>
      <c r="D66" s="14"/>
      <c r="E66" s="14"/>
    </row>
    <row r="67" spans="2:5" ht="15.75">
      <c r="B67" s="52" t="s">
        <v>9</v>
      </c>
      <c r="C67" s="598">
        <v>7</v>
      </c>
      <c r="D67" s="14"/>
      <c r="E67" s="14"/>
    </row>
    <row r="69" ht="15.75">
      <c r="B69" s="12"/>
    </row>
    <row r="74" spans="3:4" ht="15.75" hidden="1">
      <c r="C74" s="16" t="str">
        <f>IF(C43&gt;C45,"See Tab A","")</f>
        <v>See Tab A</v>
      </c>
      <c r="D74" s="16">
        <f>IF(D43&gt;D45,"See Tab C","")</f>
      </c>
    </row>
    <row r="75" spans="3:4" ht="15.75" hidden="1">
      <c r="C75" s="16" t="str">
        <f>IF(C44&lt;0,"See Tab B","")</f>
        <v>See Tab B</v>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96"/>
  <sheetViews>
    <sheetView tabSelected="1" zoomScale="75" zoomScaleNormal="75" zoomScalePageLayoutView="0" workbookViewId="0" topLeftCell="A7">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7" t="s">
        <v>38</v>
      </c>
      <c r="C3" s="637"/>
      <c r="D3" s="637"/>
      <c r="E3" s="637"/>
      <c r="F3" s="637"/>
      <c r="G3" s="637"/>
      <c r="H3" s="637"/>
      <c r="I3" s="637"/>
    </row>
    <row r="4" spans="2:9" ht="15.75">
      <c r="B4" s="675" t="str">
        <f>inputPrYr!D2</f>
        <v>North Brown Township</v>
      </c>
      <c r="C4" s="675"/>
      <c r="D4" s="675"/>
      <c r="E4" s="675"/>
      <c r="F4" s="675"/>
      <c r="G4" s="675"/>
      <c r="H4" s="675"/>
      <c r="I4" s="675"/>
    </row>
    <row r="5" spans="2:9" ht="15.75">
      <c r="B5" s="675" t="str">
        <f>inputPrYr!D3</f>
        <v>Edwards County</v>
      </c>
      <c r="C5" s="675"/>
      <c r="D5" s="675"/>
      <c r="E5" s="675"/>
      <c r="F5" s="675"/>
      <c r="G5" s="675"/>
      <c r="H5" s="675"/>
      <c r="I5" s="675"/>
    </row>
    <row r="6" spans="2:9" ht="15.75">
      <c r="B6" s="674" t="str">
        <f>CONCATENATE("will meet on ",inputBudSum!B5," at ",inputBudSum!B7," at ",inputBudSum!B9," for the purpose of hearing and")</f>
        <v>will meet on August 16, 2011 at 7:00 p.m. at Rodney Strate's residence for the purpose of hearing and</v>
      </c>
      <c r="C6" s="674"/>
      <c r="D6" s="674"/>
      <c r="E6" s="674"/>
      <c r="F6" s="674"/>
      <c r="G6" s="674"/>
      <c r="H6" s="674"/>
      <c r="I6" s="674"/>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Edwards County Clerk's Office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9" t="str">
        <f>CONCATENATE("Amount of ",I1-1," Ad Valorem Tax")</f>
        <v>Amount of 2011 Ad Valorem Tax</v>
      </c>
      <c r="I14" s="23" t="s">
        <v>39</v>
      </c>
      <c r="J14" s="160"/>
    </row>
    <row r="15" spans="2:10" ht="15.75">
      <c r="B15" s="14"/>
      <c r="C15" s="167"/>
      <c r="D15" s="167" t="s">
        <v>40</v>
      </c>
      <c r="E15" s="167"/>
      <c r="F15" s="167" t="s">
        <v>40</v>
      </c>
      <c r="G15" s="167" t="s">
        <v>218</v>
      </c>
      <c r="H15" s="672"/>
      <c r="I15" s="167" t="s">
        <v>40</v>
      </c>
      <c r="J15" s="160"/>
    </row>
    <row r="16" spans="2:10" ht="15.75">
      <c r="B16" s="25" t="s">
        <v>296</v>
      </c>
      <c r="C16" s="26" t="s">
        <v>41</v>
      </c>
      <c r="D16" s="26" t="s">
        <v>42</v>
      </c>
      <c r="E16" s="26" t="s">
        <v>41</v>
      </c>
      <c r="F16" s="26" t="s">
        <v>42</v>
      </c>
      <c r="G16" s="26" t="s">
        <v>747</v>
      </c>
      <c r="H16" s="673"/>
      <c r="I16" s="26" t="s">
        <v>42</v>
      </c>
      <c r="J16" s="160"/>
    </row>
    <row r="17" spans="2:10" ht="15.75">
      <c r="B17" s="96" t="str">
        <f>inputPrYr!B16</f>
        <v>General</v>
      </c>
      <c r="C17" s="67">
        <f>IF(gen!$C$50&lt;&gt;0,gen!$C$50,"  ")</f>
        <v>13206</v>
      </c>
      <c r="D17" s="589">
        <f>IF(inputPrYr!D41&gt;0,inputPrYr!D41,"  ")</f>
        <v>2.778</v>
      </c>
      <c r="E17" s="32">
        <f>IF(gen!$D$50&lt;&gt;0,gen!$D$50,"  ")</f>
        <v>15873</v>
      </c>
      <c r="F17" s="253">
        <f>IF(inputOth!D17&gt;0,inputOth!D17,"  ")</f>
        <v>3.162</v>
      </c>
      <c r="G17" s="32">
        <f>IF(gen!$E$50&lt;&gt;0,gen!$E$50,"  ")</f>
        <v>23950</v>
      </c>
      <c r="H17" s="32">
        <f>IF(gen!$E$57&lt;&gt;0,gen!$E$57," ")</f>
        <v>23255</v>
      </c>
      <c r="I17" s="591">
        <f>IF(gen!E57&gt;0,ROUND(H17/$G$25*1000,3)," ")</f>
        <v>8.175</v>
      </c>
      <c r="J17" s="160"/>
    </row>
    <row r="18" spans="2:10" ht="15.75">
      <c r="B18" s="96" t="str">
        <f>IF(inputPrYr!$B18&gt;"  ",inputPrYr!$B18,"  ")</f>
        <v>Road</v>
      </c>
      <c r="C18" s="32">
        <f>IF(road!$C$43&lt;&gt;0,road!$C$43,"  ")</f>
        <v>80224</v>
      </c>
      <c r="D18" s="589">
        <f>IF(inputPrYr!D43&gt;0,inputPrYr!D43,"  ")</f>
        <v>9.85</v>
      </c>
      <c r="E18" s="32">
        <f>IF(road!$D$43&lt;&gt;0,road!$D$43,"  ")</f>
        <v>22755</v>
      </c>
      <c r="F18" s="253">
        <f>IF(inputOth!D19&gt;0,inputOth!D19,"  ")</f>
        <v>8.996</v>
      </c>
      <c r="G18" s="32">
        <f>IF(road!$E$43&lt;&gt;0,road!$E$43,"  ")</f>
        <v>57100</v>
      </c>
      <c r="H18" s="32">
        <f>IF(road!$E$50&lt;&gt;0,road!$E$50,"  ")</f>
        <v>53306</v>
      </c>
      <c r="I18" s="591">
        <f>IF(road!E50&gt;0,ROUND(H18/$G$25*1000,3)," ")</f>
        <v>18.739</v>
      </c>
      <c r="J18" s="160"/>
    </row>
    <row r="19" spans="2:14" ht="16.5" thickBot="1">
      <c r="B19" s="83" t="s">
        <v>298</v>
      </c>
      <c r="C19" s="527" t="str">
        <f>IF(road!C64&lt;&gt;0,road!C64,"  ")</f>
        <v>  </v>
      </c>
      <c r="D19" s="528"/>
      <c r="E19" s="590"/>
      <c r="F19" s="528"/>
      <c r="G19" s="590"/>
      <c r="H19" s="590"/>
      <c r="I19" s="528"/>
      <c r="K19" s="665" t="str">
        <f>CONCATENATE("Estimated Value Of One Mill For ",I1,"")</f>
        <v>Estimated Value Of One Mill For 2012</v>
      </c>
      <c r="L19" s="670"/>
      <c r="M19" s="670"/>
      <c r="N19" s="671"/>
    </row>
    <row r="20" spans="2:14" ht="15.75">
      <c r="B20" s="83" t="s">
        <v>299</v>
      </c>
      <c r="C20" s="592">
        <f>SUM(C17:C19)</f>
        <v>93430</v>
      </c>
      <c r="D20" s="526">
        <f>SUM(D17:D19)</f>
        <v>12.628</v>
      </c>
      <c r="E20" s="592">
        <f>SUM(E17:E19)</f>
        <v>38628</v>
      </c>
      <c r="F20" s="526">
        <f>SUM(F17:F19)</f>
        <v>12.158000000000001</v>
      </c>
      <c r="G20" s="592">
        <f>SUM(G17:G19)</f>
        <v>81050</v>
      </c>
      <c r="H20" s="592">
        <f>SUM(H17:H19)</f>
        <v>76561</v>
      </c>
      <c r="I20" s="595">
        <f>SUM(I17:I19)</f>
        <v>26.914</v>
      </c>
      <c r="K20" s="565"/>
      <c r="L20" s="566"/>
      <c r="M20" s="566"/>
      <c r="N20" s="567"/>
    </row>
    <row r="21" spans="2:14" ht="15.75">
      <c r="B21" s="83" t="s">
        <v>43</v>
      </c>
      <c r="C21" s="32">
        <f>transfer!C29</f>
        <v>0</v>
      </c>
      <c r="D21" s="14"/>
      <c r="E21" s="32">
        <f>transfer!D29</f>
        <v>0</v>
      </c>
      <c r="F21" s="62"/>
      <c r="G21" s="32">
        <f>transfer!E29</f>
        <v>0</v>
      </c>
      <c r="H21" s="14"/>
      <c r="I21" s="14"/>
      <c r="K21" s="568" t="s">
        <v>744</v>
      </c>
      <c r="L21" s="569"/>
      <c r="M21" s="569"/>
      <c r="N21" s="570">
        <f>ROUND(G25/1000,0)</f>
        <v>2845</v>
      </c>
    </row>
    <row r="22" spans="2:9" ht="16.5" thickBot="1">
      <c r="B22" s="83" t="s">
        <v>44</v>
      </c>
      <c r="C22" s="593">
        <f>C20-C21</f>
        <v>93430</v>
      </c>
      <c r="D22" s="14"/>
      <c r="E22" s="593">
        <f>E20-E21</f>
        <v>38628</v>
      </c>
      <c r="F22" s="14"/>
      <c r="G22" s="593">
        <f>G20-G21</f>
        <v>81050</v>
      </c>
      <c r="H22" s="14"/>
      <c r="I22" s="14"/>
    </row>
    <row r="23" spans="2:14" ht="16.5" thickTop="1">
      <c r="B23" s="83" t="s">
        <v>45</v>
      </c>
      <c r="C23" s="594">
        <f>inputPrYr!E52</f>
        <v>33465</v>
      </c>
      <c r="D23" s="62"/>
      <c r="E23" s="594">
        <f>inputPrYr!E25</f>
        <v>33835</v>
      </c>
      <c r="F23" s="14"/>
      <c r="G23" s="585" t="s">
        <v>300</v>
      </c>
      <c r="H23" s="14"/>
      <c r="I23" s="14"/>
      <c r="K23" s="665" t="str">
        <f>CONCATENATE("Want The Mill Rate The Same As For ",I1-1,"?")</f>
        <v>Want The Mill Rate The Same As For 2011?</v>
      </c>
      <c r="L23" s="668"/>
      <c r="M23" s="668"/>
      <c r="N23" s="669"/>
    </row>
    <row r="24" spans="2:14" ht="15.75">
      <c r="B24" s="279" t="s">
        <v>46</v>
      </c>
      <c r="C24" s="55"/>
      <c r="D24" s="62"/>
      <c r="E24" s="55"/>
      <c r="F24" s="62"/>
      <c r="G24" s="14"/>
      <c r="H24" s="14"/>
      <c r="I24" s="14"/>
      <c r="K24" s="572"/>
      <c r="L24" s="566"/>
      <c r="M24" s="566"/>
      <c r="N24" s="573"/>
    </row>
    <row r="25" spans="2:14" ht="15.75">
      <c r="B25" s="603" t="s">
        <v>47</v>
      </c>
      <c r="C25" s="31">
        <f>inputPrYr!E53</f>
        <v>3162183</v>
      </c>
      <c r="D25" s="14"/>
      <c r="E25" s="32">
        <f>inputOth!E28</f>
        <v>2782904</v>
      </c>
      <c r="F25" s="14"/>
      <c r="G25" s="32">
        <f>inputOth!E7</f>
        <v>2844646</v>
      </c>
      <c r="H25" s="14"/>
      <c r="I25" s="14"/>
      <c r="K25" s="572" t="str">
        <f>CONCATENATE("",I1-1," Mill Rate Was:")</f>
        <v>2011 Mill Rate Was:</v>
      </c>
      <c r="L25" s="566"/>
      <c r="M25" s="566"/>
      <c r="N25" s="574">
        <f>F20</f>
        <v>12.158000000000001</v>
      </c>
    </row>
    <row r="26" spans="2:14" ht="15.75">
      <c r="B26" s="22" t="s">
        <v>48</v>
      </c>
      <c r="C26" s="14"/>
      <c r="D26" s="14"/>
      <c r="E26" s="14"/>
      <c r="F26" s="14"/>
      <c r="G26" s="14"/>
      <c r="H26" s="14"/>
      <c r="I26" s="14"/>
      <c r="K26" s="575" t="str">
        <f>CONCATENATE("",I1," Tax Levy Fund Expenditures Must Be")</f>
        <v>2012 Tax Levy Fund Expenditures Must Be</v>
      </c>
      <c r="L26" s="576"/>
      <c r="M26" s="576"/>
      <c r="N26" s="573"/>
    </row>
    <row r="27" spans="2:14" ht="15.75">
      <c r="B27" s="22" t="s">
        <v>49</v>
      </c>
      <c r="C27" s="171">
        <f>I1-3</f>
        <v>2009</v>
      </c>
      <c r="D27" s="14"/>
      <c r="E27" s="171">
        <f>I1-2</f>
        <v>2010</v>
      </c>
      <c r="F27" s="14"/>
      <c r="G27" s="171">
        <f>I1-1</f>
        <v>2011</v>
      </c>
      <c r="H27" s="14"/>
      <c r="I27" s="14"/>
      <c r="K27" s="575">
        <f>IF(N27&gt;0,"Increased By:","")</f>
      </c>
      <c r="L27" s="576"/>
      <c r="M27" s="576"/>
      <c r="N27" s="582">
        <f>IF(N34&lt;0,N34*-1,0)</f>
        <v>0</v>
      </c>
    </row>
    <row r="28" spans="2:14" ht="15.75">
      <c r="B28" s="22" t="s">
        <v>50</v>
      </c>
      <c r="C28" s="172">
        <f>inputPrYr!D57</f>
        <v>0</v>
      </c>
      <c r="D28" s="59"/>
      <c r="E28" s="172">
        <f>inputPrYr!E57</f>
        <v>0</v>
      </c>
      <c r="F28" s="59"/>
      <c r="G28" s="172">
        <f>'debt-lease'!E11</f>
        <v>0</v>
      </c>
      <c r="H28" s="14"/>
      <c r="I28" s="14"/>
      <c r="K28" s="583" t="str">
        <f>IF($N$28&lt;0,"Reduced By:","")</f>
        <v>Reduced By:</v>
      </c>
      <c r="L28" s="554"/>
      <c r="M28" s="554"/>
      <c r="N28" s="584">
        <f>IF(N34&gt;0,N34*-1,0)</f>
        <v>-41976</v>
      </c>
    </row>
    <row r="29" spans="2:14" ht="15.75">
      <c r="B29" s="22" t="s">
        <v>21</v>
      </c>
      <c r="C29" s="172">
        <f>inputPrYr!D58</f>
        <v>0</v>
      </c>
      <c r="D29" s="59"/>
      <c r="E29" s="172">
        <f>inputPrYr!E58</f>
        <v>0</v>
      </c>
      <c r="F29" s="59"/>
      <c r="G29" s="172">
        <f>'debt-lease'!E15</f>
        <v>0</v>
      </c>
      <c r="H29" s="14"/>
      <c r="I29" s="14"/>
      <c r="K29" s="579"/>
      <c r="L29" s="579"/>
      <c r="M29" s="579"/>
      <c r="N29" s="579"/>
    </row>
    <row r="30" spans="2:14" ht="15.75">
      <c r="B30" s="22" t="s">
        <v>797</v>
      </c>
      <c r="C30" s="172">
        <f>inputPrYr!D59</f>
        <v>0</v>
      </c>
      <c r="D30" s="59"/>
      <c r="E30" s="172">
        <f>inputPrYr!E59</f>
        <v>0</v>
      </c>
      <c r="F30" s="59"/>
      <c r="G30" s="172">
        <f>'debt-lease'!F36</f>
        <v>0</v>
      </c>
      <c r="H30" s="14"/>
      <c r="I30" s="14"/>
      <c r="K30" s="665" t="str">
        <f>CONCATENATE("Impact On Keeping The Same Mill Rate As For ",I1-1,"")</f>
        <v>Impact On Keeping The Same Mill Rate As For 2011</v>
      </c>
      <c r="L30" s="666"/>
      <c r="M30" s="666"/>
      <c r="N30" s="667"/>
    </row>
    <row r="31" spans="2:14" ht="16.5" thickBot="1">
      <c r="B31" s="22" t="s">
        <v>51</v>
      </c>
      <c r="C31" s="173">
        <f>SUM(C28:C30)</f>
        <v>0</v>
      </c>
      <c r="D31" s="59"/>
      <c r="E31" s="173">
        <f>SUM(E28:E30)</f>
        <v>0</v>
      </c>
      <c r="F31" s="59"/>
      <c r="G31" s="173">
        <f>SUM(G28:G30)</f>
        <v>0</v>
      </c>
      <c r="H31" s="14"/>
      <c r="I31" s="14"/>
      <c r="K31" s="572"/>
      <c r="L31" s="566"/>
      <c r="M31" s="566"/>
      <c r="N31" s="573"/>
    </row>
    <row r="32" spans="2:14" ht="16.5" thickTop="1">
      <c r="B32" s="22" t="s">
        <v>52</v>
      </c>
      <c r="C32" s="14"/>
      <c r="D32" s="14"/>
      <c r="E32" s="14"/>
      <c r="F32" s="14"/>
      <c r="G32" s="14"/>
      <c r="H32" s="14"/>
      <c r="I32" s="14"/>
      <c r="K32" s="572" t="str">
        <f>CONCATENATE("",I1," Ad Valorem Tax Revenue:")</f>
        <v>2012 Ad Valorem Tax Revenue:</v>
      </c>
      <c r="L32" s="566"/>
      <c r="M32" s="566"/>
      <c r="N32" s="567">
        <f>H20</f>
        <v>76561</v>
      </c>
    </row>
    <row r="33" spans="2:14" ht="15.75">
      <c r="B33" s="14"/>
      <c r="C33" s="14"/>
      <c r="D33" s="14"/>
      <c r="E33" s="14"/>
      <c r="F33" s="14"/>
      <c r="G33" s="14"/>
      <c r="H33" s="14"/>
      <c r="I33" s="14"/>
      <c r="K33" s="572" t="str">
        <f>CONCATENATE("",I1-1," Ad Valorem Tax Revenue:")</f>
        <v>2011 Ad Valorem Tax Revenue:</v>
      </c>
      <c r="L33" s="566"/>
      <c r="M33" s="566"/>
      <c r="N33" s="580">
        <f>ROUND(G25*N25/1000,0)</f>
        <v>34585</v>
      </c>
    </row>
    <row r="34" spans="2:14" ht="15.75">
      <c r="B34" s="664"/>
      <c r="C34" s="664"/>
      <c r="D34" s="14"/>
      <c r="E34" s="14"/>
      <c r="F34" s="14"/>
      <c r="G34" s="14"/>
      <c r="H34" s="14"/>
      <c r="I34" s="14"/>
      <c r="K34" s="577" t="s">
        <v>745</v>
      </c>
      <c r="L34" s="578"/>
      <c r="M34" s="578"/>
      <c r="N34" s="570">
        <f>N32-N33</f>
        <v>41976</v>
      </c>
    </row>
    <row r="35" spans="2:14" ht="15.75">
      <c r="B35" s="158" t="s">
        <v>53</v>
      </c>
      <c r="C35" s="156"/>
      <c r="D35" s="14"/>
      <c r="E35" s="14"/>
      <c r="F35" s="14"/>
      <c r="G35" s="14"/>
      <c r="H35" s="14"/>
      <c r="I35" s="14"/>
      <c r="K35" s="571"/>
      <c r="L35" s="571"/>
      <c r="M35" s="571"/>
      <c r="N35" s="579"/>
    </row>
    <row r="36" spans="2:14" ht="15.75">
      <c r="B36" s="14"/>
      <c r="C36" s="14"/>
      <c r="D36" s="14"/>
      <c r="E36" s="14"/>
      <c r="F36" s="14"/>
      <c r="G36" s="14"/>
      <c r="H36" s="14"/>
      <c r="I36" s="14"/>
      <c r="K36" s="665" t="s">
        <v>746</v>
      </c>
      <c r="L36" s="668"/>
      <c r="M36" s="668"/>
      <c r="N36" s="669"/>
    </row>
    <row r="37" spans="2:14" ht="15.75">
      <c r="B37" s="14"/>
      <c r="C37" s="52" t="s">
        <v>9</v>
      </c>
      <c r="D37" s="92">
        <v>8</v>
      </c>
      <c r="E37" s="14"/>
      <c r="F37" s="14"/>
      <c r="G37" s="14"/>
      <c r="H37" s="14"/>
      <c r="I37" s="14"/>
      <c r="K37" s="572"/>
      <c r="L37" s="566"/>
      <c r="M37" s="566"/>
      <c r="N37" s="573"/>
    </row>
    <row r="38" spans="2:14" ht="15.75">
      <c r="B38" s="91"/>
      <c r="C38" s="91"/>
      <c r="D38" s="91"/>
      <c r="K38" s="572" t="str">
        <f>CONCATENATE("Current ",I1," Estimated Mill Rate:")</f>
        <v>Current 2012 Estimated Mill Rate:</v>
      </c>
      <c r="L38" s="566"/>
      <c r="M38" s="566"/>
      <c r="N38" s="574">
        <f>I20</f>
        <v>26.914</v>
      </c>
    </row>
    <row r="39" spans="11:14" ht="15.75">
      <c r="K39" s="572" t="str">
        <f>CONCATENATE("Desired ",I1," Mill Rate:")</f>
        <v>Desired 2012 Mill Rate:</v>
      </c>
      <c r="L39" s="566"/>
      <c r="M39" s="566"/>
      <c r="N39" s="581">
        <v>24.316</v>
      </c>
    </row>
    <row r="40" spans="2:14" ht="15.75">
      <c r="B40" s="91"/>
      <c r="C40" s="91"/>
      <c r="D40" s="91"/>
      <c r="E40" s="91"/>
      <c r="F40" s="91"/>
      <c r="G40" s="91"/>
      <c r="H40" s="91"/>
      <c r="K40" s="572" t="str">
        <f>CONCATENATE("",I1," Ad Valorem Tax:")</f>
        <v>2012 Ad Valorem Tax:</v>
      </c>
      <c r="L40" s="566"/>
      <c r="M40" s="566"/>
      <c r="N40" s="580">
        <f>ROUND(G25*N39/1000,0)</f>
        <v>69170</v>
      </c>
    </row>
    <row r="41" spans="9:14" ht="15.75">
      <c r="I41" s="91"/>
      <c r="K41" s="577" t="str">
        <f>CONCATENATE("",I1," Tax Levy Fund Exp. Changed By:")</f>
        <v>2012 Tax Levy Fund Exp. Changed By:</v>
      </c>
      <c r="L41" s="578"/>
      <c r="M41" s="578"/>
      <c r="N41" s="570">
        <f>IF(N39=0,0,(N40-H20))</f>
        <v>-7391</v>
      </c>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10">
    <mergeCell ref="B34:C3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North Brown Township</v>
      </c>
      <c r="C1" s="14"/>
      <c r="D1" s="14"/>
      <c r="E1" s="61">
        <f>inputPrYr!$D$5</f>
        <v>2012</v>
      </c>
    </row>
    <row r="2" spans="2:5" ht="15.75">
      <c r="B2" s="14"/>
      <c r="C2" s="14"/>
      <c r="D2" s="14"/>
      <c r="E2" s="52"/>
    </row>
    <row r="3" spans="2:5" ht="15.75">
      <c r="B3" s="17"/>
      <c r="C3" s="62"/>
      <c r="D3" s="62"/>
      <c r="E3" s="63"/>
    </row>
    <row r="4" spans="2:5" ht="15.75">
      <c r="B4" s="600" t="s">
        <v>748</v>
      </c>
      <c r="C4" s="64"/>
      <c r="D4" s="64"/>
      <c r="E4" s="64"/>
    </row>
    <row r="5" spans="2:5" ht="15.75">
      <c r="B5" s="22" t="s">
        <v>10</v>
      </c>
      <c r="C5" s="413" t="s">
        <v>11</v>
      </c>
      <c r="D5" s="416" t="s">
        <v>12</v>
      </c>
      <c r="E5" s="23" t="s">
        <v>13</v>
      </c>
    </row>
    <row r="6" spans="2:5" ht="15.75">
      <c r="B6" s="24" t="s">
        <v>310</v>
      </c>
      <c r="C6" s="414" t="str">
        <f>CONCATENATE("Actual ",$E$1-2,"")</f>
        <v>Actual 2010</v>
      </c>
      <c r="D6" s="414" t="str">
        <f>CONCATENATE("Estimate ",$E$1-1,"")</f>
        <v>Estimate 2011</v>
      </c>
      <c r="E6" s="26" t="str">
        <f>CONCATENATE("Year ",$E$1,"")</f>
        <v>Year 2012</v>
      </c>
    </row>
    <row r="7" spans="2:5" ht="15.75">
      <c r="B7" s="27" t="s">
        <v>146</v>
      </c>
      <c r="C7" s="420"/>
      <c r="D7" s="418">
        <f>C54</f>
        <v>0</v>
      </c>
      <c r="E7" s="65">
        <f>D54</f>
        <v>0</v>
      </c>
    </row>
    <row r="8" spans="2:5" ht="15.75">
      <c r="B8" s="27" t="s">
        <v>123</v>
      </c>
      <c r="C8" s="419"/>
      <c r="D8" s="418"/>
      <c r="E8" s="65"/>
    </row>
    <row r="9" spans="2:5" ht="15.75">
      <c r="B9" s="27" t="s">
        <v>16</v>
      </c>
      <c r="C9" s="29"/>
      <c r="D9" s="419">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0"/>
      <c r="D27" s="420"/>
      <c r="E27" s="66"/>
    </row>
    <row r="28" spans="2:5" ht="15.75">
      <c r="B28" s="39" t="s">
        <v>223</v>
      </c>
      <c r="C28" s="412">
        <f>IF(C29*0.1&lt;C27,"Exceed 10% Rule","")</f>
      </c>
      <c r="D28" s="412">
        <f>IF(D29*0.1&lt;D27,"Exceed 10% Rule","")</f>
      </c>
      <c r="E28" s="45">
        <f>IF(E29*0.1+E60&lt;E27,"Exceed 10% Rule","")</f>
      </c>
    </row>
    <row r="29" spans="2:5" ht="15.75">
      <c r="B29" s="43" t="s">
        <v>23</v>
      </c>
      <c r="C29" s="421">
        <f>SUM(C9:C27)</f>
        <v>0</v>
      </c>
      <c r="D29" s="421">
        <f>SUM(D9:D27)</f>
        <v>0</v>
      </c>
      <c r="E29" s="72">
        <f>SUM(E9:E27)</f>
        <v>0</v>
      </c>
    </row>
    <row r="30" spans="2:5" ht="15.75">
      <c r="B30" s="43" t="s">
        <v>24</v>
      </c>
      <c r="C30" s="421">
        <f>C7+C29</f>
        <v>0</v>
      </c>
      <c r="D30" s="421">
        <f>D7+D29</f>
        <v>0</v>
      </c>
      <c r="E30" s="73">
        <f>E7+E29</f>
        <v>0</v>
      </c>
    </row>
    <row r="31" spans="2:5" ht="15.75">
      <c r="B31" s="74" t="s">
        <v>25</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0"/>
      <c r="D51" s="420"/>
      <c r="E51" s="66"/>
    </row>
    <row r="52" spans="2:9" ht="15.75">
      <c r="B52" s="35" t="s">
        <v>643</v>
      </c>
      <c r="C52" s="412">
        <f>IF(C53*0.1&lt;C51,"Exceed 10% Rule","")</f>
      </c>
      <c r="D52" s="412">
        <f>IF(D53*0.1&lt;D51,"Exceed 10% Rule","")</f>
      </c>
      <c r="E52" s="45">
        <f>IF(E53*0.1&lt;E51,"Exceed 10% Rule","")</f>
      </c>
      <c r="G52" s="676" t="str">
        <f>CONCATENATE("Projected Carryover Into ",E1+1,"")</f>
        <v>Projected Carryover Into 2013</v>
      </c>
      <c r="H52" s="677"/>
      <c r="I52" s="678"/>
    </row>
    <row r="53" spans="2:9" ht="15.75">
      <c r="B53" s="43" t="s">
        <v>26</v>
      </c>
      <c r="C53" s="421">
        <f>SUM(C32:C51)</f>
        <v>0</v>
      </c>
      <c r="D53" s="421">
        <f>SUM(D32:D51)</f>
        <v>0</v>
      </c>
      <c r="E53" s="72">
        <f>SUM(E32:E51)</f>
        <v>0</v>
      </c>
      <c r="G53" s="531"/>
      <c r="H53" s="532"/>
      <c r="I53" s="533"/>
    </row>
    <row r="54" spans="2:9" ht="15.75">
      <c r="B54" s="27" t="s">
        <v>122</v>
      </c>
      <c r="C54" s="422">
        <f>C30-C53</f>
        <v>0</v>
      </c>
      <c r="D54" s="422">
        <f>D30-D53</f>
        <v>0</v>
      </c>
      <c r="E54" s="33" t="s">
        <v>300</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300</v>
      </c>
      <c r="F55" s="50"/>
      <c r="G55" s="558">
        <f>E29</f>
        <v>0</v>
      </c>
      <c r="H55" s="560" t="str">
        <f>CONCATENATE("",E1," Non-AV Receipts (est.)")</f>
        <v>2012 Non-AV Receipts (est.)</v>
      </c>
      <c r="I55" s="533"/>
    </row>
    <row r="56" spans="2:9" ht="15.75">
      <c r="B56" s="48"/>
      <c r="C56" s="654" t="s">
        <v>644</v>
      </c>
      <c r="D56" s="655"/>
      <c r="E56" s="34"/>
      <c r="F56" s="530">
        <f>IF(E53/0.95-E53&lt;E56,"Exceeds 5%","")</f>
      </c>
      <c r="G56" s="561">
        <f>E60</f>
        <v>0</v>
      </c>
      <c r="H56" s="560" t="str">
        <f>CONCATENATE("",E1," Ad Valorem Tax (est.)")</f>
        <v>2012 Ad Valorem Tax (est.)</v>
      </c>
      <c r="I56" s="533"/>
    </row>
    <row r="57" spans="2:9" ht="15.75">
      <c r="B57" s="433" t="str">
        <f>CONCATENATE(C72,"     ",D72)</f>
        <v>     </v>
      </c>
      <c r="C57" s="656" t="s">
        <v>645</v>
      </c>
      <c r="D57" s="657"/>
      <c r="E57" s="32">
        <f>E53+E56</f>
        <v>0</v>
      </c>
      <c r="G57" s="558">
        <f>SUM(G54:G56)</f>
        <v>0</v>
      </c>
      <c r="H57" s="560" t="str">
        <f>CONCATENATE("Total ",E1," Resources Available")</f>
        <v>Total 2012 Resources Available</v>
      </c>
      <c r="I57" s="533"/>
    </row>
    <row r="58" spans="2:9" ht="15.75">
      <c r="B58" s="433" t="str">
        <f>CONCATENATE(C73,"     ",D73)</f>
        <v>     </v>
      </c>
      <c r="C58" s="60"/>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52" t="str">
        <f>CONCATENATE("Amount of  ",$E$1-1," Ad Valorem Tax")</f>
        <v>Amount of  2011 Ad Valorem Tax</v>
      </c>
      <c r="D60" s="653"/>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North Brown Township</v>
      </c>
      <c r="C1" s="22" t="s">
        <v>35</v>
      </c>
      <c r="D1" s="14"/>
      <c r="E1" s="15">
        <f>inputPrYr!D5</f>
        <v>2012</v>
      </c>
    </row>
    <row r="2" spans="2:5" ht="15.75">
      <c r="B2" s="17"/>
      <c r="C2" s="14"/>
      <c r="D2" s="14"/>
      <c r="E2" s="89"/>
    </row>
    <row r="3" spans="2:5" ht="15.75">
      <c r="B3" s="600" t="s">
        <v>748</v>
      </c>
      <c r="C3" s="77"/>
      <c r="D3" s="77"/>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4" t="s">
        <v>644</v>
      </c>
      <c r="D35" s="655"/>
      <c r="E35" s="34"/>
      <c r="F35" s="50">
        <f>IF(E32/0.95-E32&lt;E35,"Exceeds 5%","")</f>
      </c>
    </row>
    <row r="36" spans="2:5" ht="15.75">
      <c r="B36" s="433" t="str">
        <f>CONCATENATE(C88,"     ",D88)</f>
        <v>     </v>
      </c>
      <c r="C36" s="656" t="s">
        <v>645</v>
      </c>
      <c r="D36" s="657"/>
      <c r="E36" s="32">
        <f>E32+E35</f>
        <v>0</v>
      </c>
    </row>
    <row r="37" spans="2:5" ht="15.75">
      <c r="B37" s="433" t="str">
        <f>CONCATENATE(C89,"     ",D89)</f>
        <v>     </v>
      </c>
      <c r="C37" s="60"/>
      <c r="D37" s="52" t="s">
        <v>28</v>
      </c>
      <c r="E37" s="46">
        <f>IF(E36-E21&gt;0,E36-E21,0)</f>
        <v>0</v>
      </c>
    </row>
    <row r="38" spans="2:5" ht="15.75">
      <c r="B38" s="52"/>
      <c r="C38" s="437" t="s">
        <v>646</v>
      </c>
      <c r="D38" s="429">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4" t="s">
        <v>644</v>
      </c>
      <c r="D72" s="655"/>
      <c r="E72" s="34"/>
      <c r="F72" s="50">
        <f>IF(E69/0.95-E69&lt;E72,"Exceeds 5%","")</f>
      </c>
    </row>
    <row r="73" spans="2:5" ht="15.75">
      <c r="B73" s="433" t="str">
        <f>CONCATENATE(C90,"     ",D90)</f>
        <v>     </v>
      </c>
      <c r="C73" s="656" t="s">
        <v>645</v>
      </c>
      <c r="D73" s="657"/>
      <c r="E73" s="32">
        <f>E69+E72</f>
        <v>0</v>
      </c>
    </row>
    <row r="74" spans="2:5" ht="15.75">
      <c r="B74" s="433" t="str">
        <f>CONCATENATE(C91,"     ",D91)</f>
        <v>     </v>
      </c>
      <c r="C74" s="60"/>
      <c r="D74" s="52" t="s">
        <v>28</v>
      </c>
      <c r="E74" s="46">
        <f>IF(E73-E58&gt;0,E73-E58,0)</f>
        <v>0</v>
      </c>
    </row>
    <row r="75" spans="2:5" ht="15.75">
      <c r="B75" s="52"/>
      <c r="C75" s="437" t="s">
        <v>646</v>
      </c>
      <c r="D75" s="429">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North Brown Township</v>
      </c>
      <c r="C1" s="14"/>
      <c r="D1" s="14"/>
      <c r="E1" s="15">
        <f>inputPrYr!D5</f>
        <v>2012</v>
      </c>
    </row>
    <row r="2" spans="2:5" ht="15.75">
      <c r="B2" s="17"/>
      <c r="C2" s="14"/>
      <c r="D2" s="62"/>
      <c r="E2" s="93"/>
    </row>
    <row r="3" spans="2:5" ht="15.75">
      <c r="B3" s="600" t="s">
        <v>748</v>
      </c>
      <c r="C3" s="77"/>
      <c r="D3" s="77"/>
      <c r="E3" s="77"/>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4" t="s">
        <v>644</v>
      </c>
      <c r="D35" s="655"/>
      <c r="E35" s="34"/>
      <c r="F35" s="50">
        <f>IF(E32/0.95-E32&lt;E35,"Exceeds 5%","")</f>
      </c>
    </row>
    <row r="36" spans="2:5" ht="15.75">
      <c r="B36" s="433" t="str">
        <f>CONCATENATE(C88,"     ",D88)</f>
        <v>     </v>
      </c>
      <c r="C36" s="656" t="s">
        <v>645</v>
      </c>
      <c r="D36" s="657"/>
      <c r="E36" s="32">
        <f>E32+E35</f>
        <v>0</v>
      </c>
    </row>
    <row r="37" spans="2:5" ht="15.75">
      <c r="B37" s="433" t="str">
        <f>CONCATENATE(C89,"     ",D89)</f>
        <v>     </v>
      </c>
      <c r="C37" s="60"/>
      <c r="D37" s="52" t="s">
        <v>28</v>
      </c>
      <c r="E37" s="46">
        <f>IF(E36-E21&gt;0,E36-E21,0)</f>
        <v>0</v>
      </c>
    </row>
    <row r="38" spans="2:5" ht="15.75">
      <c r="B38" s="52"/>
      <c r="C38" s="437" t="s">
        <v>646</v>
      </c>
      <c r="D38" s="429">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4" t="s">
        <v>644</v>
      </c>
      <c r="D72" s="655"/>
      <c r="E72" s="599"/>
      <c r="F72" s="50">
        <f>IF(E69/0.95-E69&lt;E72,"Exceeds 5%","")</f>
      </c>
    </row>
    <row r="73" spans="2:6" ht="15.75">
      <c r="B73" s="433" t="str">
        <f>CONCATENATE(C90,"     ",D90)</f>
        <v>     </v>
      </c>
      <c r="C73" s="656" t="s">
        <v>645</v>
      </c>
      <c r="D73" s="657"/>
      <c r="E73" s="32">
        <f>E69+E72</f>
        <v>0</v>
      </c>
      <c r="F73" s="50"/>
    </row>
    <row r="74" spans="2:5" ht="15.75">
      <c r="B74" s="433" t="str">
        <f>CONCATENATE(C91,"     ",D91)</f>
        <v>     </v>
      </c>
      <c r="C74" s="60"/>
      <c r="D74" s="52" t="s">
        <v>28</v>
      </c>
      <c r="E74" s="46">
        <f>IF(E73-E58&gt;0,E73-E58,0)</f>
        <v>0</v>
      </c>
    </row>
    <row r="75" spans="2:5" ht="15.75">
      <c r="B75" s="52"/>
      <c r="C75" s="437" t="s">
        <v>646</v>
      </c>
      <c r="D75" s="429">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North Brown Township</v>
      </c>
      <c r="C1" s="14"/>
      <c r="D1" s="14"/>
      <c r="E1" s="15">
        <f>inputPrYr!D5</f>
        <v>2012</v>
      </c>
    </row>
    <row r="2" spans="2:5" ht="15.75">
      <c r="B2" s="17"/>
      <c r="C2" s="14"/>
      <c r="D2" s="62"/>
      <c r="E2" s="63"/>
    </row>
    <row r="3" spans="2:5" ht="15.75">
      <c r="B3" s="600" t="s">
        <v>748</v>
      </c>
      <c r="C3" s="77"/>
      <c r="D3" s="77"/>
      <c r="E3" s="77"/>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4" t="s">
        <v>644</v>
      </c>
      <c r="D35" s="655"/>
      <c r="E35" s="34"/>
      <c r="F35" s="50">
        <f>IF(E32/0.95-E32&lt;E35,"Exceeds 5%","")</f>
      </c>
    </row>
    <row r="36" spans="2:5" ht="15.75">
      <c r="B36" s="433" t="str">
        <f>CONCATENATE(C88,"     ",D88)</f>
        <v>     </v>
      </c>
      <c r="C36" s="656" t="s">
        <v>645</v>
      </c>
      <c r="D36" s="657"/>
      <c r="E36" s="32">
        <f>E32+E35</f>
        <v>0</v>
      </c>
    </row>
    <row r="37" spans="2:5" ht="15.75">
      <c r="B37" s="433" t="str">
        <f>CONCATENATE(C89,"     ",D89)</f>
        <v>     </v>
      </c>
      <c r="C37" s="60"/>
      <c r="D37" s="52" t="s">
        <v>28</v>
      </c>
      <c r="E37" s="46">
        <f>IF(E36-E21&gt;0,E36-E21,0)</f>
        <v>0</v>
      </c>
    </row>
    <row r="38" spans="2:5" ht="15.75">
      <c r="B38" s="52"/>
      <c r="C38" s="437" t="s">
        <v>646</v>
      </c>
      <c r="D38" s="429">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4" t="s">
        <v>644</v>
      </c>
      <c r="D72" s="655"/>
      <c r="E72" s="34"/>
      <c r="F72" s="50">
        <f>IF(E69/0.95-E69&lt;E72,"Exceeds 5%","")</f>
      </c>
    </row>
    <row r="73" spans="2:5" ht="15.75">
      <c r="B73" s="48"/>
      <c r="C73" s="656" t="s">
        <v>645</v>
      </c>
      <c r="D73" s="657"/>
      <c r="E73" s="32">
        <f>E69+E72</f>
        <v>0</v>
      </c>
    </row>
    <row r="74" spans="2:5" ht="15.75">
      <c r="B74" s="48"/>
      <c r="C74" s="60"/>
      <c r="D74" s="52" t="s">
        <v>28</v>
      </c>
      <c r="E74" s="46">
        <f>IF(E73-E58&gt;0,E73-E58,0)</f>
        <v>0</v>
      </c>
    </row>
    <row r="75" spans="2:5" ht="15.75">
      <c r="B75" s="52"/>
      <c r="C75" s="437" t="s">
        <v>646</v>
      </c>
      <c r="D75" s="429">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North Brown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4">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5">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North Brown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79">
        <f>inputPrYr!B33</f>
        <v>0</v>
      </c>
      <c r="B5" s="680"/>
      <c r="C5" s="679">
        <f>inputPrYr!B34</f>
        <v>0</v>
      </c>
      <c r="D5" s="680"/>
      <c r="E5" s="679">
        <f>inputPrYr!B35</f>
        <v>0</v>
      </c>
      <c r="F5" s="680"/>
      <c r="G5" s="681">
        <f>inputPrYr!B36</f>
        <v>0</v>
      </c>
      <c r="H5" s="680"/>
      <c r="I5" s="681">
        <f>inputPrYr!B37</f>
        <v>0</v>
      </c>
      <c r="J5" s="680"/>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B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608" t="s">
        <v>812</v>
      </c>
      <c r="E2" s="19"/>
    </row>
    <row r="3" spans="1:5" ht="15.75">
      <c r="A3" s="79" t="s">
        <v>235</v>
      </c>
      <c r="B3" s="14"/>
      <c r="C3" s="14"/>
      <c r="D3" s="609" t="s">
        <v>813</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5" t="s">
        <v>161</v>
      </c>
      <c r="B10" s="616"/>
      <c r="C10" s="616"/>
      <c r="D10" s="616"/>
      <c r="E10" s="616"/>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282</v>
      </c>
      <c r="B15" s="14"/>
      <c r="C15" s="339" t="s">
        <v>281</v>
      </c>
      <c r="D15" s="340" t="s">
        <v>354</v>
      </c>
      <c r="E15" s="341" t="s">
        <v>16</v>
      </c>
    </row>
    <row r="16" spans="1:5" ht="15.75">
      <c r="A16" s="14"/>
      <c r="B16" s="83" t="s">
        <v>283</v>
      </c>
      <c r="C16" s="172" t="s">
        <v>284</v>
      </c>
      <c r="D16" s="200">
        <v>16388</v>
      </c>
      <c r="E16" s="200">
        <v>8800</v>
      </c>
    </row>
    <row r="17" spans="1:5" ht="15.75">
      <c r="A17" s="14"/>
      <c r="B17" s="83" t="s">
        <v>310</v>
      </c>
      <c r="C17" s="172" t="s">
        <v>155</v>
      </c>
      <c r="D17" s="200"/>
      <c r="E17" s="200"/>
    </row>
    <row r="18" spans="1:5" ht="15.75">
      <c r="A18" s="14"/>
      <c r="B18" s="83" t="s">
        <v>285</v>
      </c>
      <c r="C18" s="192" t="s">
        <v>325</v>
      </c>
      <c r="D18" s="200">
        <v>82123</v>
      </c>
      <c r="E18" s="200">
        <v>25035</v>
      </c>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33835</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98511</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3" t="str">
        <f>CONCATENATE("",D5-3," Tax Rate                    (",D5-2," Column)")</f>
        <v>2009 Tax Rate                    (2010 Column)</v>
      </c>
      <c r="E39" s="14"/>
    </row>
    <row r="40" spans="1:5" ht="15.75">
      <c r="A40" s="335" t="str">
        <f>CONCATENATE("the ",D5-1," Budget, Budget Summary Page:")</f>
        <v>the 2011 Budget, Budget Summary Page:</v>
      </c>
      <c r="B40" s="307"/>
      <c r="C40" s="14"/>
      <c r="D40" s="614"/>
      <c r="E40" s="14"/>
    </row>
    <row r="41" spans="1:5" ht="15.75">
      <c r="A41" s="14"/>
      <c r="B41" s="96" t="str">
        <f aca="true" t="shared" si="0" ref="B41:B49">B16</f>
        <v>General</v>
      </c>
      <c r="C41" s="14"/>
      <c r="D41" s="347">
        <v>2.778</v>
      </c>
      <c r="E41" s="14"/>
    </row>
    <row r="42" spans="1:5" ht="15.75">
      <c r="A42" s="14"/>
      <c r="B42" s="96" t="str">
        <f t="shared" si="0"/>
        <v>Debt Service</v>
      </c>
      <c r="C42" s="14"/>
      <c r="D42" s="348"/>
      <c r="E42" s="14"/>
    </row>
    <row r="43" spans="1:5" ht="15.75">
      <c r="A43" s="14"/>
      <c r="B43" s="96" t="str">
        <f t="shared" si="0"/>
        <v>Road</v>
      </c>
      <c r="C43" s="14"/>
      <c r="D43" s="348">
        <v>9.85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12.628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33465</v>
      </c>
    </row>
    <row r="53" spans="1:5" ht="15.75">
      <c r="A53" s="353" t="str">
        <f>CONCATENATE("Assessed Valuation (",D5-2," budget column)")</f>
        <v>Assessed Valuation (2010 budget column)</v>
      </c>
      <c r="B53" s="354"/>
      <c r="C53" s="291"/>
      <c r="D53" s="28"/>
      <c r="E53" s="200">
        <v>3162183</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c r="E57" s="36"/>
    </row>
    <row r="58" spans="1:5" ht="15.75">
      <c r="A58" s="354" t="s">
        <v>171</v>
      </c>
      <c r="B58" s="354"/>
      <c r="C58" s="357"/>
      <c r="D58" s="36"/>
      <c r="E58" s="36"/>
    </row>
    <row r="59" spans="1:5" ht="15.75">
      <c r="A59" s="354" t="s">
        <v>172</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29" t="s">
        <v>741</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North Brown Township</v>
      </c>
      <c r="B1" s="14"/>
      <c r="C1" s="14"/>
      <c r="D1" s="14"/>
      <c r="E1" s="14"/>
      <c r="F1" s="14">
        <f>inputPrYr!D5</f>
        <v>2012</v>
      </c>
    </row>
    <row r="2" spans="1:6" ht="15.75">
      <c r="A2" s="14"/>
      <c r="B2" s="14"/>
      <c r="C2" s="14"/>
      <c r="D2" s="14"/>
      <c r="E2" s="14"/>
      <c r="F2" s="14"/>
    </row>
    <row r="3" spans="1:6" ht="15.75">
      <c r="A3" s="14"/>
      <c r="B3" s="628" t="str">
        <f>CONCATENATE("",F1," Neighborhood Revitalization Rebate")</f>
        <v>2012 Neighborhood Revitalization Rebate</v>
      </c>
      <c r="C3" s="636"/>
      <c r="D3" s="636"/>
      <c r="E3" s="63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4" t="str">
        <f>CONCATENATE("",F1-1," July 1 Valuation:")</f>
        <v>2011 July 1 Valuation:</v>
      </c>
      <c r="B18" s="683"/>
      <c r="C18" s="684"/>
      <c r="D18" s="147">
        <f>inputOth!E7</f>
        <v>2844646</v>
      </c>
      <c r="E18" s="14"/>
      <c r="F18" s="140"/>
    </row>
    <row r="19" spans="1:6" ht="15.75">
      <c r="A19" s="14"/>
      <c r="B19" s="14"/>
      <c r="C19" s="14"/>
      <c r="D19" s="14"/>
      <c r="E19" s="14"/>
      <c r="F19" s="140"/>
    </row>
    <row r="20" spans="1:6" ht="15.75">
      <c r="A20" s="14"/>
      <c r="B20" s="684" t="s">
        <v>377</v>
      </c>
      <c r="C20" s="684"/>
      <c r="D20" s="148">
        <f>IF(D18&gt;0,(D18*0.001),"")</f>
        <v>2844.646</v>
      </c>
      <c r="E20" s="14"/>
      <c r="F20" s="140"/>
    </row>
    <row r="21" spans="1:6" ht="15.75">
      <c r="A21" s="14"/>
      <c r="B21" s="48"/>
      <c r="C21" s="48"/>
      <c r="D21" s="149"/>
      <c r="E21" s="14"/>
      <c r="F21" s="140"/>
    </row>
    <row r="22" spans="1:6" ht="15.75">
      <c r="A22" s="682" t="s">
        <v>379</v>
      </c>
      <c r="B22" s="627"/>
      <c r="C22" s="627"/>
      <c r="D22" s="150">
        <f>inputOth!E13</f>
        <v>0</v>
      </c>
      <c r="E22" s="151"/>
      <c r="F22" s="151"/>
    </row>
    <row r="23" spans="1:6" ht="15.75">
      <c r="A23" s="151"/>
      <c r="B23" s="151"/>
      <c r="C23" s="151"/>
      <c r="D23" s="152"/>
      <c r="E23" s="151"/>
      <c r="F23" s="151"/>
    </row>
    <row r="24" spans="1:6" ht="15.75">
      <c r="A24" s="151"/>
      <c r="B24" s="682" t="s">
        <v>380</v>
      </c>
      <c r="C24" s="68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625</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2" t="s">
        <v>131</v>
      </c>
      <c r="B1" s="692"/>
      <c r="C1" s="692"/>
      <c r="D1" s="692"/>
      <c r="E1" s="692"/>
      <c r="F1" s="692"/>
      <c r="G1" s="692"/>
    </row>
    <row r="2" ht="15.75">
      <c r="A2" s="1"/>
    </row>
    <row r="3" spans="1:7" ht="15.75">
      <c r="A3" s="693" t="s">
        <v>132</v>
      </c>
      <c r="B3" s="693"/>
      <c r="C3" s="693"/>
      <c r="D3" s="693"/>
      <c r="E3" s="693"/>
      <c r="F3" s="693"/>
      <c r="G3" s="693"/>
    </row>
    <row r="4" ht="15.75">
      <c r="A4" s="2"/>
    </row>
    <row r="5" ht="15.75">
      <c r="A5" s="2"/>
    </row>
    <row r="6" spans="1:9" ht="15.75">
      <c r="A6" s="8" t="str">
        <f>CONCATENATE("A resolution expressing the property taxation policy of the Board of ",(inputPrYr!D2)," ")</f>
        <v>A resolution expressing the property taxation policy of the Board of North Brown Township </v>
      </c>
      <c r="I6">
        <f>CONCATENATE(I7)</f>
      </c>
    </row>
    <row r="7" spans="1:7" ht="15.75">
      <c r="A7" s="694" t="str">
        <f>CONCATENATE("   with respect to financing the ",inputPrYr!D5," annual budget for ",(inputPrYr!D2)," , ",(inputPrYr!D3)," , Kansas.")</f>
        <v>   with respect to financing the 2012 annual budget for North Brown Township , Edwards County , Kansas.</v>
      </c>
      <c r="B7" s="687"/>
      <c r="C7" s="687"/>
      <c r="D7" s="687"/>
      <c r="E7" s="687"/>
      <c r="F7" s="687"/>
      <c r="G7" s="687"/>
    </row>
    <row r="8" spans="1:7" ht="15.75">
      <c r="A8" s="687"/>
      <c r="B8" s="687"/>
      <c r="C8" s="687"/>
      <c r="D8" s="687"/>
      <c r="E8" s="687"/>
      <c r="F8" s="687"/>
      <c r="G8" s="687"/>
    </row>
    <row r="9" ht="15.75">
      <c r="A9" s="1"/>
    </row>
    <row r="10" ht="15.75">
      <c r="A10" s="9" t="s">
        <v>133</v>
      </c>
    </row>
    <row r="11" ht="15.75">
      <c r="A11" s="7" t="str">
        <f>CONCATENATE("to finance the ",inputPrYr!D5," ",(inputPrYr!D2)," budget exceed the amount levied to finance the ",inputPrYr!D5-1,"")</f>
        <v>to finance the 2012 North Brown Township budget exceed the amount levied to finance the 2011</v>
      </c>
    </row>
    <row r="12" spans="1:7" ht="15.75">
      <c r="A12" s="690" t="str">
        <f>CONCATENATE((inputPrYr!D2)," Township budget, except with regard to revenue produced and attributable to the taxation of 1) new improvements to real property; 2) increased personal property valuation, other than increased")</f>
        <v>North Brown Township Township budget, except with regard to revenue produced and attributable to the taxation of 1) new improvements to real property; 2) increased personal property valuation, other than increased</v>
      </c>
      <c r="B12" s="687"/>
      <c r="C12" s="687"/>
      <c r="D12" s="687"/>
      <c r="E12" s="687"/>
      <c r="F12" s="687"/>
      <c r="G12" s="687"/>
    </row>
    <row r="13" spans="1:7" ht="15.75">
      <c r="A13" s="687"/>
      <c r="B13" s="687"/>
      <c r="C13" s="687"/>
      <c r="D13" s="687"/>
      <c r="E13" s="687"/>
      <c r="F13" s="687"/>
      <c r="G13" s="687"/>
    </row>
    <row r="14" spans="1:7" ht="15.75">
      <c r="A14" s="690" t="s">
        <v>138</v>
      </c>
      <c r="B14" s="687"/>
      <c r="C14" s="687"/>
      <c r="D14" s="687"/>
      <c r="E14" s="687"/>
      <c r="F14" s="687"/>
      <c r="G14" s="687"/>
    </row>
    <row r="15" spans="1:7" ht="15.75">
      <c r="A15" s="687"/>
      <c r="B15" s="687"/>
      <c r="C15" s="687"/>
      <c r="D15" s="687"/>
      <c r="E15" s="687"/>
      <c r="F15" s="687"/>
      <c r="G15" s="687"/>
    </row>
    <row r="16" spans="1:7" ht="15.75">
      <c r="A16" s="691"/>
      <c r="B16" s="691"/>
      <c r="C16" s="691"/>
      <c r="D16" s="691"/>
      <c r="E16" s="691"/>
      <c r="F16" s="691"/>
      <c r="G16" s="691"/>
    </row>
    <row r="17" ht="15.75">
      <c r="A17" s="2"/>
    </row>
    <row r="18" spans="1:7" ht="15.75">
      <c r="A18" s="686" t="s">
        <v>134</v>
      </c>
      <c r="B18" s="687"/>
      <c r="C18" s="687"/>
      <c r="D18" s="687"/>
      <c r="E18" s="687"/>
      <c r="F18" s="687"/>
      <c r="G18" s="687"/>
    </row>
    <row r="19" spans="1:7" ht="15.75">
      <c r="A19" s="687"/>
      <c r="B19" s="687"/>
      <c r="C19" s="687"/>
      <c r="D19" s="687"/>
      <c r="E19" s="687"/>
      <c r="F19" s="687"/>
      <c r="G19" s="687"/>
    </row>
    <row r="20" ht="15.75">
      <c r="A20" s="2"/>
    </row>
    <row r="21" spans="1:7" ht="15.75">
      <c r="A21" s="686" t="str">
        <f>CONCATENATE("Whereas, ",(inputPrYr!D2)," provides essential services to protect the safety and well being of the citizens of the township; and")</f>
        <v>Whereas, North Brown Township provides essential services to protect the safety and well being of the citizens of the township; and</v>
      </c>
      <c r="B21" s="687"/>
      <c r="C21" s="687"/>
      <c r="D21" s="687"/>
      <c r="E21" s="687"/>
      <c r="F21" s="687"/>
      <c r="G21" s="687"/>
    </row>
    <row r="22" spans="1:7" ht="15.75">
      <c r="A22" s="687"/>
      <c r="B22" s="687"/>
      <c r="C22" s="687"/>
      <c r="D22" s="687"/>
      <c r="E22" s="687"/>
      <c r="F22" s="687"/>
      <c r="G22" s="687"/>
    </row>
    <row r="23" ht="15.75">
      <c r="A23" s="4"/>
    </row>
    <row r="24" ht="15.75">
      <c r="A24" s="3" t="s">
        <v>135</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North Brown Township of Edwards County, Kansas that is our desire to notify the public of increased property taxes to finance the 2012 North Brown Township  budget as defined above.</v>
      </c>
      <c r="B26" s="687"/>
      <c r="C26" s="687"/>
      <c r="D26" s="687"/>
      <c r="E26" s="687"/>
      <c r="F26" s="687"/>
      <c r="G26" s="687"/>
    </row>
    <row r="27" spans="1:7" ht="15.75">
      <c r="A27" s="687"/>
      <c r="B27" s="687"/>
      <c r="C27" s="687"/>
      <c r="D27" s="687"/>
      <c r="E27" s="687"/>
      <c r="F27" s="687"/>
      <c r="G27" s="687"/>
    </row>
    <row r="28" spans="1:7" ht="15.75">
      <c r="A28" s="687"/>
      <c r="B28" s="687"/>
      <c r="C28" s="687"/>
      <c r="D28" s="687"/>
      <c r="E28" s="687"/>
      <c r="F28" s="687"/>
      <c r="G28" s="687"/>
    </row>
    <row r="29" ht="15.75">
      <c r="A29" s="4"/>
    </row>
    <row r="30" spans="1:7" ht="15.75">
      <c r="A30" s="689" t="str">
        <f>CONCATENATE("Adopted this _________ day of ___________, ",inputPrYr!D5-1," by the ",(inputPrYr!D2)," Board, ",(inputPrYr!D3),", Kansas.")</f>
        <v>Adopted this _________ day of ___________, 2011 by the North Brown Township Board, Edwards County, Kansas.</v>
      </c>
      <c r="B30" s="687"/>
      <c r="C30" s="687"/>
      <c r="D30" s="687"/>
      <c r="E30" s="687"/>
      <c r="F30" s="687"/>
      <c r="G30" s="687"/>
    </row>
    <row r="31" spans="1:7" ht="15.75">
      <c r="A31" s="687"/>
      <c r="B31" s="687"/>
      <c r="C31" s="687"/>
      <c r="D31" s="687"/>
      <c r="E31" s="687"/>
      <c r="F31" s="687"/>
      <c r="G31" s="687"/>
    </row>
    <row r="32" ht="15.75">
      <c r="A32" s="4"/>
    </row>
    <row r="33" spans="4:7" ht="15.75">
      <c r="D33" s="688" t="str">
        <f>CONCATENATE((inputPrYr!D2)," Board")</f>
        <v>North Brown Township Board</v>
      </c>
      <c r="E33" s="688"/>
      <c r="F33" s="688"/>
      <c r="G33" s="688"/>
    </row>
    <row r="35" spans="4:7" ht="15.75">
      <c r="D35" s="685" t="s">
        <v>136</v>
      </c>
      <c r="E35" s="685"/>
      <c r="F35" s="685"/>
      <c r="G35" s="685"/>
    </row>
    <row r="36" spans="1:7" ht="15.75">
      <c r="A36" s="5"/>
      <c r="D36" s="685" t="s">
        <v>140</v>
      </c>
      <c r="E36" s="685"/>
      <c r="F36" s="685"/>
      <c r="G36" s="685"/>
    </row>
    <row r="37" spans="4:7" ht="15.75">
      <c r="D37" s="685"/>
      <c r="E37" s="685"/>
      <c r="F37" s="685"/>
      <c r="G37" s="685"/>
    </row>
    <row r="38" spans="4:7" ht="15.75">
      <c r="D38" s="685" t="s">
        <v>136</v>
      </c>
      <c r="E38" s="685"/>
      <c r="F38" s="685"/>
      <c r="G38" s="685"/>
    </row>
    <row r="39" spans="1:7" ht="15.75">
      <c r="A39" s="4"/>
      <c r="D39" s="685" t="s">
        <v>141</v>
      </c>
      <c r="E39" s="685"/>
      <c r="F39" s="685"/>
      <c r="G39" s="685"/>
    </row>
    <row r="40" spans="4:7" ht="15.75">
      <c r="D40" s="685"/>
      <c r="E40" s="685"/>
      <c r="F40" s="685"/>
      <c r="G40" s="685"/>
    </row>
    <row r="41" spans="4:7" ht="15.75">
      <c r="D41" s="685" t="s">
        <v>139</v>
      </c>
      <c r="E41" s="685"/>
      <c r="F41" s="685"/>
      <c r="G41" s="685"/>
    </row>
    <row r="42" spans="1:7" ht="15.75">
      <c r="A42" s="4"/>
      <c r="D42" s="685" t="s">
        <v>142</v>
      </c>
      <c r="E42" s="685"/>
      <c r="F42" s="685"/>
      <c r="G42" s="685"/>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5"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2" t="str">
        <f>CONCATENATE("Well, let's look to see if any of your ",inputPrYr!D5-1," expenditures can")</f>
        <v>Well, let's look to see if any of your 2011 expenditures can</v>
      </c>
      <c r="B33" s="379"/>
      <c r="C33" s="379"/>
      <c r="D33" s="379"/>
      <c r="E33" s="379"/>
      <c r="F33" s="379"/>
    </row>
    <row r="34" spans="1:6" ht="15.75">
      <c r="A34" s="392" t="s">
        <v>522</v>
      </c>
      <c r="B34" s="379"/>
      <c r="C34" s="379"/>
      <c r="D34" s="379"/>
      <c r="E34" s="379"/>
      <c r="F34" s="379"/>
    </row>
    <row r="35" spans="1:6" ht="15.75">
      <c r="A35" s="392" t="s">
        <v>408</v>
      </c>
      <c r="B35" s="379"/>
      <c r="C35" s="379"/>
      <c r="D35" s="379"/>
      <c r="E35" s="379"/>
      <c r="F35" s="379"/>
    </row>
    <row r="36" spans="1:6" ht="15.75">
      <c r="A36" s="392" t="s">
        <v>409</v>
      </c>
      <c r="B36" s="379"/>
      <c r="C36" s="379"/>
      <c r="D36" s="379"/>
      <c r="E36" s="379"/>
      <c r="F36" s="379"/>
    </row>
    <row r="37" spans="1:6" ht="15.75">
      <c r="A37" s="392"/>
      <c r="B37" s="379"/>
      <c r="C37" s="379"/>
      <c r="D37" s="379"/>
      <c r="E37" s="379"/>
      <c r="F37" s="379"/>
    </row>
    <row r="38" spans="1:6" ht="15.75">
      <c r="A38" s="392" t="str">
        <f>CONCATENATE("Additionally, do your ",inputPrYr!D5-1," receipts contain a reimbursement")</f>
        <v>Additionally, do your 2011 receipts contain a reimbursement</v>
      </c>
      <c r="B38" s="379"/>
      <c r="C38" s="379"/>
      <c r="D38" s="379"/>
      <c r="E38" s="379"/>
      <c r="F38" s="379"/>
    </row>
    <row r="39" spans="1:6" ht="15.75">
      <c r="A39" s="392" t="s">
        <v>410</v>
      </c>
      <c r="B39" s="379"/>
      <c r="C39" s="379"/>
      <c r="D39" s="379"/>
      <c r="E39" s="379"/>
      <c r="F39" s="379"/>
    </row>
    <row r="40" spans="1:6" ht="15.75">
      <c r="A40" s="392" t="s">
        <v>411</v>
      </c>
      <c r="B40" s="379"/>
      <c r="C40" s="379"/>
      <c r="D40" s="379"/>
      <c r="E40" s="379"/>
      <c r="F40" s="379"/>
    </row>
    <row r="41" spans="1:6" ht="15.75">
      <c r="A41" s="392"/>
      <c r="B41" s="379"/>
      <c r="C41" s="379"/>
      <c r="D41" s="379"/>
      <c r="E41" s="379"/>
      <c r="F41" s="379"/>
    </row>
    <row r="42" spans="1:6" ht="15.75">
      <c r="A42" s="392" t="s">
        <v>412</v>
      </c>
      <c r="B42" s="379"/>
      <c r="C42" s="379"/>
      <c r="D42" s="379"/>
      <c r="E42" s="379"/>
      <c r="F42" s="379"/>
    </row>
    <row r="43" spans="1:6" ht="15.75">
      <c r="A43" s="392" t="s">
        <v>598</v>
      </c>
      <c r="B43" s="379"/>
      <c r="C43" s="379"/>
      <c r="D43" s="379"/>
      <c r="E43" s="379"/>
      <c r="F43" s="379"/>
    </row>
    <row r="44" spans="1:6" ht="15.75">
      <c r="A44" s="392" t="s">
        <v>599</v>
      </c>
      <c r="B44" s="379"/>
      <c r="C44" s="379"/>
      <c r="D44" s="379"/>
      <c r="E44" s="379"/>
      <c r="F44" s="379"/>
    </row>
    <row r="45" spans="1:6" ht="15.75">
      <c r="A45" s="392" t="s">
        <v>523</v>
      </c>
      <c r="B45" s="379"/>
      <c r="C45" s="379"/>
      <c r="D45" s="379"/>
      <c r="E45" s="379"/>
      <c r="F45" s="379"/>
    </row>
    <row r="46" spans="1:6" ht="15.75">
      <c r="A46" s="392" t="s">
        <v>414</v>
      </c>
      <c r="B46" s="379"/>
      <c r="C46" s="379"/>
      <c r="D46" s="379"/>
      <c r="E46" s="379"/>
      <c r="F46" s="379"/>
    </row>
    <row r="47" spans="1:6" ht="15.75">
      <c r="A47" s="392" t="s">
        <v>524</v>
      </c>
      <c r="B47" s="379"/>
      <c r="C47" s="379"/>
      <c r="D47" s="379"/>
      <c r="E47" s="379"/>
      <c r="F47" s="379"/>
    </row>
    <row r="48" spans="1:6" ht="15.75">
      <c r="A48" s="392" t="s">
        <v>525</v>
      </c>
      <c r="B48" s="379"/>
      <c r="C48" s="379"/>
      <c r="D48" s="379"/>
      <c r="E48" s="379"/>
      <c r="F48" s="379"/>
    </row>
    <row r="49" spans="1:6" ht="15.75">
      <c r="A49" s="392" t="s">
        <v>417</v>
      </c>
      <c r="B49" s="379"/>
      <c r="C49" s="379"/>
      <c r="D49" s="379"/>
      <c r="E49" s="379"/>
      <c r="F49" s="379"/>
    </row>
    <row r="50" spans="1:6" ht="15.75">
      <c r="A50" s="392"/>
      <c r="B50" s="379"/>
      <c r="C50" s="379"/>
      <c r="D50" s="379"/>
      <c r="E50" s="379"/>
      <c r="F50" s="379"/>
    </row>
    <row r="51" spans="1:6" ht="15.75">
      <c r="A51" s="392" t="s">
        <v>418</v>
      </c>
      <c r="B51" s="379"/>
      <c r="C51" s="379"/>
      <c r="D51" s="379"/>
      <c r="E51" s="379"/>
      <c r="F51" s="379"/>
    </row>
    <row r="52" spans="1:6" ht="15.75">
      <c r="A52" s="392" t="s">
        <v>419</v>
      </c>
      <c r="B52" s="379"/>
      <c r="C52" s="379"/>
      <c r="D52" s="379"/>
      <c r="E52" s="379"/>
      <c r="F52" s="379"/>
    </row>
    <row r="53" spans="1:6" ht="15.75">
      <c r="A53" s="392" t="s">
        <v>420</v>
      </c>
      <c r="B53" s="379"/>
      <c r="C53" s="379"/>
      <c r="D53" s="379"/>
      <c r="E53" s="379"/>
      <c r="F53" s="379"/>
    </row>
    <row r="54" spans="1:6" ht="15.75">
      <c r="A54" s="392"/>
      <c r="B54" s="379"/>
      <c r="C54" s="379"/>
      <c r="D54" s="379"/>
      <c r="E54" s="379"/>
      <c r="F54" s="379"/>
    </row>
    <row r="55" spans="1:6" ht="15.75">
      <c r="A55" s="392" t="s">
        <v>526</v>
      </c>
      <c r="B55" s="379"/>
      <c r="C55" s="379"/>
      <c r="D55" s="379"/>
      <c r="E55" s="379"/>
      <c r="F55" s="379"/>
    </row>
    <row r="56" spans="1:6" ht="15.75">
      <c r="A56" s="392" t="s">
        <v>527</v>
      </c>
      <c r="B56" s="379"/>
      <c r="C56" s="379"/>
      <c r="D56" s="379"/>
      <c r="E56" s="379"/>
      <c r="F56" s="379"/>
    </row>
    <row r="57" spans="1:6" ht="15.75">
      <c r="A57" s="392" t="s">
        <v>528</v>
      </c>
      <c r="B57" s="379"/>
      <c r="C57" s="379"/>
      <c r="D57" s="379"/>
      <c r="E57" s="379"/>
      <c r="F57" s="379"/>
    </row>
    <row r="58" spans="1:6" ht="15.75">
      <c r="A58" s="392" t="s">
        <v>529</v>
      </c>
      <c r="B58" s="379"/>
      <c r="C58" s="379"/>
      <c r="D58" s="379"/>
      <c r="E58" s="379"/>
      <c r="F58" s="379"/>
    </row>
    <row r="59" spans="1:6" ht="15.75">
      <c r="A59" s="392" t="s">
        <v>530</v>
      </c>
      <c r="B59" s="379"/>
      <c r="C59" s="379"/>
      <c r="D59" s="379"/>
      <c r="E59" s="379"/>
      <c r="F59" s="379"/>
    </row>
    <row r="60" spans="1:6" ht="15.75">
      <c r="A60" s="392"/>
      <c r="B60" s="379"/>
      <c r="C60" s="379"/>
      <c r="D60" s="379"/>
      <c r="E60" s="379"/>
      <c r="F60" s="379"/>
    </row>
    <row r="61" spans="1:6" ht="15.75">
      <c r="A61" s="393" t="s">
        <v>531</v>
      </c>
      <c r="B61" s="379"/>
      <c r="C61" s="379"/>
      <c r="D61" s="379"/>
      <c r="E61" s="379"/>
      <c r="F61" s="379"/>
    </row>
    <row r="62" spans="1:6" ht="15.75">
      <c r="A62" s="393" t="s">
        <v>532</v>
      </c>
      <c r="B62" s="379"/>
      <c r="C62" s="379"/>
      <c r="D62" s="379"/>
      <c r="E62" s="379"/>
      <c r="F62" s="379"/>
    </row>
    <row r="63" spans="1:6" ht="15.75">
      <c r="A63" s="393" t="s">
        <v>533</v>
      </c>
      <c r="B63" s="379"/>
      <c r="C63" s="379"/>
      <c r="D63" s="379"/>
      <c r="E63" s="379"/>
      <c r="F63" s="379"/>
    </row>
    <row r="64" ht="15.75">
      <c r="A64" s="393" t="s">
        <v>534</v>
      </c>
    </row>
    <row r="65" ht="15.75">
      <c r="A65" s="393" t="s">
        <v>535</v>
      </c>
    </row>
    <row r="66" ht="15.75">
      <c r="A66" s="393"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2" t="str">
        <f>CONCATENATE("So, let's look to see if any of your ",inputPrYr!D5-1," expenditures can")</f>
        <v>So, let's look to see if any of your 2011 expenditures can</v>
      </c>
      <c r="B41" s="379"/>
      <c r="C41" s="379"/>
      <c r="D41" s="379"/>
      <c r="E41" s="379"/>
      <c r="F41" s="379"/>
    </row>
    <row r="42" spans="1:6" ht="15.75">
      <c r="A42" s="392" t="s">
        <v>522</v>
      </c>
      <c r="B42" s="379"/>
      <c r="C42" s="379"/>
      <c r="D42" s="379"/>
      <c r="E42" s="379"/>
      <c r="F42" s="379"/>
    </row>
    <row r="43" spans="1:6" ht="15.75">
      <c r="A43" s="392" t="s">
        <v>408</v>
      </c>
      <c r="B43" s="379"/>
      <c r="C43" s="379"/>
      <c r="D43" s="379"/>
      <c r="E43" s="379"/>
      <c r="F43" s="379"/>
    </row>
    <row r="44" spans="1:6" ht="15.75">
      <c r="A44" s="392" t="s">
        <v>409</v>
      </c>
      <c r="B44" s="379"/>
      <c r="C44" s="379"/>
      <c r="D44" s="379"/>
      <c r="E44" s="379"/>
      <c r="F44" s="379"/>
    </row>
    <row r="45" ht="15.75">
      <c r="A45" s="379"/>
    </row>
    <row r="46" spans="1:6" ht="15.75">
      <c r="A46" s="392" t="str">
        <f>CONCATENATE("Additionally, do your ",inputPrYr!D5-1," receipts contain a reimbursement")</f>
        <v>Additionally, do your 2011 receipts contain a reimbursement</v>
      </c>
      <c r="B46" s="379"/>
      <c r="C46" s="379"/>
      <c r="D46" s="379"/>
      <c r="E46" s="379"/>
      <c r="F46" s="379"/>
    </row>
    <row r="47" spans="1:6" ht="15.75">
      <c r="A47" s="392" t="s">
        <v>410</v>
      </c>
      <c r="B47" s="379"/>
      <c r="C47" s="379"/>
      <c r="D47" s="379"/>
      <c r="E47" s="379"/>
      <c r="F47" s="379"/>
    </row>
    <row r="48" spans="1:6" ht="15.75">
      <c r="A48" s="392"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2" t="s">
        <v>418</v>
      </c>
      <c r="B56" s="379"/>
      <c r="C56" s="379"/>
      <c r="D56" s="379"/>
      <c r="E56" s="379"/>
      <c r="F56" s="379"/>
    </row>
    <row r="57" spans="1:6" ht="15.75">
      <c r="A57" s="392" t="s">
        <v>419</v>
      </c>
      <c r="B57" s="379"/>
      <c r="C57" s="379"/>
      <c r="D57" s="379"/>
      <c r="E57" s="379"/>
      <c r="F57" s="379"/>
    </row>
    <row r="58" spans="1:6" ht="15.75">
      <c r="A58" s="392" t="s">
        <v>420</v>
      </c>
      <c r="B58" s="379"/>
      <c r="C58" s="379"/>
      <c r="D58" s="379"/>
      <c r="E58" s="379"/>
      <c r="F58" s="379"/>
    </row>
    <row r="59" spans="1:6" ht="15.75">
      <c r="A59" s="392"/>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2" t="s">
        <v>526</v>
      </c>
      <c r="B66" s="379"/>
      <c r="C66" s="379"/>
      <c r="D66" s="379"/>
      <c r="E66" s="379"/>
      <c r="F66" s="379"/>
    </row>
    <row r="67" spans="1:6" ht="15.75">
      <c r="A67" s="392" t="s">
        <v>527</v>
      </c>
      <c r="B67" s="379"/>
      <c r="C67" s="379"/>
      <c r="D67" s="379"/>
      <c r="E67" s="379"/>
      <c r="F67" s="379"/>
    </row>
    <row r="68" spans="1:6" ht="15.75">
      <c r="A68" s="392" t="s">
        <v>528</v>
      </c>
      <c r="B68" s="379"/>
      <c r="C68" s="379"/>
      <c r="D68" s="379"/>
      <c r="E68" s="379"/>
      <c r="F68" s="379"/>
    </row>
    <row r="69" spans="1:6" ht="15.75">
      <c r="A69" s="392" t="s">
        <v>529</v>
      </c>
      <c r="B69" s="379"/>
      <c r="C69" s="379"/>
      <c r="D69" s="379"/>
      <c r="E69" s="379"/>
      <c r="F69" s="379"/>
    </row>
    <row r="70" spans="1:6" ht="15.75">
      <c r="A70" s="392"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5"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6" t="s">
        <v>571</v>
      </c>
      <c r="B17" s="374"/>
      <c r="C17" s="374"/>
      <c r="D17" s="374"/>
      <c r="E17" s="374"/>
      <c r="F17" s="374"/>
      <c r="G17" s="374"/>
      <c r="H17" s="374"/>
    </row>
    <row r="18" spans="1:7" ht="15.75">
      <c r="A18" s="379" t="s">
        <v>572</v>
      </c>
      <c r="B18" s="397"/>
      <c r="C18" s="397"/>
      <c r="D18" s="397"/>
      <c r="E18" s="397"/>
      <c r="F18" s="397"/>
      <c r="G18" s="397"/>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24">
      <selection activeCell="F138" sqref="F138"/>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704" t="s">
        <v>648</v>
      </c>
      <c r="C6" s="712"/>
      <c r="D6" s="712"/>
      <c r="E6" s="712"/>
      <c r="F6" s="712"/>
      <c r="G6" s="712"/>
      <c r="H6" s="712"/>
      <c r="I6" s="712"/>
      <c r="J6" s="712"/>
      <c r="K6" s="712"/>
      <c r="L6" s="443"/>
    </row>
    <row r="7" spans="1:12" ht="40.5" customHeight="1">
      <c r="A7" s="440"/>
      <c r="B7" s="723" t="s">
        <v>649</v>
      </c>
      <c r="C7" s="724"/>
      <c r="D7" s="724"/>
      <c r="E7" s="724"/>
      <c r="F7" s="724"/>
      <c r="G7" s="724"/>
      <c r="H7" s="724"/>
      <c r="I7" s="724"/>
      <c r="J7" s="724"/>
      <c r="K7" s="724"/>
      <c r="L7" s="440"/>
    </row>
    <row r="8" spans="1:12" ht="14.25">
      <c r="A8" s="440"/>
      <c r="B8" s="720" t="s">
        <v>650</v>
      </c>
      <c r="C8" s="720"/>
      <c r="D8" s="720"/>
      <c r="E8" s="720"/>
      <c r="F8" s="720"/>
      <c r="G8" s="720"/>
      <c r="H8" s="720"/>
      <c r="I8" s="720"/>
      <c r="J8" s="720"/>
      <c r="K8" s="720"/>
      <c r="L8" s="440"/>
    </row>
    <row r="9" spans="1:12" ht="14.25">
      <c r="A9" s="440"/>
      <c r="L9" s="440"/>
    </row>
    <row r="10" spans="1:12" ht="14.25">
      <c r="A10" s="440"/>
      <c r="B10" s="720" t="s">
        <v>651</v>
      </c>
      <c r="C10" s="720"/>
      <c r="D10" s="720"/>
      <c r="E10" s="720"/>
      <c r="F10" s="720"/>
      <c r="G10" s="720"/>
      <c r="H10" s="720"/>
      <c r="I10" s="720"/>
      <c r="J10" s="720"/>
      <c r="K10" s="720"/>
      <c r="L10" s="440"/>
    </row>
    <row r="11" spans="1:12" ht="14.25">
      <c r="A11" s="440"/>
      <c r="B11" s="444"/>
      <c r="C11" s="444"/>
      <c r="D11" s="444"/>
      <c r="E11" s="444"/>
      <c r="F11" s="444"/>
      <c r="G11" s="444"/>
      <c r="H11" s="444"/>
      <c r="I11" s="444"/>
      <c r="J11" s="444"/>
      <c r="K11" s="444"/>
      <c r="L11" s="440"/>
    </row>
    <row r="12" spans="1:12" ht="32.25" customHeight="1">
      <c r="A12" s="440"/>
      <c r="B12" s="705" t="s">
        <v>652</v>
      </c>
      <c r="C12" s="705"/>
      <c r="D12" s="705"/>
      <c r="E12" s="705"/>
      <c r="F12" s="705"/>
      <c r="G12" s="705"/>
      <c r="H12" s="705"/>
      <c r="I12" s="705"/>
      <c r="J12" s="705"/>
      <c r="K12" s="705"/>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707">
        <v>133685008</v>
      </c>
      <c r="G23" s="707"/>
      <c r="L23" s="440"/>
    </row>
    <row r="24" spans="1:12" ht="14.25">
      <c r="A24" s="440"/>
      <c r="L24" s="440"/>
    </row>
    <row r="25" spans="1:12" ht="14.25">
      <c r="A25" s="440"/>
      <c r="C25" s="721">
        <f>F23</f>
        <v>133685008</v>
      </c>
      <c r="D25" s="721"/>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9" t="s">
        <v>649</v>
      </c>
      <c r="C30" s="709"/>
      <c r="D30" s="709"/>
      <c r="E30" s="709"/>
      <c r="F30" s="709"/>
      <c r="G30" s="709"/>
      <c r="H30" s="709"/>
      <c r="I30" s="709"/>
      <c r="J30" s="709"/>
      <c r="K30" s="709"/>
      <c r="L30" s="440"/>
    </row>
    <row r="31" spans="1:12" ht="14.25">
      <c r="A31" s="440"/>
      <c r="B31" s="720" t="s">
        <v>663</v>
      </c>
      <c r="C31" s="720"/>
      <c r="D31" s="720"/>
      <c r="E31" s="720"/>
      <c r="F31" s="720"/>
      <c r="G31" s="720"/>
      <c r="H31" s="720"/>
      <c r="I31" s="720"/>
      <c r="J31" s="720"/>
      <c r="K31" s="720"/>
      <c r="L31" s="440"/>
    </row>
    <row r="32" spans="1:12" ht="14.25">
      <c r="A32" s="440"/>
      <c r="L32" s="440"/>
    </row>
    <row r="33" spans="1:12" ht="14.25">
      <c r="A33" s="440"/>
      <c r="B33" s="720" t="s">
        <v>664</v>
      </c>
      <c r="C33" s="720"/>
      <c r="D33" s="720"/>
      <c r="E33" s="720"/>
      <c r="F33" s="720"/>
      <c r="G33" s="720"/>
      <c r="H33" s="720"/>
      <c r="I33" s="720"/>
      <c r="J33" s="720"/>
      <c r="K33" s="720"/>
      <c r="L33" s="440"/>
    </row>
    <row r="34" spans="1:12" ht="14.25">
      <c r="A34" s="440"/>
      <c r="L34" s="440"/>
    </row>
    <row r="35" spans="1:12" ht="89.25" customHeight="1">
      <c r="A35" s="440"/>
      <c r="B35" s="705" t="s">
        <v>665</v>
      </c>
      <c r="C35" s="715"/>
      <c r="D35" s="715"/>
      <c r="E35" s="715"/>
      <c r="F35" s="715"/>
      <c r="G35" s="715"/>
      <c r="H35" s="715"/>
      <c r="I35" s="715"/>
      <c r="J35" s="715"/>
      <c r="K35" s="715"/>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722">
        <v>3120000</v>
      </c>
      <c r="D41" s="722"/>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707">
        <v>133685008</v>
      </c>
      <c r="C48" s="707"/>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716" t="s">
        <v>673</v>
      </c>
      <c r="H50" s="717"/>
      <c r="I50" s="453" t="s">
        <v>659</v>
      </c>
      <c r="J50" s="463">
        <f>B50/F50</f>
        <v>52.8690023342034</v>
      </c>
      <c r="K50" s="455"/>
      <c r="L50" s="440"/>
    </row>
    <row r="51" spans="1:15" ht="15" thickBot="1">
      <c r="A51" s="440"/>
      <c r="B51" s="456"/>
      <c r="C51" s="457"/>
      <c r="D51" s="457"/>
      <c r="E51" s="457"/>
      <c r="F51" s="457"/>
      <c r="G51" s="457"/>
      <c r="H51" s="457"/>
      <c r="I51" s="718" t="s">
        <v>674</v>
      </c>
      <c r="J51" s="718"/>
      <c r="K51" s="719"/>
      <c r="L51" s="440"/>
      <c r="O51" s="464"/>
    </row>
    <row r="52" spans="1:12" ht="40.5" customHeight="1">
      <c r="A52" s="440"/>
      <c r="B52" s="709" t="s">
        <v>649</v>
      </c>
      <c r="C52" s="709"/>
      <c r="D52" s="709"/>
      <c r="E52" s="709"/>
      <c r="F52" s="709"/>
      <c r="G52" s="709"/>
      <c r="H52" s="709"/>
      <c r="I52" s="709"/>
      <c r="J52" s="709"/>
      <c r="K52" s="709"/>
      <c r="L52" s="440"/>
    </row>
    <row r="53" spans="1:12" ht="14.25">
      <c r="A53" s="440"/>
      <c r="B53" s="720" t="s">
        <v>675</v>
      </c>
      <c r="C53" s="720"/>
      <c r="D53" s="720"/>
      <c r="E53" s="720"/>
      <c r="F53" s="720"/>
      <c r="G53" s="720"/>
      <c r="H53" s="720"/>
      <c r="I53" s="720"/>
      <c r="J53" s="720"/>
      <c r="K53" s="720"/>
      <c r="L53" s="440"/>
    </row>
    <row r="54" spans="1:12" ht="14.25">
      <c r="A54" s="440"/>
      <c r="B54" s="444"/>
      <c r="C54" s="444"/>
      <c r="D54" s="444"/>
      <c r="E54" s="444"/>
      <c r="F54" s="444"/>
      <c r="G54" s="444"/>
      <c r="H54" s="444"/>
      <c r="I54" s="444"/>
      <c r="J54" s="444"/>
      <c r="K54" s="444"/>
      <c r="L54" s="440"/>
    </row>
    <row r="55" spans="1:12" ht="14.25">
      <c r="A55" s="440"/>
      <c r="B55" s="704" t="s">
        <v>676</v>
      </c>
      <c r="C55" s="704"/>
      <c r="D55" s="704"/>
      <c r="E55" s="704"/>
      <c r="F55" s="704"/>
      <c r="G55" s="704"/>
      <c r="H55" s="704"/>
      <c r="I55" s="704"/>
      <c r="J55" s="704"/>
      <c r="K55" s="704"/>
      <c r="L55" s="440"/>
    </row>
    <row r="56" spans="1:12" ht="15" customHeight="1">
      <c r="A56" s="440"/>
      <c r="L56" s="440"/>
    </row>
    <row r="57" spans="1:24" ht="74.25" customHeight="1">
      <c r="A57" s="440"/>
      <c r="B57" s="705" t="s">
        <v>677</v>
      </c>
      <c r="C57" s="715"/>
      <c r="D57" s="715"/>
      <c r="E57" s="715"/>
      <c r="F57" s="715"/>
      <c r="G57" s="715"/>
      <c r="H57" s="715"/>
      <c r="I57" s="715"/>
      <c r="J57" s="715"/>
      <c r="K57" s="715"/>
      <c r="L57" s="440"/>
      <c r="M57" s="465"/>
      <c r="N57" s="466"/>
      <c r="O57" s="466"/>
      <c r="P57" s="466"/>
      <c r="Q57" s="466"/>
      <c r="R57" s="466"/>
      <c r="S57" s="466"/>
      <c r="T57" s="466"/>
      <c r="U57" s="466"/>
      <c r="V57" s="466"/>
      <c r="W57" s="466"/>
      <c r="X57" s="466"/>
    </row>
    <row r="58" spans="1:24" ht="15" customHeight="1">
      <c r="A58" s="440"/>
      <c r="B58" s="705"/>
      <c r="C58" s="715"/>
      <c r="D58" s="715"/>
      <c r="E58" s="715"/>
      <c r="F58" s="715"/>
      <c r="G58" s="715"/>
      <c r="H58" s="715"/>
      <c r="I58" s="715"/>
      <c r="J58" s="715"/>
      <c r="K58" s="715"/>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707">
        <v>133685008</v>
      </c>
      <c r="D74" s="707"/>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707">
        <v>5000</v>
      </c>
      <c r="D77" s="707"/>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707">
        <v>100000</v>
      </c>
      <c r="D80" s="707"/>
      <c r="E80" s="453" t="s">
        <v>300</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708">
        <f>H80</f>
        <v>11500</v>
      </c>
      <c r="D83" s="708"/>
      <c r="E83" s="453" t="s">
        <v>300</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9" t="s">
        <v>649</v>
      </c>
      <c r="C85" s="709"/>
      <c r="D85" s="709"/>
      <c r="E85" s="709"/>
      <c r="F85" s="709"/>
      <c r="G85" s="709"/>
      <c r="H85" s="709"/>
      <c r="I85" s="709"/>
      <c r="J85" s="709"/>
      <c r="K85" s="709"/>
      <c r="L85" s="440"/>
    </row>
    <row r="86" spans="1:12" ht="14.25">
      <c r="A86" s="440"/>
      <c r="B86" s="704" t="s">
        <v>697</v>
      </c>
      <c r="C86" s="704"/>
      <c r="D86" s="704"/>
      <c r="E86" s="704"/>
      <c r="F86" s="704"/>
      <c r="G86" s="704"/>
      <c r="H86" s="704"/>
      <c r="I86" s="704"/>
      <c r="J86" s="704"/>
      <c r="K86" s="704"/>
      <c r="L86" s="440"/>
    </row>
    <row r="87" spans="1:12" ht="14.25">
      <c r="A87" s="440"/>
      <c r="B87" s="480"/>
      <c r="C87" s="480"/>
      <c r="D87" s="480"/>
      <c r="E87" s="480"/>
      <c r="F87" s="480"/>
      <c r="G87" s="480"/>
      <c r="H87" s="480"/>
      <c r="I87" s="480"/>
      <c r="J87" s="480"/>
      <c r="K87" s="480"/>
      <c r="L87" s="440"/>
    </row>
    <row r="88" spans="1:12" ht="14.25">
      <c r="A88" s="440"/>
      <c r="B88" s="704" t="s">
        <v>698</v>
      </c>
      <c r="C88" s="704"/>
      <c r="D88" s="704"/>
      <c r="E88" s="704"/>
      <c r="F88" s="704"/>
      <c r="G88" s="704"/>
      <c r="H88" s="704"/>
      <c r="I88" s="704"/>
      <c r="J88" s="704"/>
      <c r="K88" s="704"/>
      <c r="L88" s="440"/>
    </row>
    <row r="89" spans="1:12" ht="14.25">
      <c r="A89" s="440"/>
      <c r="B89" s="481"/>
      <c r="C89" s="481"/>
      <c r="D89" s="481"/>
      <c r="E89" s="481"/>
      <c r="F89" s="481"/>
      <c r="G89" s="481"/>
      <c r="H89" s="481"/>
      <c r="I89" s="481"/>
      <c r="J89" s="481"/>
      <c r="K89" s="481"/>
      <c r="L89" s="440"/>
    </row>
    <row r="90" spans="1:12" ht="45" customHeight="1">
      <c r="A90" s="440"/>
      <c r="B90" s="705" t="s">
        <v>699</v>
      </c>
      <c r="C90" s="705"/>
      <c r="D90" s="705"/>
      <c r="E90" s="705"/>
      <c r="F90" s="705"/>
      <c r="G90" s="705"/>
      <c r="H90" s="705"/>
      <c r="I90" s="705"/>
      <c r="J90" s="705"/>
      <c r="K90" s="705"/>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707">
        <v>133685008</v>
      </c>
      <c r="D94" s="707"/>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707">
        <v>50000</v>
      </c>
      <c r="D97" s="707"/>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707">
        <v>2500000</v>
      </c>
      <c r="D100" s="707"/>
      <c r="E100" s="453" t="s">
        <v>300</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708">
        <f>H100</f>
        <v>750000</v>
      </c>
      <c r="D103" s="708"/>
      <c r="E103" s="453" t="s">
        <v>300</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9" t="s">
        <v>649</v>
      </c>
      <c r="C105" s="710"/>
      <c r="D105" s="710"/>
      <c r="E105" s="710"/>
      <c r="F105" s="710"/>
      <c r="G105" s="710"/>
      <c r="H105" s="710"/>
      <c r="I105" s="710"/>
      <c r="J105" s="710"/>
      <c r="K105" s="710"/>
      <c r="L105" s="440"/>
    </row>
    <row r="106" spans="1:12" ht="15" customHeight="1">
      <c r="A106" s="440"/>
      <c r="B106" s="711" t="s">
        <v>701</v>
      </c>
      <c r="C106" s="712"/>
      <c r="D106" s="712"/>
      <c r="E106" s="712"/>
      <c r="F106" s="712"/>
      <c r="G106" s="712"/>
      <c r="H106" s="712"/>
      <c r="I106" s="712"/>
      <c r="J106" s="712"/>
      <c r="K106" s="712"/>
      <c r="L106" s="440"/>
    </row>
    <row r="107" spans="1:12" ht="15" customHeight="1">
      <c r="A107" s="440"/>
      <c r="B107" s="486"/>
      <c r="C107" s="494"/>
      <c r="D107" s="494"/>
      <c r="E107" s="453"/>
      <c r="F107" s="463"/>
      <c r="G107" s="453"/>
      <c r="H107" s="453"/>
      <c r="I107" s="453"/>
      <c r="J107" s="475"/>
      <c r="K107" s="486"/>
      <c r="L107" s="440"/>
    </row>
    <row r="108" spans="1:12" ht="15" customHeight="1">
      <c r="A108" s="440"/>
      <c r="B108" s="711" t="s">
        <v>702</v>
      </c>
      <c r="C108" s="713"/>
      <c r="D108" s="713"/>
      <c r="E108" s="713"/>
      <c r="F108" s="713"/>
      <c r="G108" s="713"/>
      <c r="H108" s="713"/>
      <c r="I108" s="713"/>
      <c r="J108" s="713"/>
      <c r="K108" s="713"/>
      <c r="L108" s="440"/>
    </row>
    <row r="109" spans="1:12" ht="15" customHeight="1">
      <c r="A109" s="440"/>
      <c r="B109" s="486"/>
      <c r="C109" s="494"/>
      <c r="D109" s="494"/>
      <c r="E109" s="453"/>
      <c r="F109" s="463"/>
      <c r="G109" s="453"/>
      <c r="H109" s="453"/>
      <c r="I109" s="453"/>
      <c r="J109" s="475"/>
      <c r="K109" s="486"/>
      <c r="L109" s="440"/>
    </row>
    <row r="110" spans="1:12" ht="59.25" customHeight="1">
      <c r="A110" s="440"/>
      <c r="B110" s="714" t="s">
        <v>703</v>
      </c>
      <c r="C110" s="715"/>
      <c r="D110" s="715"/>
      <c r="E110" s="715"/>
      <c r="F110" s="715"/>
      <c r="G110" s="715"/>
      <c r="H110" s="715"/>
      <c r="I110" s="715"/>
      <c r="J110" s="715"/>
      <c r="K110" s="715"/>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707">
        <v>133685008</v>
      </c>
      <c r="D114" s="707"/>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707">
        <v>50000</v>
      </c>
      <c r="D117" s="707"/>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707">
        <v>2500000</v>
      </c>
      <c r="D120" s="707"/>
      <c r="E120" s="453" t="s">
        <v>300</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708">
        <f>H120</f>
        <v>625000</v>
      </c>
      <c r="D123" s="708"/>
      <c r="E123" s="453" t="s">
        <v>300</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9" t="s">
        <v>649</v>
      </c>
      <c r="C125" s="709"/>
      <c r="D125" s="709"/>
      <c r="E125" s="709"/>
      <c r="F125" s="709"/>
      <c r="G125" s="709"/>
      <c r="H125" s="709"/>
      <c r="I125" s="709"/>
      <c r="J125" s="709"/>
      <c r="K125" s="709"/>
      <c r="L125" s="495"/>
    </row>
    <row r="126" spans="1:12" ht="14.25">
      <c r="A126" s="440"/>
      <c r="B126" s="704" t="s">
        <v>704</v>
      </c>
      <c r="C126" s="704"/>
      <c r="D126" s="704"/>
      <c r="E126" s="704"/>
      <c r="F126" s="704"/>
      <c r="G126" s="704"/>
      <c r="H126" s="704"/>
      <c r="I126" s="704"/>
      <c r="J126" s="704"/>
      <c r="K126" s="704"/>
      <c r="L126" s="495"/>
    </row>
    <row r="127" spans="1:12" ht="14.25">
      <c r="A127" s="440"/>
      <c r="B127" s="444"/>
      <c r="C127" s="444"/>
      <c r="D127" s="444"/>
      <c r="E127" s="444"/>
      <c r="F127" s="444"/>
      <c r="G127" s="444"/>
      <c r="H127" s="444"/>
      <c r="I127" s="444"/>
      <c r="J127" s="444"/>
      <c r="K127" s="444"/>
      <c r="L127" s="495"/>
    </row>
    <row r="128" spans="1:12" ht="14.25">
      <c r="A128" s="440"/>
      <c r="B128" s="704" t="s">
        <v>705</v>
      </c>
      <c r="C128" s="704"/>
      <c r="D128" s="704"/>
      <c r="E128" s="704"/>
      <c r="F128" s="704"/>
      <c r="G128" s="704"/>
      <c r="H128" s="704"/>
      <c r="I128" s="704"/>
      <c r="J128" s="704"/>
      <c r="K128" s="704"/>
      <c r="L128" s="495"/>
    </row>
    <row r="129" spans="1:12" ht="14.25">
      <c r="A129" s="440"/>
      <c r="B129" s="481"/>
      <c r="C129" s="481"/>
      <c r="D129" s="481"/>
      <c r="E129" s="481"/>
      <c r="F129" s="481"/>
      <c r="G129" s="481"/>
      <c r="H129" s="481"/>
      <c r="I129" s="481"/>
      <c r="J129" s="481"/>
      <c r="K129" s="481"/>
      <c r="L129" s="495"/>
    </row>
    <row r="130" spans="1:12" ht="74.25" customHeight="1">
      <c r="A130" s="440"/>
      <c r="B130" s="705" t="s">
        <v>706</v>
      </c>
      <c r="C130" s="705"/>
      <c r="D130" s="705"/>
      <c r="E130" s="705"/>
      <c r="F130" s="705"/>
      <c r="G130" s="705"/>
      <c r="H130" s="705"/>
      <c r="I130" s="705"/>
      <c r="J130" s="705"/>
      <c r="K130" s="705"/>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706" t="s">
        <v>707</v>
      </c>
      <c r="D133" s="706"/>
      <c r="E133" s="452"/>
      <c r="F133" s="453" t="s">
        <v>708</v>
      </c>
      <c r="G133" s="452"/>
      <c r="H133" s="706" t="s">
        <v>693</v>
      </c>
      <c r="I133" s="706"/>
      <c r="J133" s="452"/>
      <c r="K133" s="455"/>
      <c r="L133" s="440"/>
    </row>
    <row r="134" spans="1:12" ht="14.25">
      <c r="A134" s="440"/>
      <c r="B134" s="461" t="s">
        <v>686</v>
      </c>
      <c r="C134" s="707">
        <v>60000</v>
      </c>
      <c r="D134" s="707"/>
      <c r="E134" s="453" t="s">
        <v>300</v>
      </c>
      <c r="F134" s="453">
        <v>0.115</v>
      </c>
      <c r="G134" s="453" t="s">
        <v>659</v>
      </c>
      <c r="H134" s="696">
        <f>C134*F134</f>
        <v>6900</v>
      </c>
      <c r="I134" s="69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5" t="s">
        <v>693</v>
      </c>
      <c r="D136" s="695"/>
      <c r="E136" s="472"/>
      <c r="F136" s="473" t="s">
        <v>709</v>
      </c>
      <c r="G136" s="473"/>
      <c r="H136" s="472"/>
      <c r="I136" s="472"/>
      <c r="J136" s="472" t="s">
        <v>710</v>
      </c>
      <c r="K136" s="474"/>
      <c r="L136" s="440"/>
    </row>
    <row r="137" spans="1:12" ht="14.25">
      <c r="A137" s="440"/>
      <c r="B137" s="461" t="s">
        <v>689</v>
      </c>
      <c r="C137" s="696">
        <f>H134</f>
        <v>6900</v>
      </c>
      <c r="D137" s="696"/>
      <c r="E137" s="453" t="s">
        <v>300</v>
      </c>
      <c r="F137" s="496">
        <v>26.914</v>
      </c>
      <c r="G137" s="453" t="s">
        <v>660</v>
      </c>
      <c r="H137" s="453">
        <v>1000</v>
      </c>
      <c r="I137" s="453" t="s">
        <v>659</v>
      </c>
      <c r="J137" s="497">
        <f>C137*F137/H137</f>
        <v>185.7066</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97" t="s">
        <v>713</v>
      </c>
      <c r="C144" s="698"/>
      <c r="D144" s="698"/>
      <c r="E144" s="698"/>
      <c r="F144" s="698"/>
      <c r="G144" s="698"/>
      <c r="H144" s="698"/>
      <c r="I144" s="698"/>
      <c r="J144" s="698"/>
      <c r="K144" s="699"/>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696" t="s">
        <v>714</v>
      </c>
      <c r="D147" s="696"/>
      <c r="E147" s="453"/>
      <c r="F147" s="513" t="s">
        <v>715</v>
      </c>
      <c r="G147" s="453"/>
      <c r="H147" s="453"/>
      <c r="I147" s="453"/>
      <c r="J147" s="700" t="s">
        <v>716</v>
      </c>
      <c r="K147" s="701"/>
      <c r="L147" s="440"/>
    </row>
    <row r="148" spans="1:12" ht="14.25">
      <c r="A148" s="440"/>
      <c r="B148" s="461"/>
      <c r="C148" s="702">
        <v>52.869</v>
      </c>
      <c r="D148" s="702"/>
      <c r="E148" s="453" t="s">
        <v>300</v>
      </c>
      <c r="F148" s="518">
        <v>133685008</v>
      </c>
      <c r="G148" s="519" t="s">
        <v>660</v>
      </c>
      <c r="H148" s="453">
        <v>1000</v>
      </c>
      <c r="I148" s="453" t="s">
        <v>659</v>
      </c>
      <c r="J148" s="696">
        <f>C148*(F148/1000)</f>
        <v>7067792.687952</v>
      </c>
      <c r="K148" s="703"/>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F28" sqref="F2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North Brown Township</v>
      </c>
      <c r="B1" s="101"/>
      <c r="C1" s="101"/>
      <c r="D1" s="101"/>
      <c r="E1" s="101">
        <f>inputPrYr!D5</f>
        <v>2012</v>
      </c>
    </row>
    <row r="2" spans="1:5" ht="15.75">
      <c r="A2" s="99" t="str">
        <f>inputPrYr!D3</f>
        <v>Edwards County</v>
      </c>
      <c r="B2" s="101"/>
      <c r="C2" s="101"/>
      <c r="D2" s="101"/>
      <c r="E2" s="101"/>
    </row>
    <row r="3" spans="1:5" ht="15.75">
      <c r="A3" s="101"/>
      <c r="B3" s="101"/>
      <c r="C3" s="101"/>
      <c r="D3" s="101"/>
      <c r="E3" s="101"/>
    </row>
    <row r="4" spans="1:5" ht="15.75">
      <c r="A4" s="615" t="s">
        <v>161</v>
      </c>
      <c r="B4" s="616"/>
      <c r="C4" s="616"/>
      <c r="D4" s="616"/>
      <c r="E4" s="61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2844646</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112611</v>
      </c>
    </row>
    <row r="10" spans="1:5" ht="15.75">
      <c r="A10" s="22" t="str">
        <f>CONCATENATE("Property that has changed in use for ",E1-1,"")</f>
        <v>Property that has changed in use for 2011</v>
      </c>
      <c r="B10" s="19"/>
      <c r="C10" s="19"/>
      <c r="D10" s="19"/>
      <c r="E10" s="309">
        <v>4646</v>
      </c>
    </row>
    <row r="11" spans="1:5" ht="15.75">
      <c r="A11" s="22" t="str">
        <f>CONCATENATE("Personal Property excluding oil, gas, and mobile homes- ",E1-2,"")</f>
        <v>Personal Property excluding oil, gas, and mobile homes- 2010</v>
      </c>
      <c r="B11" s="19"/>
      <c r="C11" s="19"/>
      <c r="D11" s="19"/>
      <c r="E11" s="309">
        <v>113647</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7" t="s">
        <v>296</v>
      </c>
      <c r="B16" s="618"/>
      <c r="C16" s="101"/>
      <c r="D16" s="313" t="s">
        <v>3</v>
      </c>
      <c r="E16" s="312"/>
    </row>
    <row r="17" spans="1:5" ht="15.75">
      <c r="A17" s="82" t="str">
        <f>inputPrYr!B16</f>
        <v>General</v>
      </c>
      <c r="B17" s="20"/>
      <c r="C17" s="19"/>
      <c r="D17" s="314">
        <v>3.162</v>
      </c>
      <c r="E17" s="312"/>
    </row>
    <row r="18" spans="1:5" ht="15.75">
      <c r="A18" s="82" t="str">
        <f>inputPrYr!B17</f>
        <v>Debt Service</v>
      </c>
      <c r="B18" s="291"/>
      <c r="C18" s="19"/>
      <c r="D18" s="315"/>
      <c r="E18" s="312"/>
    </row>
    <row r="19" spans="1:5" ht="15.75">
      <c r="A19" s="82" t="str">
        <f>inputPrYr!B18</f>
        <v>Road</v>
      </c>
      <c r="B19" s="291"/>
      <c r="C19" s="19"/>
      <c r="D19" s="315">
        <v>8.996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12.158000000000001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2782904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2078</v>
      </c>
    </row>
    <row r="32" spans="1:5" ht="15.75">
      <c r="A32" s="322" t="s">
        <v>287</v>
      </c>
      <c r="B32" s="291"/>
      <c r="C32" s="291"/>
      <c r="D32" s="31"/>
      <c r="E32" s="34">
        <v>66</v>
      </c>
    </row>
    <row r="33" spans="1:5" ht="15.75">
      <c r="A33" s="322" t="s">
        <v>163</v>
      </c>
      <c r="B33" s="291"/>
      <c r="C33" s="291"/>
      <c r="D33" s="31"/>
      <c r="E33" s="34">
        <v>531</v>
      </c>
    </row>
    <row r="34" spans="1:5" ht="15.75">
      <c r="A34" s="322" t="s">
        <v>164</v>
      </c>
      <c r="B34" s="291"/>
      <c r="C34" s="291"/>
      <c r="D34" s="31"/>
      <c r="E34" s="34"/>
    </row>
    <row r="35" spans="1:5" ht="15.75">
      <c r="A35" s="322" t="s">
        <v>165</v>
      </c>
      <c r="B35" s="291"/>
      <c r="C35" s="291"/>
      <c r="D35" s="31"/>
      <c r="E35" s="34"/>
    </row>
    <row r="36" spans="1:5" ht="15.75">
      <c r="A36" s="322" t="s">
        <v>103</v>
      </c>
      <c r="B36" s="20"/>
      <c r="C36" s="20"/>
      <c r="D36" s="321"/>
      <c r="E36" s="34">
        <v>1814</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27">
        <v>0.548</v>
      </c>
    </row>
    <row r="40" spans="1:5" ht="15.75">
      <c r="A40" s="300" t="s">
        <v>168</v>
      </c>
      <c r="B40" s="300"/>
      <c r="C40" s="19"/>
      <c r="D40" s="19"/>
      <c r="E40" s="428"/>
    </row>
    <row r="41" spans="1:5" ht="15.75">
      <c r="A41" s="323" t="s">
        <v>169</v>
      </c>
      <c r="B41" s="323"/>
      <c r="C41" s="324"/>
      <c r="D41" s="324"/>
      <c r="E41" s="325"/>
    </row>
    <row r="42" spans="1:5" ht="15.75">
      <c r="A42" s="151"/>
      <c r="B42" s="151"/>
      <c r="C42" s="151"/>
      <c r="D42" s="151"/>
      <c r="E42" s="151"/>
    </row>
    <row r="43" spans="1:5" ht="15.75">
      <c r="A43" s="619" t="str">
        <f>CONCATENATE("From the ",E1-2," Budget Certificate Page")</f>
        <v>From the 2010 Budget Certificate Page</v>
      </c>
      <c r="B43" s="620"/>
      <c r="C43" s="151"/>
      <c r="D43" s="151"/>
      <c r="E43" s="151"/>
    </row>
    <row r="44" spans="1:5" ht="15.75">
      <c r="A44" s="326"/>
      <c r="B44" s="326" t="str">
        <f>CONCATENATE("",E1-2," Expenditure Amounts")</f>
        <v>2010 Expenditure Amounts</v>
      </c>
      <c r="C44" s="621" t="str">
        <f>CONCATENATE("Note: If the ",E1-2," budget was amended, then the")</f>
        <v>Note: If the 2010 budget was amended, then the</v>
      </c>
      <c r="D44" s="622"/>
      <c r="E44" s="622"/>
    </row>
    <row r="45" spans="1:5" ht="15.75">
      <c r="A45" s="327" t="s">
        <v>217</v>
      </c>
      <c r="B45" s="327" t="s">
        <v>218</v>
      </c>
      <c r="C45" s="328" t="s">
        <v>219</v>
      </c>
      <c r="D45" s="329"/>
      <c r="E45" s="329"/>
    </row>
    <row r="46" spans="1:5" ht="15.75">
      <c r="A46" s="330" t="str">
        <f>inputPrYr!B16</f>
        <v>General</v>
      </c>
      <c r="B46" s="36">
        <v>16475</v>
      </c>
      <c r="C46" s="328" t="s">
        <v>220</v>
      </c>
      <c r="D46" s="329"/>
      <c r="E46" s="329"/>
    </row>
    <row r="47" spans="1:5" ht="15.75">
      <c r="A47" s="330" t="str">
        <f>inputPrYr!B17</f>
        <v>Debt Service</v>
      </c>
      <c r="B47" s="36"/>
      <c r="C47" s="328"/>
      <c r="D47" s="329"/>
      <c r="E47" s="329"/>
    </row>
    <row r="48" spans="1:5" ht="15.75">
      <c r="A48" s="330" t="str">
        <f>inputPrYr!B18</f>
        <v>Road</v>
      </c>
      <c r="B48" s="36">
        <v>40817</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810</v>
      </c>
    </row>
    <row r="2" ht="15.75">
      <c r="A2" s="91" t="s">
        <v>811</v>
      </c>
    </row>
    <row r="4" ht="15.75">
      <c r="A4" s="400" t="s">
        <v>808</v>
      </c>
    </row>
    <row r="5" ht="15.75">
      <c r="A5" s="91" t="s">
        <v>809</v>
      </c>
    </row>
    <row r="7" ht="15.75">
      <c r="A7" s="400" t="s">
        <v>805</v>
      </c>
    </row>
    <row r="8" ht="15.75">
      <c r="A8" s="602" t="s">
        <v>806</v>
      </c>
    </row>
    <row r="10" ht="15.75">
      <c r="A10" s="400" t="s">
        <v>802</v>
      </c>
    </row>
    <row r="11" ht="15.75">
      <c r="A11" s="91" t="s">
        <v>803</v>
      </c>
    </row>
    <row r="12" ht="15.75">
      <c r="A12" s="91" t="s">
        <v>804</v>
      </c>
    </row>
    <row r="14" ht="15.75">
      <c r="A14" s="400" t="s">
        <v>775</v>
      </c>
    </row>
    <row r="15" ht="15.75">
      <c r="A15" s="602" t="s">
        <v>776</v>
      </c>
    </row>
    <row r="16" ht="15.75">
      <c r="A16" s="602" t="s">
        <v>777</v>
      </c>
    </row>
    <row r="17" ht="31.5">
      <c r="A17" s="601" t="s">
        <v>778</v>
      </c>
    </row>
    <row r="18" ht="15.75">
      <c r="A18" s="602" t="s">
        <v>779</v>
      </c>
    </row>
    <row r="19" ht="15.75">
      <c r="A19" s="602" t="s">
        <v>780</v>
      </c>
    </row>
    <row r="20" ht="15.75">
      <c r="A20" s="602" t="s">
        <v>781</v>
      </c>
    </row>
    <row r="21" ht="15.75">
      <c r="A21" s="602" t="s">
        <v>782</v>
      </c>
    </row>
    <row r="22" ht="15.75">
      <c r="A22" s="602" t="s">
        <v>783</v>
      </c>
    </row>
    <row r="23" ht="15.75">
      <c r="A23" s="602" t="s">
        <v>784</v>
      </c>
    </row>
    <row r="24" ht="15.75">
      <c r="A24" s="602" t="s">
        <v>785</v>
      </c>
    </row>
    <row r="25" ht="15.75">
      <c r="A25" s="602" t="s">
        <v>786</v>
      </c>
    </row>
    <row r="26" ht="15.75">
      <c r="A26" s="602" t="s">
        <v>787</v>
      </c>
    </row>
    <row r="27" ht="15.75">
      <c r="A27" s="602" t="s">
        <v>798</v>
      </c>
    </row>
    <row r="28" ht="15.75">
      <c r="A28" s="602" t="s">
        <v>788</v>
      </c>
    </row>
    <row r="29" ht="15.75">
      <c r="A29" s="602" t="s">
        <v>789</v>
      </c>
    </row>
    <row r="30" ht="15.75">
      <c r="A30" s="602" t="s">
        <v>790</v>
      </c>
    </row>
    <row r="31" ht="15.75">
      <c r="A31" s="602" t="s">
        <v>791</v>
      </c>
    </row>
    <row r="32" ht="15.75">
      <c r="A32" s="602" t="s">
        <v>792</v>
      </c>
    </row>
    <row r="33" ht="15.75">
      <c r="A33" s="602" t="s">
        <v>793</v>
      </c>
    </row>
    <row r="34" ht="15.75">
      <c r="A34" s="602" t="s">
        <v>794</v>
      </c>
    </row>
    <row r="35" ht="15.75">
      <c r="A35" s="602" t="s">
        <v>795</v>
      </c>
    </row>
    <row r="36" ht="15.75">
      <c r="A36" s="602" t="s">
        <v>796</v>
      </c>
    </row>
    <row r="37" ht="15.75">
      <c r="A37" s="602" t="s">
        <v>801</v>
      </c>
    </row>
    <row r="39" ht="15.75">
      <c r="A39" s="400" t="s">
        <v>641</v>
      </c>
    </row>
    <row r="40" ht="39" customHeight="1">
      <c r="A40" s="360" t="s">
        <v>642</v>
      </c>
    </row>
    <row r="41" ht="23.25" customHeight="1"/>
    <row r="42" ht="15.75">
      <c r="A42" s="400" t="s">
        <v>637</v>
      </c>
    </row>
    <row r="43" ht="15.75">
      <c r="A43" s="91" t="s">
        <v>638</v>
      </c>
    </row>
    <row r="44" ht="15.75">
      <c r="A44" s="91" t="s">
        <v>639</v>
      </c>
    </row>
    <row r="45" ht="15.75">
      <c r="A45" s="91" t="s">
        <v>640</v>
      </c>
    </row>
    <row r="47" ht="15.75">
      <c r="A47" s="403" t="s">
        <v>626</v>
      </c>
    </row>
    <row r="48" ht="15.75">
      <c r="A48" s="91" t="s">
        <v>636</v>
      </c>
    </row>
    <row r="50" ht="15.75">
      <c r="A50" s="400" t="s">
        <v>600</v>
      </c>
    </row>
    <row r="51" ht="15.75">
      <c r="A51" s="401" t="s">
        <v>601</v>
      </c>
    </row>
    <row r="52" ht="15.75">
      <c r="A52" s="401" t="s">
        <v>602</v>
      </c>
    </row>
    <row r="53" ht="15.75">
      <c r="A53" s="401" t="s">
        <v>603</v>
      </c>
    </row>
    <row r="54" ht="15.75">
      <c r="A54" s="399" t="s">
        <v>604</v>
      </c>
    </row>
    <row r="56" ht="15.75">
      <c r="A56" s="373" t="s">
        <v>327</v>
      </c>
    </row>
    <row r="57" ht="15.75">
      <c r="A57" s="91" t="s">
        <v>329</v>
      </c>
    </row>
    <row r="58" ht="15.75">
      <c r="A58" s="91" t="s">
        <v>330</v>
      </c>
    </row>
    <row r="59" ht="15.75">
      <c r="A59" s="91" t="s">
        <v>331</v>
      </c>
    </row>
    <row r="60" ht="15.75">
      <c r="A60" s="91" t="s">
        <v>332</v>
      </c>
    </row>
    <row r="61" ht="15.75">
      <c r="A61" s="91" t="s">
        <v>333</v>
      </c>
    </row>
    <row r="62" ht="15.75">
      <c r="A62" s="91" t="s">
        <v>334</v>
      </c>
    </row>
    <row r="63" ht="15.75">
      <c r="A63" s="91" t="s">
        <v>349</v>
      </c>
    </row>
    <row r="64" ht="15.75">
      <c r="A64" s="91" t="s">
        <v>350</v>
      </c>
    </row>
    <row r="65" ht="15.75">
      <c r="A65" s="91" t="s">
        <v>351</v>
      </c>
    </row>
    <row r="66" ht="15.75">
      <c r="A66" s="91" t="s">
        <v>352</v>
      </c>
    </row>
    <row r="67" ht="15.75">
      <c r="A67" s="91" t="s">
        <v>368</v>
      </c>
    </row>
    <row r="68" ht="31.5">
      <c r="A68" s="360" t="s">
        <v>369</v>
      </c>
    </row>
    <row r="69" ht="15.75">
      <c r="A69" s="360" t="s">
        <v>378</v>
      </c>
    </row>
    <row r="70" ht="15.75">
      <c r="A70" s="375" t="s">
        <v>381</v>
      </c>
    </row>
    <row r="71" ht="15.75">
      <c r="A71" s="376" t="s">
        <v>382</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23" t="s">
        <v>383</v>
      </c>
      <c r="B2" s="624"/>
      <c r="C2" s="624"/>
      <c r="D2" s="624"/>
      <c r="E2" s="624"/>
      <c r="F2" s="624"/>
    </row>
    <row r="4" spans="1:6" ht="15.75">
      <c r="A4" s="383"/>
      <c r="B4" s="383"/>
      <c r="C4" s="383"/>
      <c r="D4" s="385"/>
      <c r="E4" s="383"/>
      <c r="F4" s="383"/>
    </row>
    <row r="5" spans="1:6" ht="15.75">
      <c r="A5" s="384" t="s">
        <v>384</v>
      </c>
      <c r="B5" s="610" t="s">
        <v>825</v>
      </c>
      <c r="C5" s="386"/>
      <c r="D5" s="384" t="s">
        <v>800</v>
      </c>
      <c r="E5" s="383"/>
      <c r="F5" s="383"/>
    </row>
    <row r="6" spans="1:6" ht="15.75">
      <c r="A6" s="384"/>
      <c r="B6" s="387"/>
      <c r="C6" s="388"/>
      <c r="D6" s="384" t="s">
        <v>799</v>
      </c>
      <c r="E6" s="383"/>
      <c r="F6" s="383"/>
    </row>
    <row r="7" spans="1:6" ht="15.75">
      <c r="A7" s="384" t="s">
        <v>385</v>
      </c>
      <c r="B7" s="610" t="s">
        <v>815</v>
      </c>
      <c r="C7" s="389"/>
      <c r="D7" s="384"/>
      <c r="E7" s="383"/>
      <c r="F7" s="383"/>
    </row>
    <row r="8" spans="1:6" ht="15.75">
      <c r="A8" s="384"/>
      <c r="B8" s="384"/>
      <c r="C8" s="384"/>
      <c r="D8" s="384"/>
      <c r="E8" s="383"/>
      <c r="F8" s="383"/>
    </row>
    <row r="9" spans="1:6" ht="15.75">
      <c r="A9" s="384" t="s">
        <v>386</v>
      </c>
      <c r="B9" s="611" t="s">
        <v>817</v>
      </c>
      <c r="C9" s="390"/>
      <c r="D9" s="390"/>
      <c r="E9" s="391"/>
      <c r="F9" s="383"/>
    </row>
    <row r="10" spans="1:6" ht="15.75">
      <c r="A10" s="384"/>
      <c r="B10" s="384"/>
      <c r="C10" s="384"/>
      <c r="D10" s="384"/>
      <c r="E10" s="383"/>
      <c r="F10" s="383"/>
    </row>
    <row r="11" spans="1:6" ht="15.75">
      <c r="A11" s="384"/>
      <c r="B11" s="384"/>
      <c r="C11" s="384"/>
      <c r="D11" s="384"/>
      <c r="E11" s="383"/>
      <c r="F11" s="383"/>
    </row>
    <row r="12" spans="1:6" ht="15.75">
      <c r="A12" s="384" t="s">
        <v>387</v>
      </c>
      <c r="B12" s="611" t="s">
        <v>816</v>
      </c>
      <c r="C12" s="390"/>
      <c r="D12" s="390"/>
      <c r="E12" s="391"/>
      <c r="F12" s="383"/>
    </row>
    <row r="15" spans="1:6" ht="15.75">
      <c r="A15" s="625" t="s">
        <v>388</v>
      </c>
      <c r="B15" s="625"/>
      <c r="C15" s="384"/>
      <c r="D15" s="384"/>
      <c r="E15" s="384"/>
      <c r="F15" s="383"/>
    </row>
    <row r="16" spans="1:6" ht="15.75">
      <c r="A16" s="384"/>
      <c r="B16" s="384"/>
      <c r="C16" s="384"/>
      <c r="D16" s="384"/>
      <c r="E16" s="384"/>
      <c r="F16" s="383"/>
    </row>
    <row r="17" spans="1:5" ht="15.75">
      <c r="A17" s="384" t="s">
        <v>384</v>
      </c>
      <c r="B17" s="387"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2">
      <selection activeCell="B41" sqref="B4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8" t="s">
        <v>72</v>
      </c>
      <c r="C1" s="628"/>
      <c r="D1" s="628"/>
      <c r="E1" s="628"/>
      <c r="F1" s="628"/>
      <c r="G1" s="628"/>
      <c r="H1" s="14">
        <f>inputPrYr!D5</f>
        <v>2012</v>
      </c>
    </row>
    <row r="2" spans="3:7" s="14" customFormat="1" ht="15.75">
      <c r="C2" s="156"/>
      <c r="D2" s="156"/>
      <c r="E2" s="156"/>
      <c r="F2" s="156"/>
      <c r="G2" s="63"/>
    </row>
    <row r="3" spans="2:8" s="14" customFormat="1" ht="15.75">
      <c r="B3" s="637" t="str">
        <f>CONCATENATE("To the Clerk of ",inputPrYr!D3,", State of Kansas")</f>
        <v>To the Clerk of Edwards County, State of Kansas</v>
      </c>
      <c r="C3" s="636"/>
      <c r="D3" s="636"/>
      <c r="E3" s="636"/>
      <c r="F3" s="636"/>
      <c r="G3" s="636"/>
      <c r="H3" s="636"/>
    </row>
    <row r="4" spans="2:7" s="14" customFormat="1" ht="15.75">
      <c r="B4" s="158" t="s">
        <v>154</v>
      </c>
      <c r="C4" s="156"/>
      <c r="D4" s="156"/>
      <c r="E4" s="156"/>
      <c r="F4" s="156"/>
      <c r="G4" s="156"/>
    </row>
    <row r="5" s="14" customFormat="1" ht="15.75">
      <c r="D5" s="424" t="str">
        <f>inputPrYr!D2</f>
        <v>North Brown Township</v>
      </c>
    </row>
    <row r="6" spans="2:7" s="14" customFormat="1" ht="15.75">
      <c r="B6" s="635" t="s">
        <v>152</v>
      </c>
      <c r="C6" s="636"/>
      <c r="D6" s="636"/>
      <c r="E6" s="636"/>
      <c r="F6" s="636"/>
      <c r="G6" s="636"/>
    </row>
    <row r="7" spans="2:7" s="14" customFormat="1" ht="15.75" customHeight="1">
      <c r="B7" s="637" t="s">
        <v>153</v>
      </c>
      <c r="C7" s="638"/>
      <c r="D7" s="638"/>
      <c r="E7" s="638"/>
      <c r="F7" s="638"/>
      <c r="G7" s="63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2" t="str">
        <f>CONCATENATE("",H1," Adopted Budget")</f>
        <v>2012 Adopted Budget</v>
      </c>
      <c r="F11" s="633"/>
      <c r="G11" s="634"/>
    </row>
    <row r="12" spans="2:7" s="14" customFormat="1" ht="15.75">
      <c r="B12" s="22"/>
      <c r="D12" s="77"/>
      <c r="E12" s="279" t="s">
        <v>288</v>
      </c>
      <c r="F12" s="629" t="str">
        <f>CONCATENATE("Amount of ",H1-1," Ad Valorem Tax")</f>
        <v>Amount of 2011 Ad Valorem Tax</v>
      </c>
      <c r="G12" s="23" t="s">
        <v>289</v>
      </c>
    </row>
    <row r="13" spans="4:7" s="14" customFormat="1" ht="15.75">
      <c r="D13" s="23" t="s">
        <v>290</v>
      </c>
      <c r="E13" s="587" t="s">
        <v>218</v>
      </c>
      <c r="F13" s="630"/>
      <c r="G13" s="167" t="s">
        <v>291</v>
      </c>
    </row>
    <row r="14" spans="2:7" s="14" customFormat="1" ht="15.75">
      <c r="B14" s="82" t="s">
        <v>292</v>
      </c>
      <c r="C14" s="20"/>
      <c r="D14" s="26" t="s">
        <v>293</v>
      </c>
      <c r="E14" s="588" t="s">
        <v>747</v>
      </c>
      <c r="F14" s="631"/>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143</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23950</v>
      </c>
      <c r="F20" s="172">
        <f>IF(gen!$E$57&lt;&gt;0,gen!$E$57,0)</f>
        <v>23255</v>
      </c>
      <c r="G20" s="168" t="str">
        <f>IF(AND(gen!E57=0,$C$38&gt;=0)," ",IF(AND(F20&gt;0,$C$38=0)," ",IF(AND(F20&gt;0,$C$38&gt;0),ROUND(F20/$C$38*1000,3))))</f>
        <v> </v>
      </c>
    </row>
    <row r="21" spans="2:7" s="14" customFormat="1" ht="15.7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57100</v>
      </c>
      <c r="F22" s="172">
        <f>IF(road!$E$50&lt;&gt;0,road!$E$50,"  ")</f>
        <v>53306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f>IF(road!C67&gt;0,road!C67,"  ")</f>
        <v>7</v>
      </c>
      <c r="E32" s="192"/>
      <c r="F32" s="192"/>
      <c r="G32" s="168"/>
    </row>
    <row r="33" spans="2:7" s="14" customFormat="1" ht="16.5" thickBot="1">
      <c r="B33" s="290" t="s">
        <v>299</v>
      </c>
      <c r="C33" s="291"/>
      <c r="D33" s="170" t="s">
        <v>300</v>
      </c>
      <c r="E33" s="292">
        <f>SUM(E20:E28)</f>
        <v>81050</v>
      </c>
      <c r="F33" s="292">
        <f>SUM(F20:F28)</f>
        <v>76561</v>
      </c>
      <c r="G33" s="293">
        <f>IF(SUM(G20:G28)&gt;0,SUM(G20:G28),"")</f>
      </c>
    </row>
    <row r="34" spans="2:4" s="14" customFormat="1" ht="16.5" thickTop="1">
      <c r="B34" s="27" t="s">
        <v>173</v>
      </c>
      <c r="C34" s="283"/>
      <c r="D34" s="288">
        <f>summ!D37</f>
        <v>8</v>
      </c>
    </row>
    <row r="35" spans="2:6" s="14" customFormat="1" ht="15.75">
      <c r="B35" s="27" t="s">
        <v>224</v>
      </c>
      <c r="C35" s="28"/>
      <c r="D35" s="288">
        <f>IF(nhood!C37&gt;0,nhood!C37,"")</f>
      </c>
      <c r="E35" s="294" t="s">
        <v>160</v>
      </c>
      <c r="F35" s="295" t="str">
        <f>IF(F33&gt;computation!J34,"Yes","No")</f>
        <v>Yes</v>
      </c>
    </row>
    <row r="36" spans="2:6" s="14" customFormat="1" ht="15.75">
      <c r="B36" s="27" t="s">
        <v>159</v>
      </c>
      <c r="C36" s="28"/>
      <c r="D36" s="288">
        <f>IF(Resolution!D50&gt;0,Resolution!D50,"")</f>
      </c>
      <c r="E36" s="296"/>
      <c r="F36" s="297"/>
    </row>
    <row r="37" spans="2:7" s="14" customFormat="1" ht="15.75">
      <c r="B37" s="74" t="s">
        <v>100</v>
      </c>
      <c r="C37" s="639" t="s">
        <v>127</v>
      </c>
      <c r="D37" s="640"/>
      <c r="E37" s="298"/>
      <c r="G37" s="22" t="s">
        <v>301</v>
      </c>
    </row>
    <row r="38" spans="2:7" s="14" customFormat="1" ht="15.75">
      <c r="B38" s="27" t="s">
        <v>101</v>
      </c>
      <c r="C38" s="641"/>
      <c r="D38" s="642"/>
      <c r="E38" s="299"/>
      <c r="G38" s="22"/>
    </row>
    <row r="39" spans="2:7" s="14" customFormat="1" ht="15.75">
      <c r="B39" s="300"/>
      <c r="C39" s="643" t="str">
        <f>CONCATENATE("Nov. 1, ",H1-1," Valuation")</f>
        <v>Nov. 1, 2011 Valuation</v>
      </c>
      <c r="D39" s="644"/>
      <c r="E39" s="298"/>
      <c r="G39" s="22"/>
    </row>
    <row r="40" spans="2:7" s="14" customFormat="1" ht="15.75">
      <c r="B40" s="300" t="s">
        <v>302</v>
      </c>
      <c r="E40" s="19"/>
      <c r="G40" s="22"/>
    </row>
    <row r="41" spans="2:7" s="14" customFormat="1" ht="15.75">
      <c r="B41" s="301" t="s">
        <v>823</v>
      </c>
      <c r="C41" s="301"/>
      <c r="E41" s="298"/>
      <c r="F41" s="19"/>
      <c r="G41" s="19"/>
    </row>
    <row r="42" spans="2:3" s="14" customFormat="1" ht="15.75">
      <c r="B42" s="302" t="s">
        <v>814</v>
      </c>
      <c r="C42" s="302"/>
    </row>
    <row r="43" spans="2:7" s="14" customFormat="1" ht="15.75">
      <c r="B43" s="300" t="s">
        <v>147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6" t="s">
        <v>151</v>
      </c>
      <c r="C49" s="305">
        <f>H1-1</f>
        <v>2011</v>
      </c>
      <c r="D49" s="22"/>
      <c r="E49" s="82"/>
      <c r="F49" s="174"/>
      <c r="G49" s="174"/>
      <c r="H49" s="101"/>
    </row>
    <row r="50" spans="2:8" ht="15.75">
      <c r="B50" s="14"/>
      <c r="C50" s="14"/>
      <c r="D50" s="14"/>
      <c r="E50" s="14"/>
      <c r="F50" s="22"/>
      <c r="G50" s="14"/>
      <c r="H50" s="101"/>
    </row>
    <row r="51" spans="2:8" ht="15.75">
      <c r="B51" s="586"/>
      <c r="C51" s="14"/>
      <c r="D51" s="14"/>
      <c r="E51" s="20"/>
      <c r="F51" s="20"/>
      <c r="G51" s="20"/>
      <c r="H51" s="101"/>
    </row>
    <row r="52" spans="2:7" ht="15.75">
      <c r="B52" s="49" t="s">
        <v>304</v>
      </c>
      <c r="C52" s="14"/>
      <c r="D52" s="14"/>
      <c r="E52" s="626" t="s">
        <v>303</v>
      </c>
      <c r="F52" s="627"/>
      <c r="G52" s="62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5"/>
      <c r="G56" s="14"/>
    </row>
    <row r="57" spans="2:7" ht="15.75">
      <c r="B57" s="304" t="s">
        <v>1</v>
      </c>
      <c r="C57" s="303"/>
      <c r="D57" s="303"/>
      <c r="E57" s="303"/>
      <c r="F57" s="425"/>
      <c r="G57" s="14"/>
    </row>
    <row r="58" spans="2:7" ht="15.75">
      <c r="B58" s="304"/>
      <c r="C58" s="303"/>
      <c r="D58" s="303"/>
      <c r="E58" s="303"/>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D1">
      <selection activeCell="K34" sqref="K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North Brown Township</v>
      </c>
      <c r="D1" s="14"/>
      <c r="E1" s="14"/>
      <c r="F1" s="14"/>
      <c r="G1" s="14"/>
      <c r="H1" s="14"/>
      <c r="I1" s="14"/>
      <c r="J1" s="14">
        <f>inputPrYr!D5</f>
        <v>2012</v>
      </c>
    </row>
    <row r="2" spans="1:10" ht="15.75">
      <c r="A2" s="14"/>
      <c r="B2" s="14"/>
      <c r="C2" s="14"/>
      <c r="D2" s="14"/>
      <c r="E2" s="14"/>
      <c r="F2" s="14"/>
      <c r="G2" s="14"/>
      <c r="H2" s="14"/>
      <c r="I2" s="14"/>
      <c r="J2" s="14"/>
    </row>
    <row r="3" spans="1:10" ht="15.75">
      <c r="A3" s="646" t="str">
        <f>CONCATENATE("Computation to Determine Limit for ",J1,"")</f>
        <v>Computation to Determine Limit for 2012</v>
      </c>
      <c r="B3" s="628"/>
      <c r="C3" s="628"/>
      <c r="D3" s="628"/>
      <c r="E3" s="628"/>
      <c r="F3" s="628"/>
      <c r="G3" s="628"/>
      <c r="H3" s="628"/>
      <c r="I3" s="628"/>
      <c r="J3" s="628"/>
    </row>
    <row r="4" spans="1:10" ht="15.75">
      <c r="A4" s="14"/>
      <c r="B4" s="14"/>
      <c r="C4" s="14"/>
      <c r="D4" s="14"/>
      <c r="E4" s="628"/>
      <c r="F4" s="628"/>
      <c r="G4" s="628"/>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33835</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110</v>
      </c>
      <c r="C7" s="14"/>
      <c r="D7" s="14"/>
      <c r="E7" s="55"/>
      <c r="F7" s="55"/>
      <c r="G7" s="55"/>
      <c r="H7" s="55"/>
      <c r="I7" s="55" t="s">
        <v>2</v>
      </c>
      <c r="J7" s="273">
        <f>J5-J6</f>
        <v>33835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112611</v>
      </c>
      <c r="F14" s="270"/>
      <c r="G14" s="55"/>
      <c r="H14" s="55"/>
      <c r="I14" s="53"/>
      <c r="J14" s="55"/>
    </row>
    <row r="15" spans="1:10" ht="15.75">
      <c r="A15" s="269"/>
      <c r="B15" s="14" t="s">
        <v>90</v>
      </c>
      <c r="C15" s="14" t="str">
        <f>CONCATENATE("Personal Property ",J1-2,"")</f>
        <v>Personal Property 2010</v>
      </c>
      <c r="D15" s="269" t="s">
        <v>85</v>
      </c>
      <c r="E15" s="273">
        <f>inputOth!E11</f>
        <v>113647</v>
      </c>
      <c r="F15" s="270"/>
      <c r="G15" s="53"/>
      <c r="H15" s="53"/>
      <c r="I15" s="55"/>
      <c r="J15" s="55"/>
    </row>
    <row r="16" spans="1:10" ht="15.75">
      <c r="A16" s="269"/>
      <c r="B16" s="14" t="s">
        <v>91</v>
      </c>
      <c r="C16" s="14" t="s">
        <v>111</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4646</v>
      </c>
      <c r="H18" s="55"/>
      <c r="I18" s="55"/>
      <c r="J18" s="55"/>
    </row>
    <row r="19" spans="1:10" ht="15.75">
      <c r="A19" s="14" t="s">
        <v>288</v>
      </c>
      <c r="B19" s="14"/>
      <c r="C19" s="14"/>
      <c r="D19" s="269"/>
      <c r="E19" s="53"/>
      <c r="F19" s="53"/>
      <c r="G19" s="53"/>
      <c r="H19" s="55"/>
      <c r="I19" s="55"/>
      <c r="J19" s="55"/>
    </row>
    <row r="20" spans="1:10" ht="15.75">
      <c r="A20" s="269" t="s">
        <v>93</v>
      </c>
      <c r="B20" s="17" t="s">
        <v>112</v>
      </c>
      <c r="C20" s="14"/>
      <c r="D20" s="14"/>
      <c r="E20" s="55"/>
      <c r="F20" s="55"/>
      <c r="G20" s="271">
        <f>G11+G16+G18</f>
        <v>4646</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2844646</v>
      </c>
      <c r="F22" s="55"/>
      <c r="G22" s="55"/>
      <c r="H22" s="55"/>
      <c r="I22" s="270"/>
      <c r="J22" s="55"/>
    </row>
    <row r="23" spans="1:10" ht="15.75">
      <c r="A23" s="269"/>
      <c r="B23" s="269"/>
      <c r="C23" s="14"/>
      <c r="D23" s="14"/>
      <c r="E23" s="53"/>
      <c r="F23" s="55"/>
      <c r="G23" s="55"/>
      <c r="H23" s="55"/>
      <c r="I23" s="270"/>
      <c r="J23" s="55"/>
    </row>
    <row r="24" spans="1:10" ht="15.75">
      <c r="A24" s="269" t="s">
        <v>95</v>
      </c>
      <c r="B24" s="17" t="s">
        <v>113</v>
      </c>
      <c r="C24" s="14"/>
      <c r="D24" s="14"/>
      <c r="E24" s="55"/>
      <c r="F24" s="55"/>
      <c r="G24" s="271">
        <f>E22-G20</f>
        <v>2840000</v>
      </c>
      <c r="H24" s="53"/>
      <c r="I24" s="270"/>
      <c r="J24" s="55"/>
    </row>
    <row r="25" spans="1:10" ht="15.75">
      <c r="A25" s="269"/>
      <c r="B25" s="269"/>
      <c r="C25" s="17"/>
      <c r="D25" s="14"/>
      <c r="E25" s="14"/>
      <c r="F25" s="14"/>
      <c r="G25" s="274"/>
      <c r="H25" s="19"/>
      <c r="I25" s="269"/>
      <c r="J25" s="14"/>
    </row>
    <row r="26" spans="1:10" ht="15.75">
      <c r="A26" s="269" t="s">
        <v>96</v>
      </c>
      <c r="B26" s="14" t="s">
        <v>114</v>
      </c>
      <c r="C26" s="14"/>
      <c r="D26" s="14"/>
      <c r="E26" s="14"/>
      <c r="F26" s="14"/>
      <c r="G26" s="275">
        <f>IF(G20&gt;0,G20/G24,0)</f>
        <v>0.0016359154929577464</v>
      </c>
      <c r="H26" s="19"/>
      <c r="I26" s="14"/>
      <c r="J26" s="14"/>
    </row>
    <row r="27" spans="1:10" ht="15.75">
      <c r="A27" s="269"/>
      <c r="B27" s="269"/>
      <c r="C27" s="14"/>
      <c r="D27" s="14"/>
      <c r="E27" s="14"/>
      <c r="F27" s="14"/>
      <c r="G27" s="19"/>
      <c r="H27" s="19"/>
      <c r="I27" s="14"/>
      <c r="J27" s="14"/>
    </row>
    <row r="28" spans="1:10" ht="15.75">
      <c r="A28" s="269" t="s">
        <v>97</v>
      </c>
      <c r="B28" s="14" t="s">
        <v>115</v>
      </c>
      <c r="C28" s="14"/>
      <c r="D28" s="14"/>
      <c r="E28" s="14"/>
      <c r="F28" s="14"/>
      <c r="G28" s="19"/>
      <c r="H28" s="276" t="s">
        <v>15</v>
      </c>
      <c r="I28" s="14" t="s">
        <v>2</v>
      </c>
      <c r="J28" s="271">
        <f>ROUND(G26*J7,0)</f>
        <v>55</v>
      </c>
    </row>
    <row r="29" spans="1:10" ht="15.75">
      <c r="A29" s="269"/>
      <c r="B29" s="269"/>
      <c r="C29" s="14"/>
      <c r="D29" s="14"/>
      <c r="E29" s="14"/>
      <c r="F29" s="14"/>
      <c r="G29" s="19"/>
      <c r="H29" s="276"/>
      <c r="I29" s="14"/>
      <c r="J29" s="53"/>
    </row>
    <row r="30" spans="1:10" ht="16.5" thickBot="1">
      <c r="A30" s="269" t="s">
        <v>98</v>
      </c>
      <c r="B30" s="17" t="s">
        <v>119</v>
      </c>
      <c r="C30" s="14"/>
      <c r="D30" s="14"/>
      <c r="E30" s="14"/>
      <c r="F30" s="14"/>
      <c r="G30" s="14"/>
      <c r="H30" s="14"/>
      <c r="I30" s="14" t="s">
        <v>2</v>
      </c>
      <c r="J30" s="277">
        <f>J7+J28</f>
        <v>33890</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33890</v>
      </c>
    </row>
    <row r="35" spans="1:10" ht="16.5" thickTop="1">
      <c r="A35" s="14"/>
      <c r="B35" s="14"/>
      <c r="C35" s="14"/>
      <c r="D35" s="14"/>
      <c r="E35" s="14"/>
      <c r="F35" s="14"/>
      <c r="G35" s="14"/>
      <c r="H35" s="14"/>
      <c r="I35" s="14"/>
      <c r="J35" s="14"/>
    </row>
    <row r="36" spans="1:10" s="278" customFormat="1" ht="18.75">
      <c r="A36" s="645" t="str">
        <f>CONCATENATE("If the ",J1," budget includes tax levies exceeding the total on line 14, you must")</f>
        <v>If the 2012 budget includes tax levies exceeding the total on line 14, you must</v>
      </c>
      <c r="B36" s="645"/>
      <c r="C36" s="645"/>
      <c r="D36" s="645"/>
      <c r="E36" s="645"/>
      <c r="F36" s="645"/>
      <c r="G36" s="645"/>
      <c r="H36" s="645"/>
      <c r="I36" s="645"/>
      <c r="J36" s="645"/>
    </row>
    <row r="37" spans="1:10" s="278" customFormat="1" ht="18.75">
      <c r="A37" s="645" t="s">
        <v>116</v>
      </c>
      <c r="B37" s="645"/>
      <c r="C37" s="645"/>
      <c r="D37" s="645"/>
      <c r="E37" s="645"/>
      <c r="F37" s="645"/>
      <c r="G37" s="645"/>
      <c r="H37" s="645"/>
      <c r="I37" s="645"/>
      <c r="J37" s="64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North Brown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1" t="s">
        <v>237</v>
      </c>
      <c r="C6" s="627"/>
      <c r="D6" s="627"/>
      <c r="E6" s="627"/>
      <c r="F6" s="627"/>
      <c r="G6" s="627"/>
      <c r="H6" s="627"/>
      <c r="I6" s="627"/>
      <c r="J6" s="627"/>
      <c r="K6" s="627"/>
      <c r="L6" s="62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7" t="str">
        <f>CONCATENATE("Budget Tax Levy Amount for ",J1-2,"")</f>
        <v>Budget Tax Levy Amount for 2010</v>
      </c>
      <c r="E9" s="647" t="str">
        <f>CONCATENATE("Budget Tax Levy Rate for ",J1-1,"")</f>
        <v>Budget Tax Levy Rate for 2011</v>
      </c>
      <c r="F9" s="250"/>
      <c r="G9" s="632" t="str">
        <f>CONCATENATE("Allocation for Year ",J1,"")</f>
        <v>Allocation for Year 2012</v>
      </c>
      <c r="H9" s="649"/>
      <c r="I9" s="649"/>
      <c r="J9" s="649"/>
      <c r="K9" s="649"/>
      <c r="L9" s="650"/>
    </row>
    <row r="10" spans="2:12" ht="15.75">
      <c r="B10" s="251" t="str">
        <f>CONCATENATE("",J1-1," Budgeted Funds")</f>
        <v>2011 Budgeted Funds</v>
      </c>
      <c r="C10" s="190"/>
      <c r="D10" s="648"/>
      <c r="E10" s="648"/>
      <c r="F10" s="25"/>
      <c r="G10" s="26" t="s">
        <v>80</v>
      </c>
      <c r="H10" s="26"/>
      <c r="I10" s="26" t="s">
        <v>81</v>
      </c>
      <c r="J10" s="167" t="s">
        <v>124</v>
      </c>
      <c r="K10" s="167" t="s">
        <v>165</v>
      </c>
      <c r="L10" s="111"/>
    </row>
    <row r="11" spans="2:12" ht="15.75">
      <c r="B11" s="96" t="str">
        <f>inputPrYr!B16</f>
        <v>General</v>
      </c>
      <c r="C11" s="252"/>
      <c r="D11" s="96">
        <f>IF(inputPrYr!E16&gt;0,inputPrYr!E16,"  ")</f>
        <v>8800</v>
      </c>
      <c r="E11" s="253">
        <f>IF(inputOth!D17&gt;0,inputOth!D17,"  ")</f>
        <v>3.162</v>
      </c>
      <c r="F11" s="254"/>
      <c r="G11" s="96">
        <f>IF(inputPrYr!E16=0,0,G22-SUM(G12:G19))</f>
        <v>540</v>
      </c>
      <c r="H11" s="255"/>
      <c r="I11" s="96">
        <f>IF(inputPrYr!E16=0,0,I24-SUM(I12:I19))</f>
        <v>17</v>
      </c>
      <c r="J11" s="96">
        <f>IF(inputPrYr!E16=0,0,J26-SUM(J12:J19))</f>
        <v>138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25035</v>
      </c>
      <c r="E13" s="253">
        <f>IF(inputOth!D19&gt;0,inputOth!D19,"  ")</f>
        <v>8.996</v>
      </c>
      <c r="F13" s="254"/>
      <c r="G13" s="96">
        <f>IF(inputPrYr!E18=0,0,ROUND(D13*$G$30,0))</f>
        <v>1538</v>
      </c>
      <c r="H13" s="255"/>
      <c r="I13" s="96">
        <f>IF(inputPrYr!$E$18=0,0,ROUND($D$13*$I$32,0))</f>
        <v>49</v>
      </c>
      <c r="J13" s="96">
        <f>IF(inputPrYr!E18=0,0,ROUND($D13*$J$34,0))</f>
        <v>393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33835</v>
      </c>
      <c r="E20" s="259">
        <f>SUM(E11:E19)</f>
        <v>12.158000000000001</v>
      </c>
      <c r="F20" s="260"/>
      <c r="G20" s="258">
        <f>SUM(G11:G19)</f>
        <v>2078</v>
      </c>
      <c r="H20" s="258"/>
      <c r="I20" s="258">
        <f>SUM(I11:I19)</f>
        <v>66</v>
      </c>
      <c r="J20" s="258">
        <f>SUM(J11:J19)</f>
        <v>531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2078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66</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531</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0.06141569380818679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0.0019506428254765775</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0.015693808186788828</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North Brown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8" t="s">
        <v>174</v>
      </c>
      <c r="B5" s="628"/>
      <c r="C5" s="628"/>
      <c r="D5" s="628"/>
      <c r="E5" s="628"/>
      <c r="F5" s="628"/>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0</v>
      </c>
      <c r="D27" s="245">
        <f>SUM(D10:D26)</f>
        <v>0</v>
      </c>
      <c r="E27" s="245">
        <f>SUM(E10:E26)</f>
        <v>0</v>
      </c>
      <c r="F27" s="140"/>
    </row>
    <row r="28" spans="1:6" ht="15.75">
      <c r="A28" s="140"/>
      <c r="B28" s="244" t="s">
        <v>631</v>
      </c>
      <c r="C28" s="140"/>
      <c r="D28" s="241"/>
      <c r="E28" s="241"/>
      <c r="F28" s="140"/>
    </row>
    <row r="29" spans="1:6" ht="15.75">
      <c r="A29" s="140"/>
      <c r="B29" s="192" t="s">
        <v>182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4" t="s">
        <v>635</v>
      </c>
      <c r="B32" s="405"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0" t="s">
        <v>738</v>
      </c>
    </row>
    <row r="4" ht="17.25" customHeight="1">
      <c r="A4" s="430"/>
    </row>
    <row r="5" ht="15.75">
      <c r="A5" s="91"/>
    </row>
    <row r="6" ht="52.5" customHeight="1">
      <c r="A6" s="176" t="s">
        <v>370</v>
      </c>
    </row>
    <row r="7" ht="15.75">
      <c r="A7" s="91"/>
    </row>
    <row r="8" ht="15.75">
      <c r="A8" s="91"/>
    </row>
    <row r="9" ht="70.5" customHeight="1">
      <c r="A9" s="176" t="s">
        <v>371</v>
      </c>
    </row>
    <row r="10" ht="15.75">
      <c r="A10" s="177"/>
    </row>
    <row r="11" ht="15.75">
      <c r="A11" s="177"/>
    </row>
    <row r="12" ht="63">
      <c r="A12" s="529" t="s">
        <v>739</v>
      </c>
    </row>
    <row r="13" ht="15.75">
      <c r="A13" s="177"/>
    </row>
    <row r="14" ht="15.75">
      <c r="A14" s="177"/>
    </row>
    <row r="15" ht="63">
      <c r="A15" s="529" t="s">
        <v>740</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2011-07-12T18:17:38Z</cp:lastPrinted>
  <dcterms:created xsi:type="dcterms:W3CDTF">1998-08-26T16:30:41Z</dcterms:created>
  <dcterms:modified xsi:type="dcterms:W3CDTF">2011-07-12T18:17:42Z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