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0"/>
  </bookViews>
  <sheets>
    <sheet name="cert" sheetId="1" r:id="rId1"/>
    <sheet name="computation" sheetId="2" r:id="rId2"/>
    <sheet name="mvalloc" sheetId="3" r:id="rId3"/>
    <sheet name="transfers" sheetId="4" r:id="rId4"/>
    <sheet name="debt" sheetId="5" r:id="rId5"/>
    <sheet name="gen" sheetId="6" r:id="rId6"/>
    <sheet name="DebtService" sheetId="7" r:id="rId7"/>
    <sheet name="NonBud" sheetId="8" r:id="rId8"/>
    <sheet name="summ" sheetId="9" r:id="rId9"/>
    <sheet name="instructions" sheetId="10" r:id="rId10"/>
    <sheet name="inputPrYr" sheetId="11" r:id="rId11"/>
    <sheet name="inputOth" sheetId="12" r:id="rId12"/>
    <sheet name="inputBudSum" sheetId="13" r:id="rId13"/>
    <sheet name="Nhood" sheetId="14" r:id="rId14"/>
  </sheets>
  <definedNames>
    <definedName name="_xlnm.Print_Area" localSheetId="6">'DebtService'!$B$1:$E$63</definedName>
    <definedName name="_xlnm.Print_Area" localSheetId="5">'gen'!$B$1:$F$60</definedName>
    <definedName name="_xlnm.Print_Area" localSheetId="10">'inputPrYr'!$A$1:$E$46</definedName>
    <definedName name="_xlnm.Print_Area" localSheetId="9">'instructions'!$A$1:$A$90</definedName>
    <definedName name="_xlnm.Print_Area" localSheetId="8">'summ'!$A$1:$H$33</definedName>
  </definedNames>
  <calcPr fullCalcOnLoad="1"/>
</workbook>
</file>

<file path=xl/sharedStrings.xml><?xml version="1.0" encoding="utf-8"?>
<sst xmlns="http://schemas.openxmlformats.org/spreadsheetml/2006/main" count="474" uniqueCount="334">
  <si>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</si>
  <si>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</si>
  <si>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</si>
  <si>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</si>
  <si>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</si>
  <si>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</si>
  <si>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</si>
  <si>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</si>
  <si>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</si>
  <si>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</si>
  <si>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</si>
  <si>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for Expenditures</t>
  </si>
  <si>
    <t>Does misc. exceed 10% Total Expenditures</t>
  </si>
  <si>
    <t>Does misc. exceed 10% of Total Receipts</t>
  </si>
  <si>
    <t>Assisted by:</t>
  </si>
  <si>
    <t>Address:</t>
  </si>
  <si>
    <t>Estimate</t>
  </si>
  <si>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</si>
  <si>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</si>
  <si>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</si>
  <si>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</si>
  <si>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</si>
  <si>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</si>
  <si>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</si>
  <si>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</si>
  <si>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</si>
  <si>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</si>
  <si>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</si>
  <si>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</si>
  <si>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</si>
  <si>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</si>
  <si>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</si>
  <si>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</si>
  <si>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</si>
  <si>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</si>
  <si>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</si>
  <si>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</si>
  <si>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</si>
  <si>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</si>
  <si>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</si>
  <si>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</si>
  <si>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</si>
  <si>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</si>
  <si>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</si>
  <si>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</si>
  <si>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</si>
  <si>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</si>
  <si>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</si>
  <si>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and hearing held.</t>
  </si>
  <si>
    <t xml:space="preserve">Must be at least 10 days between date published </t>
  </si>
  <si>
    <t>12-17,102</t>
  </si>
  <si>
    <t>Downtown Shareholder Self Supporting Municipal Improvement District</t>
  </si>
  <si>
    <t>Wyandotte County</t>
  </si>
  <si>
    <t>July 28, 2011</t>
  </si>
  <si>
    <t>5:00 PM</t>
  </si>
  <si>
    <t>in the Commission Chambers of the Municipal Office Building</t>
  </si>
  <si>
    <t>Unified Government Budget Office, 701 N 7th Street, Room 510</t>
  </si>
  <si>
    <t>ReEntry DOJ</t>
  </si>
  <si>
    <t>Unified Government Contribution</t>
  </si>
  <si>
    <t>Exempt</t>
  </si>
  <si>
    <t>GSA</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</si>
  <si>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</si>
  <si>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</si>
  <si>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</si>
  <si>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</si>
  <si>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</si>
  <si>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</si>
  <si>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</si>
  <si>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</si>
  <si>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</si>
  <si>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</si>
  <si>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</si>
  <si>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</si>
  <si>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</si>
  <si>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</si>
  <si>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</si>
  <si>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</si>
  <si>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</si>
  <si>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</si>
  <si>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</si>
  <si>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</si>
  <si>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</si>
  <si>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</si>
  <si>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</si>
  <si>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</si>
  <si>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</si>
  <si>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</si>
  <si>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</si>
  <si>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</si>
  <si>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</si>
  <si>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</si>
  <si>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</si>
  <si>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</si>
  <si>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</si>
  <si>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</si>
  <si>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</si>
  <si>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</si>
  <si>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</si>
  <si>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</si>
  <si>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</si>
  <si>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</si>
  <si>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</si>
  <si>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</si>
  <si>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</si>
  <si>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</si>
  <si>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</si>
  <si>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</si>
  <si>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</si>
  <si>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</si>
  <si>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</si>
  <si>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</si>
  <si>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</si>
  <si>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</si>
  <si>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</si>
  <si>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</si>
  <si>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</si>
  <si>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</si>
  <si>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</si>
  <si>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</si>
  <si>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</si>
  <si>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</si>
  <si>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</si>
  <si>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</si>
  <si>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</si>
  <si>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</si>
  <si>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</si>
  <si>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</si>
  <si>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</si>
  <si>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</si>
  <si>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</si>
  <si>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</si>
  <si>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</si>
  <si>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</si>
  <si>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</si>
  <si>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</si>
  <si>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</si>
  <si>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</si>
  <si>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</si>
  <si>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</si>
  <si>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</si>
  <si>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</si>
  <si>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</si>
  <si>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</si>
  <si>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</si>
  <si>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</si>
  <si>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</si>
  <si>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</si>
  <si>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</si>
  <si>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</si>
  <si>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</si>
  <si>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</si>
  <si>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</si>
  <si>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</si>
  <si>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</si>
  <si>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</si>
  <si>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</si>
  <si>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</si>
  <si>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</si>
  <si>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</si>
  <si>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</si>
  <si>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</si>
  <si>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</si>
  <si>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</si>
  <si>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</si>
  <si>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</si>
  <si>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</si>
  <si>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</si>
  <si>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</si>
  <si>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</si>
  <si>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</si>
  <si>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</si>
  <si>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</si>
  <si>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</si>
  <si>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</si>
  <si>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</si>
  <si>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</si>
  <si>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</si>
  <si>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</si>
  <si>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</si>
  <si>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</si>
  <si>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</si>
  <si>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</si>
  <si>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</si>
  <si>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</si>
  <si>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</si>
  <si>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</si>
  <si>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</si>
  <si>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</si>
  <si>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</si>
  <si>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</si>
  <si>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</si>
  <si>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</si>
  <si>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</si>
  <si>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</si>
  <si>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Rent/repairs</t>
  </si>
  <si>
    <t>Uniforms</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</si>
  <si>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</si>
  <si>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</si>
  <si>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</si>
  <si>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</si>
  <si>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</si>
  <si>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</si>
  <si>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</si>
  <si>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</si>
  <si>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</si>
  <si>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</si>
  <si>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</si>
  <si>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</si>
  <si>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</si>
  <si>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</si>
  <si>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</si>
  <si>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</si>
  <si>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</si>
  <si>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</si>
  <si>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</si>
  <si>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</si>
  <si>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</si>
  <si>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</si>
  <si>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</si>
  <si>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</si>
  <si>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</si>
  <si>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</si>
  <si>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</si>
  <si>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</si>
  <si>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</si>
  <si>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</si>
  <si>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</si>
  <si>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</si>
  <si>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</si>
  <si>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</si>
  <si>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</si>
  <si>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</si>
  <si>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</si>
  <si>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</si>
  <si>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</si>
  <si>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Note:  All amounts are to be entered in as whole numbers only.</t>
  </si>
  <si>
    <t>Attest: _________________,</t>
  </si>
  <si>
    <t>Tax Rate*</t>
  </si>
  <si>
    <t>Is a Resolution required?</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</si>
  <si>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</si>
  <si>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</si>
  <si>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</si>
  <si>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</si>
  <si>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</si>
  <si>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</si>
  <si>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TOTAL</t>
  </si>
  <si>
    <t>Allocation MVT, RVT,16/20M Veh &amp; Slider</t>
  </si>
  <si>
    <t>County Treas Slider Estimate</t>
  </si>
  <si>
    <t>Slider Factor</t>
  </si>
  <si>
    <t>Funds</t>
  </si>
  <si>
    <t>Budget Authority</t>
  </si>
  <si>
    <t xml:space="preserve">expenditure amounts should reflect the amended </t>
  </si>
  <si>
    <t>expenditure amounts.</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</si>
  <si>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</si>
  <si>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</si>
  <si>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</si>
  <si>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</si>
  <si>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</si>
  <si>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</si>
  <si>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</si>
  <si>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County Name followed by 'County'</t>
  </si>
  <si>
    <t>Page No. 6</t>
  </si>
  <si>
    <t xml:space="preserve">The Special District spreadsheet is designed with having only one county providing taxing support. </t>
  </si>
  <si>
    <t>ALLOCATION OF MOTOR, RECREATIONAL ,16/20M VEHICLE TAXES &amp; SLIDER</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</si>
  <si>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</si>
  <si>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</si>
  <si>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</si>
  <si>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</si>
  <si>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</si>
  <si>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</si>
  <si>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</si>
  <si>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</si>
  <si>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</si>
  <si>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</si>
  <si>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</si>
  <si>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</si>
  <si>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</si>
  <si>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</si>
  <si>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</si>
  <si>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 xml:space="preserve">Current Year </t>
  </si>
  <si>
    <t>Prior Year</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</si>
  <si>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</si>
  <si>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</si>
  <si>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</si>
  <si>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</si>
  <si>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</si>
  <si>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</si>
  <si>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</si>
  <si>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</si>
  <si>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</si>
  <si>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</si>
  <si>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</si>
  <si>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</si>
  <si>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</si>
  <si>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</si>
  <si>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</si>
  <si>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</si>
  <si>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</si>
  <si>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</si>
  <si>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</si>
  <si>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</si>
  <si>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</si>
  <si>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</si>
  <si>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                                                                                                                                                                                                                                                                                                                                                                                                               </t>
  </si>
  <si>
    <t>BPU</t>
  </si>
  <si>
    <t>LISC</t>
  </si>
  <si>
    <t>Safety</t>
  </si>
  <si>
    <t>Cleaning</t>
  </si>
  <si>
    <t>Landscaping</t>
  </si>
  <si>
    <t>Communication</t>
  </si>
  <si>
    <t>Marketing</t>
  </si>
  <si>
    <t>Management</t>
  </si>
  <si>
    <t>Equipment/Maintenance</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</si>
  <si>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</si>
  <si>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</si>
  <si>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</si>
  <si>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</si>
  <si>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</si>
  <si>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</si>
  <si>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</si>
  <si>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</si>
  <si>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</si>
  <si>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</si>
  <si>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</si>
  <si>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</si>
  <si>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</si>
  <si>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</si>
  <si>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</si>
  <si>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</si>
  <si>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</si>
  <si>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</si>
  <si>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Grant</t>
  </si>
  <si>
    <t>Service</t>
  </si>
  <si>
    <t>Lew Levin, Chief Financial Officer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</si>
</sst>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u val="single"/>
      <sz val="8"/>
      <color indexed="10"/>
      <name val="Times New Roman"/>
      <family val="1"/>
    </font>
    <font>
      <u val="single"/>
      <sz val="12"/>
      <color indexed="12"/>
      <name val="Courier"/>
      <family val="3"/>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b/>
      <sz val="11"/>
      <name val="Arial"/>
      <family val="2"/>
    </font>
    <font>
      <sz val="11"/>
      <name val="Arial"/>
      <family val="2"/>
    </font>
    <font>
      <b/>
      <u val="single"/>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000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medium"/>
    </border>
    <border>
      <left>
        <color indexed="63"/>
      </left>
      <right style="thin"/>
      <top style="thin"/>
      <bottom style="double"/>
    </border>
  </borders>
  <cellStyleXfs count="4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69">
    <xf numFmtId="0" fontId="0" fillId="0" borderId="0" xfId="0" applyAlignment="1">
      <alignment/>
    </xf>
    <xf numFmtId="0" fontId="4" fillId="0" borderId="0" xfId="0" applyFont="1" applyAlignment="1" applyProtection="1">
      <alignment vertical="center"/>
      <protection locked="0"/>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4" fillId="34" borderId="1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xf>
    <xf numFmtId="0" fontId="4" fillId="34" borderId="11"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5" fillId="34" borderId="12" xfId="0" applyFont="1" applyFill="1" applyBorder="1" applyAlignment="1" applyProtection="1">
      <alignment horizontal="center" vertical="center"/>
      <protection locked="0"/>
    </xf>
    <xf numFmtId="37" fontId="5"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centerContinuous" vertical="center"/>
      <protection/>
    </xf>
    <xf numFmtId="0" fontId="5" fillId="33"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3" borderId="12" xfId="0" applyFont="1" applyFill="1" applyBorder="1" applyAlignment="1" applyProtection="1">
      <alignment horizontal="left" vertical="center"/>
      <protection/>
    </xf>
    <xf numFmtId="0" fontId="4" fillId="34" borderId="12" xfId="0"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0" fontId="4" fillId="33" borderId="12" xfId="0" applyFont="1" applyFill="1" applyBorder="1" applyAlignment="1" applyProtection="1">
      <alignment vertical="center"/>
      <protection/>
    </xf>
    <xf numFmtId="3" fontId="4" fillId="33" borderId="0" xfId="0" applyNumberFormat="1" applyFont="1" applyFill="1" applyAlignment="1" applyProtection="1">
      <alignment vertical="center"/>
      <protection/>
    </xf>
    <xf numFmtId="164" fontId="4" fillId="33" borderId="0" xfId="0" applyNumberFormat="1" applyFont="1" applyFill="1" applyAlignment="1" applyProtection="1">
      <alignment vertical="center"/>
      <protection/>
    </xf>
    <xf numFmtId="0" fontId="4" fillId="33"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xf>
    <xf numFmtId="3" fontId="4" fillId="33"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3" borderId="0" xfId="0" applyNumberFormat="1" applyFont="1" applyFill="1" applyAlignment="1" applyProtection="1">
      <alignment horizontal="left" vertical="center"/>
      <protection/>
    </xf>
    <xf numFmtId="0" fontId="4" fillId="33" borderId="15"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xf>
    <xf numFmtId="0" fontId="4" fillId="34" borderId="12" xfId="0" applyFont="1" applyFill="1" applyBorder="1" applyAlignment="1" applyProtection="1">
      <alignment vertical="center"/>
      <protection locked="0"/>
    </xf>
    <xf numFmtId="164" fontId="4" fillId="34"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4" borderId="10" xfId="0" applyNumberFormat="1" applyFont="1" applyFill="1" applyBorder="1" applyAlignment="1" applyProtection="1">
      <alignment vertical="center"/>
      <protection locked="0"/>
    </xf>
    <xf numFmtId="3" fontId="4" fillId="34" borderId="11" xfId="0" applyNumberFormat="1"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33"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3" borderId="15" xfId="0"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33" borderId="0" xfId="0" applyFont="1" applyFill="1" applyAlignment="1">
      <alignment vertical="center"/>
    </xf>
    <xf numFmtId="0" fontId="0" fillId="0" borderId="0" xfId="0" applyAlignment="1">
      <alignment vertical="center"/>
    </xf>
    <xf numFmtId="0" fontId="0" fillId="33"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3" borderId="10" xfId="0" applyNumberFormat="1" applyFont="1" applyFill="1" applyBorder="1" applyAlignment="1" applyProtection="1">
      <alignment horizontal="left" vertical="center"/>
      <protection/>
    </xf>
    <xf numFmtId="37" fontId="4" fillId="33" borderId="11" xfId="0" applyNumberFormat="1" applyFont="1" applyFill="1" applyBorder="1" applyAlignment="1" applyProtection="1">
      <alignment horizontal="left" vertical="center"/>
      <protection/>
    </xf>
    <xf numFmtId="0" fontId="4" fillId="33" borderId="11" xfId="0" applyFont="1" applyFill="1" applyBorder="1" applyAlignment="1" applyProtection="1">
      <alignment vertical="center"/>
      <protection/>
    </xf>
    <xf numFmtId="37" fontId="4" fillId="34" borderId="11" xfId="0" applyNumberFormat="1" applyFont="1" applyFill="1" applyBorder="1" applyAlignment="1" applyProtection="1">
      <alignment vertical="center"/>
      <protection locked="0"/>
    </xf>
    <xf numFmtId="0" fontId="4" fillId="33" borderId="0" xfId="0" applyFont="1" applyFill="1" applyBorder="1" applyAlignment="1" applyProtection="1">
      <alignment vertical="center"/>
      <protection/>
    </xf>
    <xf numFmtId="37" fontId="4" fillId="33" borderId="0" xfId="0" applyNumberFormat="1" applyFont="1" applyFill="1" applyBorder="1" applyAlignment="1" applyProtection="1">
      <alignment vertical="center"/>
      <protection locked="0"/>
    </xf>
    <xf numFmtId="37" fontId="5" fillId="33" borderId="0" xfId="0" applyNumberFormat="1" applyFont="1" applyFill="1" applyBorder="1" applyAlignment="1" applyProtection="1">
      <alignment horizontal="left" vertical="center"/>
      <protection/>
    </xf>
    <xf numFmtId="3" fontId="4" fillId="33" borderId="0" xfId="0" applyNumberFormat="1" applyFont="1" applyFill="1" applyBorder="1" applyAlignment="1" applyProtection="1">
      <alignment vertical="center"/>
      <protection locked="0"/>
    </xf>
    <xf numFmtId="0" fontId="13" fillId="33" borderId="0" xfId="0" applyFont="1" applyFill="1" applyBorder="1" applyAlignment="1" applyProtection="1">
      <alignment horizontal="center" vertical="center"/>
      <protection/>
    </xf>
    <xf numFmtId="182" fontId="4" fillId="34" borderId="10" xfId="0" applyNumberFormat="1" applyFont="1" applyFill="1" applyBorder="1" applyAlignment="1" applyProtection="1">
      <alignment vertical="center"/>
      <protection locked="0"/>
    </xf>
    <xf numFmtId="182" fontId="4" fillId="34" borderId="11" xfId="0" applyNumberFormat="1" applyFont="1" applyFill="1" applyBorder="1" applyAlignment="1" applyProtection="1">
      <alignment vertical="center"/>
      <protection locked="0"/>
    </xf>
    <xf numFmtId="182" fontId="4" fillId="34" borderId="18" xfId="0" applyNumberFormat="1" applyFont="1" applyFill="1" applyBorder="1" applyAlignment="1" applyProtection="1">
      <alignment vertical="center"/>
      <protection locked="0"/>
    </xf>
    <xf numFmtId="0" fontId="0" fillId="33" borderId="0" xfId="0" applyFill="1" applyAlignment="1" applyProtection="1">
      <alignment vertical="center"/>
      <protection/>
    </xf>
    <xf numFmtId="0" fontId="0" fillId="33"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3"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3" borderId="15" xfId="0" applyNumberFormat="1" applyFont="1" applyFill="1" applyBorder="1" applyAlignment="1" applyProtection="1">
      <alignment vertical="center"/>
      <protection/>
    </xf>
    <xf numFmtId="3" fontId="4" fillId="33" borderId="17" xfId="0" applyNumberFormat="1" applyFont="1" applyFill="1" applyBorder="1" applyAlignment="1" applyProtection="1">
      <alignment vertical="center"/>
      <protection/>
    </xf>
    <xf numFmtId="37" fontId="5" fillId="33" borderId="0" xfId="0" applyNumberFormat="1" applyFont="1" applyFill="1" applyAlignment="1" applyProtection="1">
      <alignment horizontal="left" vertical="center"/>
      <protection/>
    </xf>
    <xf numFmtId="37" fontId="4" fillId="33" borderId="0" xfId="0" applyNumberFormat="1" applyFont="1" applyFill="1" applyBorder="1" applyAlignment="1" applyProtection="1">
      <alignment horizontal="left" vertical="center"/>
      <protection/>
    </xf>
    <xf numFmtId="182" fontId="4" fillId="34"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16" fillId="33" borderId="0" xfId="0" applyFont="1" applyFill="1" applyAlignment="1">
      <alignment vertical="center"/>
    </xf>
    <xf numFmtId="0" fontId="17" fillId="33" borderId="0" xfId="0" applyFont="1" applyFill="1" applyAlignment="1">
      <alignment vertical="center"/>
    </xf>
    <xf numFmtId="37" fontId="4" fillId="33" borderId="12" xfId="0" applyNumberFormat="1" applyFont="1" applyFill="1" applyBorder="1" applyAlignment="1">
      <alignment vertical="center"/>
    </xf>
    <xf numFmtId="0" fontId="4" fillId="0" borderId="0" xfId="0" applyFont="1" applyAlignment="1">
      <alignment vertical="center"/>
    </xf>
    <xf numFmtId="0" fontId="5" fillId="33" borderId="0" xfId="0" applyFont="1" applyFill="1" applyAlignment="1" applyProtection="1">
      <alignment horizontal="center" vertical="center"/>
      <protection/>
    </xf>
    <xf numFmtId="0" fontId="4" fillId="33" borderId="0" xfId="0" applyFont="1" applyFill="1" applyAlignment="1" applyProtection="1">
      <alignment horizontal="fill" vertical="center"/>
      <protection/>
    </xf>
    <xf numFmtId="0" fontId="4" fillId="33" borderId="0" xfId="0" applyFont="1" applyFill="1" applyBorder="1" applyAlignment="1" applyProtection="1">
      <alignment horizontal="fill" vertical="center"/>
      <protection/>
    </xf>
    <xf numFmtId="0" fontId="4" fillId="33" borderId="13"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10" xfId="0" applyFont="1" applyFill="1" applyBorder="1" applyAlignment="1" applyProtection="1">
      <alignment horizontal="fill" vertical="center"/>
      <protection/>
    </xf>
    <xf numFmtId="0" fontId="4" fillId="33" borderId="12" xfId="0" applyFont="1" applyFill="1" applyBorder="1" applyAlignment="1" applyProtection="1">
      <alignment horizontal="center" vertical="center"/>
      <protection/>
    </xf>
    <xf numFmtId="37" fontId="4" fillId="33" borderId="20" xfId="0" applyNumberFormat="1" applyFont="1" applyFill="1" applyBorder="1" applyAlignment="1" applyProtection="1">
      <alignment horizontal="left" vertical="center"/>
      <protection/>
    </xf>
    <xf numFmtId="0" fontId="4" fillId="33" borderId="14" xfId="0" applyFont="1" applyFill="1" applyBorder="1" applyAlignment="1" applyProtection="1">
      <alignment horizontal="center" vertical="center"/>
      <protection/>
    </xf>
    <xf numFmtId="0" fontId="4" fillId="33" borderId="20" xfId="0"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xf>
    <xf numFmtId="0" fontId="4" fillId="33" borderId="20" xfId="0" applyFont="1" applyFill="1" applyBorder="1" applyAlignment="1" applyProtection="1">
      <alignment vertical="center"/>
      <protection/>
    </xf>
    <xf numFmtId="37" fontId="4" fillId="33" borderId="12" xfId="0" applyNumberFormat="1" applyFont="1" applyFill="1" applyBorder="1" applyAlignment="1" applyProtection="1">
      <alignment vertical="center"/>
      <protection/>
    </xf>
    <xf numFmtId="0" fontId="4" fillId="33"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0" fontId="4" fillId="33" borderId="0" xfId="0" applyFont="1" applyFill="1" applyAlignment="1" applyProtection="1">
      <alignment horizontal="right" vertical="center"/>
      <protection/>
    </xf>
    <xf numFmtId="171" fontId="4" fillId="34" borderId="12" xfId="42" applyNumberFormat="1" applyFont="1" applyFill="1" applyBorder="1" applyAlignment="1" applyProtection="1">
      <alignment vertical="center"/>
      <protection locked="0"/>
    </xf>
    <xf numFmtId="0" fontId="4" fillId="0" borderId="0" xfId="0" applyFont="1" applyAlignment="1" applyProtection="1">
      <alignment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3" borderId="10"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xf>
    <xf numFmtId="3" fontId="4" fillId="33" borderId="18" xfId="0" applyNumberFormat="1" applyFont="1" applyFill="1" applyBorder="1" applyAlignment="1" applyProtection="1">
      <alignment vertical="center"/>
      <protection/>
    </xf>
    <xf numFmtId="169" fontId="4" fillId="33" borderId="10"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 fontId="4" fillId="33" borderId="21" xfId="0" applyNumberFormat="1" applyFont="1" applyFill="1" applyBorder="1" applyAlignment="1" applyProtection="1">
      <alignment vertical="center"/>
      <protection/>
    </xf>
    <xf numFmtId="0" fontId="4" fillId="33" borderId="10" xfId="42" applyNumberFormat="1" applyFont="1" applyFill="1" applyBorder="1" applyAlignment="1" applyProtection="1">
      <alignment vertical="center"/>
      <protection/>
    </xf>
    <xf numFmtId="37" fontId="4" fillId="33" borderId="0" xfId="0" applyNumberFormat="1" applyFont="1" applyFill="1" applyAlignment="1" applyProtection="1">
      <alignment horizontal="right" vertical="center"/>
      <protection/>
    </xf>
    <xf numFmtId="37" fontId="4" fillId="33" borderId="0" xfId="0" applyNumberFormat="1" applyFont="1" applyFill="1" applyAlignment="1" applyProtection="1">
      <alignment vertical="center"/>
      <protection/>
    </xf>
    <xf numFmtId="37" fontId="5" fillId="33" borderId="0" xfId="0" applyNumberFormat="1"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wrapText="1"/>
      <protection/>
    </xf>
    <xf numFmtId="37" fontId="4" fillId="33"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3"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3"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10"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1" fontId="4" fillId="33"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4" borderId="14" xfId="0" applyFont="1" applyFill="1" applyBorder="1" applyAlignment="1" applyProtection="1">
      <alignment vertical="center"/>
      <protection locked="0"/>
    </xf>
    <xf numFmtId="171" fontId="4" fillId="34" borderId="14" xfId="42" applyNumberFormat="1" applyFont="1" applyFill="1" applyBorder="1" applyAlignment="1" applyProtection="1">
      <alignment vertical="center"/>
      <protection locked="0"/>
    </xf>
    <xf numFmtId="0" fontId="6" fillId="34" borderId="12" xfId="0" applyFont="1" applyFill="1" applyBorder="1" applyAlignment="1" applyProtection="1">
      <alignment vertical="center"/>
      <protection locked="0"/>
    </xf>
    <xf numFmtId="0" fontId="5" fillId="33"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xf>
    <xf numFmtId="0" fontId="4" fillId="33" borderId="12" xfId="0" applyFont="1" applyFill="1" applyBorder="1" applyAlignment="1" applyProtection="1">
      <alignment horizontal="right" vertical="center"/>
      <protection/>
    </xf>
    <xf numFmtId="0" fontId="4" fillId="34"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3" borderId="0" xfId="0" applyNumberFormat="1" applyFont="1" applyFill="1" applyAlignment="1" applyProtection="1">
      <alignment horizontal="right" vertical="center"/>
      <protection/>
    </xf>
    <xf numFmtId="0" fontId="5" fillId="33" borderId="0" xfId="453" applyFont="1" applyFill="1" applyAlignment="1" applyProtection="1">
      <alignment horizontal="centerContinuous" vertical="center"/>
      <protection/>
    </xf>
    <xf numFmtId="0" fontId="4" fillId="33"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3" borderId="0" xfId="452" applyFont="1" applyFill="1" applyAlignment="1" applyProtection="1">
      <alignment vertical="center"/>
      <protection/>
    </xf>
    <xf numFmtId="0" fontId="4" fillId="33" borderId="22" xfId="0" applyFont="1" applyFill="1" applyBorder="1" applyAlignment="1" applyProtection="1">
      <alignment horizontal="centerContinuous" vertical="center"/>
      <protection/>
    </xf>
    <xf numFmtId="0" fontId="4" fillId="33" borderId="23" xfId="0" applyFont="1" applyFill="1" applyBorder="1" applyAlignment="1" applyProtection="1">
      <alignment horizontal="centerContinuous" vertical="center"/>
      <protection/>
    </xf>
    <xf numFmtId="0" fontId="4" fillId="33" borderId="24" xfId="0" applyFont="1" applyFill="1" applyBorder="1" applyAlignment="1" applyProtection="1">
      <alignment horizontal="centerContinuous" vertical="center"/>
      <protection/>
    </xf>
    <xf numFmtId="0" fontId="4" fillId="33" borderId="15" xfId="0" applyFont="1" applyFill="1" applyBorder="1" applyAlignment="1" applyProtection="1">
      <alignment horizontal="centerContinuous" vertical="center"/>
      <protection/>
    </xf>
    <xf numFmtId="0" fontId="4" fillId="33" borderId="15" xfId="0" applyFont="1" applyFill="1" applyBorder="1" applyAlignment="1" applyProtection="1">
      <alignment horizontal="left" vertical="center"/>
      <protection/>
    </xf>
    <xf numFmtId="14" fontId="4" fillId="33" borderId="14" xfId="0" applyNumberFormat="1" applyFont="1" applyFill="1" applyBorder="1" applyAlignment="1" applyProtection="1" quotePrefix="1">
      <alignment horizontal="center" vertical="center"/>
      <protection/>
    </xf>
    <xf numFmtId="172" fontId="4" fillId="33" borderId="12" xfId="0" applyNumberFormat="1" applyFont="1" applyFill="1" applyBorder="1" applyAlignment="1" applyProtection="1">
      <alignment horizontal="left" vertical="center"/>
      <protection/>
    </xf>
    <xf numFmtId="173" fontId="4" fillId="33" borderId="12" xfId="0" applyNumberFormat="1" applyFont="1" applyFill="1" applyBorder="1" applyAlignment="1" applyProtection="1">
      <alignment horizontal="left" vertical="center"/>
      <protection/>
    </xf>
    <xf numFmtId="0" fontId="4" fillId="34" borderId="12" xfId="0" applyFont="1" applyFill="1" applyBorder="1" applyAlignment="1" applyProtection="1">
      <alignment horizontal="left" vertical="center"/>
      <protection locked="0"/>
    </xf>
    <xf numFmtId="173" fontId="4" fillId="34" borderId="12" xfId="0" applyNumberFormat="1" applyFont="1" applyFill="1" applyBorder="1" applyAlignment="1" applyProtection="1">
      <alignment horizontal="left" vertical="center"/>
      <protection locked="0"/>
    </xf>
    <xf numFmtId="2" fontId="4" fillId="34" borderId="12" xfId="0" applyNumberFormat="1" applyFont="1" applyFill="1" applyBorder="1" applyAlignment="1" applyProtection="1">
      <alignment vertical="center"/>
      <protection locked="0"/>
    </xf>
    <xf numFmtId="173" fontId="4" fillId="34" borderId="12"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172" fontId="4" fillId="33" borderId="12" xfId="0" applyNumberFormat="1" applyFont="1" applyFill="1" applyBorder="1" applyAlignment="1" applyProtection="1">
      <alignment vertical="center"/>
      <protection locked="0"/>
    </xf>
    <xf numFmtId="2" fontId="4" fillId="33" borderId="12" xfId="0" applyNumberFormat="1"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3" borderId="12" xfId="0" applyNumberFormat="1" applyFont="1" applyFill="1" applyBorder="1" applyAlignment="1" applyProtection="1">
      <alignment vertical="center"/>
      <protection/>
    </xf>
    <xf numFmtId="172" fontId="4" fillId="33" borderId="12" xfId="0" applyNumberFormat="1" applyFont="1" applyFill="1" applyBorder="1" applyAlignment="1" applyProtection="1">
      <alignment vertical="center"/>
      <protection/>
    </xf>
    <xf numFmtId="2" fontId="4" fillId="33" borderId="12" xfId="0" applyNumberFormat="1" applyFont="1" applyFill="1" applyBorder="1" applyAlignment="1" applyProtection="1">
      <alignment vertical="center"/>
      <protection/>
    </xf>
    <xf numFmtId="0" fontId="4" fillId="33" borderId="12" xfId="452" applyFont="1" applyFill="1" applyBorder="1" applyAlignment="1" applyProtection="1">
      <alignment horizontal="left" vertical="center"/>
      <protection/>
    </xf>
    <xf numFmtId="0" fontId="4" fillId="33" borderId="22" xfId="452" applyFont="1" applyFill="1" applyBorder="1" applyAlignment="1" applyProtection="1">
      <alignment vertical="center"/>
      <protection/>
    </xf>
    <xf numFmtId="0" fontId="4" fillId="33" borderId="18" xfId="452" applyFont="1" applyFill="1" applyBorder="1" applyAlignment="1" applyProtection="1">
      <alignment vertical="center"/>
      <protection/>
    </xf>
    <xf numFmtId="3" fontId="4" fillId="33" borderId="23"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3" borderId="23" xfId="452" applyFont="1" applyFill="1" applyBorder="1" applyAlignment="1" applyProtection="1">
      <alignment vertical="center"/>
      <protection/>
    </xf>
    <xf numFmtId="0" fontId="4" fillId="33" borderId="0" xfId="453" applyFont="1" applyFill="1" applyAlignment="1" applyProtection="1">
      <alignment horizontal="centerContinuous" vertical="center"/>
      <protection/>
    </xf>
    <xf numFmtId="0" fontId="4" fillId="33" borderId="0" xfId="453" applyFont="1" applyFill="1" applyAlignment="1" applyProtection="1">
      <alignment vertical="center"/>
      <protection/>
    </xf>
    <xf numFmtId="0" fontId="4" fillId="0" borderId="0" xfId="453" applyFont="1" applyAlignment="1">
      <alignment vertical="center"/>
      <protection/>
    </xf>
    <xf numFmtId="0" fontId="4" fillId="33" borderId="13" xfId="0" applyFont="1" applyFill="1" applyBorder="1" applyAlignment="1" applyProtection="1">
      <alignment vertical="center"/>
      <protection/>
    </xf>
    <xf numFmtId="0" fontId="4" fillId="33" borderId="25" xfId="453" applyFont="1" applyFill="1" applyBorder="1" applyAlignment="1" applyProtection="1">
      <alignment vertical="center"/>
      <protection/>
    </xf>
    <xf numFmtId="0" fontId="4" fillId="33" borderId="0" xfId="453"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14" xfId="0" applyFont="1" applyFill="1" applyBorder="1" applyAlignment="1" applyProtection="1">
      <alignment horizontal="left" vertical="center"/>
      <protection/>
    </xf>
    <xf numFmtId="0" fontId="7" fillId="33" borderId="14" xfId="0" applyFont="1" applyFill="1" applyBorder="1" applyAlignment="1" applyProtection="1">
      <alignment horizontal="center" vertical="center"/>
      <protection/>
    </xf>
    <xf numFmtId="1" fontId="4" fillId="34" borderId="12" xfId="0" applyNumberFormat="1" applyFont="1" applyFill="1" applyBorder="1" applyAlignment="1" applyProtection="1">
      <alignment vertical="center"/>
      <protection locked="0"/>
    </xf>
    <xf numFmtId="0" fontId="4" fillId="33" borderId="12" xfId="452" applyFont="1" applyFill="1" applyBorder="1" applyAlignment="1" applyProtection="1">
      <alignment horizontal="left" vertical="center"/>
      <protection locked="0"/>
    </xf>
    <xf numFmtId="0" fontId="4" fillId="33" borderId="22" xfId="452" applyFont="1" applyFill="1" applyBorder="1" applyAlignment="1" applyProtection="1">
      <alignment vertical="center"/>
      <protection locked="0"/>
    </xf>
    <xf numFmtId="0" fontId="4" fillId="33" borderId="18" xfId="452" applyFont="1" applyFill="1" applyBorder="1" applyAlignment="1" applyProtection="1">
      <alignment vertical="center"/>
      <protection locked="0"/>
    </xf>
    <xf numFmtId="3" fontId="4" fillId="33" borderId="18" xfId="452" applyNumberFormat="1" applyFont="1" applyFill="1" applyBorder="1" applyAlignment="1" applyProtection="1">
      <alignment vertical="center"/>
      <protection locked="0"/>
    </xf>
    <xf numFmtId="3" fontId="5" fillId="33" borderId="12" xfId="452" applyNumberFormat="1" applyFont="1" applyFill="1" applyBorder="1" applyAlignment="1" applyProtection="1">
      <alignment vertical="center"/>
      <protection/>
    </xf>
    <xf numFmtId="37" fontId="5" fillId="33"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3" borderId="0" xfId="0" applyNumberFormat="1" applyFont="1" applyFill="1" applyAlignment="1" applyProtection="1">
      <alignment vertical="center"/>
      <protection/>
    </xf>
    <xf numFmtId="165" fontId="4" fillId="33" borderId="0" xfId="0" applyNumberFormat="1" applyFont="1" applyFill="1" applyAlignment="1" applyProtection="1" quotePrefix="1">
      <alignment horizontal="right" vertical="center"/>
      <protection/>
    </xf>
    <xf numFmtId="37" fontId="4" fillId="33" borderId="13" xfId="0" applyNumberFormat="1" applyFont="1" applyFill="1" applyBorder="1" applyAlignment="1" applyProtection="1">
      <alignment horizontal="center" vertical="center"/>
      <protection/>
    </xf>
    <xf numFmtId="0" fontId="4" fillId="33" borderId="14" xfId="0" applyNumberFormat="1" applyFont="1" applyFill="1" applyBorder="1" applyAlignment="1" applyProtection="1">
      <alignment horizontal="center" vertical="center"/>
      <protection/>
    </xf>
    <xf numFmtId="0" fontId="4" fillId="33" borderId="24" xfId="0" applyFont="1" applyFill="1" applyBorder="1" applyAlignment="1" applyProtection="1">
      <alignment horizontal="left" vertical="center"/>
      <protection/>
    </xf>
    <xf numFmtId="37" fontId="4" fillId="33" borderId="20" xfId="0" applyNumberFormat="1" applyFont="1" applyFill="1" applyBorder="1" applyAlignment="1" applyProtection="1">
      <alignment vertical="center"/>
      <protection/>
    </xf>
    <xf numFmtId="37" fontId="4" fillId="34" borderId="20" xfId="0" applyNumberFormat="1" applyFont="1" applyFill="1" applyBorder="1" applyAlignment="1" applyProtection="1">
      <alignment vertical="center"/>
      <protection locked="0"/>
    </xf>
    <xf numFmtId="0" fontId="4" fillId="34" borderId="20" xfId="0" applyFont="1" applyFill="1" applyBorder="1" applyAlignment="1" applyProtection="1">
      <alignment horizontal="left" vertical="center"/>
      <protection locked="0"/>
    </xf>
    <xf numFmtId="37" fontId="4" fillId="33" borderId="20" xfId="0" applyNumberFormat="1" applyFont="1" applyFill="1" applyBorder="1" applyAlignment="1" applyProtection="1">
      <alignment horizontal="left" vertical="center"/>
      <protection locked="0"/>
    </xf>
    <xf numFmtId="37" fontId="5" fillId="33" borderId="20"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16" fillId="0" borderId="0" xfId="0" applyFont="1" applyAlignment="1">
      <alignment vertical="center"/>
    </xf>
    <xf numFmtId="1" fontId="4" fillId="33" borderId="0" xfId="0" applyNumberFormat="1" applyFont="1" applyFill="1" applyBorder="1" applyAlignment="1" applyProtection="1">
      <alignment horizontal="right" vertical="center"/>
      <protection/>
    </xf>
    <xf numFmtId="37" fontId="4" fillId="33" borderId="0" xfId="0" applyNumberFormat="1" applyFont="1" applyFill="1" applyAlignment="1" applyProtection="1" quotePrefix="1">
      <alignment horizontal="right" vertical="center"/>
      <protection/>
    </xf>
    <xf numFmtId="37" fontId="4" fillId="33" borderId="0" xfId="0" applyNumberFormat="1" applyFont="1" applyFill="1" applyAlignment="1" applyProtection="1">
      <alignment horizontal="fill" vertical="center"/>
      <protection/>
    </xf>
    <xf numFmtId="3" fontId="4" fillId="33" borderId="12" xfId="42" applyNumberFormat="1" applyFont="1" applyFill="1" applyBorder="1" applyAlignment="1" applyProtection="1">
      <alignment horizontal="right" vertical="center"/>
      <protection/>
    </xf>
    <xf numFmtId="37" fontId="4" fillId="33" borderId="24"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horizontal="right" vertical="center"/>
      <protection locked="0"/>
    </xf>
    <xf numFmtId="3" fontId="4" fillId="33" borderId="12" xfId="0" applyNumberFormat="1" applyFont="1" applyFill="1" applyBorder="1" applyAlignment="1" applyProtection="1">
      <alignment horizontal="right" vertical="center"/>
      <protection/>
    </xf>
    <xf numFmtId="0" fontId="4" fillId="33" borderId="20" xfId="0" applyNumberFormat="1" applyFont="1" applyFill="1" applyBorder="1" applyAlignment="1" applyProtection="1">
      <alignment horizontal="left" vertical="center"/>
      <protection/>
    </xf>
    <xf numFmtId="0" fontId="4" fillId="34" borderId="20" xfId="0" applyNumberFormat="1" applyFont="1" applyFill="1" applyBorder="1" applyAlignment="1" applyProtection="1">
      <alignment horizontal="left" vertical="center"/>
      <protection locked="0"/>
    </xf>
    <xf numFmtId="3" fontId="4" fillId="34" borderId="12" xfId="0" applyNumberFormat="1" applyFont="1" applyFill="1" applyBorder="1" applyAlignment="1" applyProtection="1">
      <alignment horizontal="right" vertical="center"/>
      <protection locked="0"/>
    </xf>
    <xf numFmtId="0" fontId="4" fillId="34" borderId="22"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4" borderId="20" xfId="0" applyFont="1" applyFill="1" applyBorder="1" applyAlignment="1" applyProtection="1">
      <alignment vertical="center"/>
      <protection locked="0"/>
    </xf>
    <xf numFmtId="0" fontId="16" fillId="0" borderId="0" xfId="0" applyFont="1" applyAlignment="1" applyProtection="1">
      <alignment vertical="center"/>
      <protection/>
    </xf>
    <xf numFmtId="0" fontId="4" fillId="34" borderId="0" xfId="0" applyFont="1" applyFill="1" applyAlignment="1" applyProtection="1">
      <alignment horizontal="left" vertical="center"/>
      <protection locked="0"/>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19" fillId="33" borderId="0" xfId="0" applyFont="1" applyFill="1" applyAlignment="1">
      <alignment horizontal="center" vertical="center"/>
    </xf>
    <xf numFmtId="0" fontId="4" fillId="33" borderId="17" xfId="0" applyFont="1" applyFill="1" applyBorder="1" applyAlignment="1">
      <alignment vertical="center"/>
    </xf>
    <xf numFmtId="0" fontId="4" fillId="33" borderId="10" xfId="0" applyFont="1" applyFill="1" applyBorder="1" applyAlignment="1">
      <alignment vertical="center"/>
    </xf>
    <xf numFmtId="0" fontId="20" fillId="33" borderId="13" xfId="0" applyFont="1" applyFill="1" applyBorder="1" applyAlignment="1">
      <alignment vertical="center"/>
    </xf>
    <xf numFmtId="0" fontId="20" fillId="33" borderId="17" xfId="0" applyFont="1" applyFill="1" applyBorder="1" applyAlignment="1">
      <alignment horizontal="center" vertical="center"/>
    </xf>
    <xf numFmtId="0" fontId="20" fillId="33" borderId="23" xfId="0" applyFont="1" applyFill="1" applyBorder="1" applyAlignment="1">
      <alignment vertical="center"/>
    </xf>
    <xf numFmtId="0" fontId="20"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2" xfId="0" applyFont="1" applyFill="1" applyBorder="1" applyAlignment="1">
      <alignment horizontal="center" vertical="center"/>
    </xf>
    <xf numFmtId="0" fontId="20" fillId="33" borderId="24" xfId="0" applyFont="1" applyFill="1" applyBorder="1" applyAlignment="1">
      <alignment vertical="center"/>
    </xf>
    <xf numFmtId="3" fontId="20" fillId="34" borderId="12" xfId="0" applyNumberFormat="1" applyFont="1" applyFill="1" applyBorder="1" applyAlignment="1" applyProtection="1">
      <alignment horizontal="center" vertical="center"/>
      <protection locked="0"/>
    </xf>
    <xf numFmtId="0" fontId="20" fillId="33" borderId="10" xfId="0" applyFont="1" applyFill="1" applyBorder="1" applyAlignment="1">
      <alignment vertical="center"/>
    </xf>
    <xf numFmtId="3" fontId="20" fillId="37" borderId="12" xfId="0" applyNumberFormat="1" applyFont="1" applyFill="1" applyBorder="1" applyAlignment="1">
      <alignment horizontal="center" vertical="center"/>
    </xf>
    <xf numFmtId="0" fontId="20" fillId="33" borderId="0" xfId="0" applyFont="1" applyFill="1" applyAlignment="1">
      <alignment vertical="center"/>
    </xf>
    <xf numFmtId="3" fontId="20" fillId="33" borderId="0" xfId="0" applyNumberFormat="1" applyFont="1" applyFill="1" applyAlignment="1">
      <alignment horizontal="center" vertical="center"/>
    </xf>
    <xf numFmtId="0" fontId="20" fillId="33" borderId="0" xfId="0" applyFont="1" applyFill="1" applyAlignment="1">
      <alignment horizontal="center" vertical="center"/>
    </xf>
    <xf numFmtId="0" fontId="20" fillId="34" borderId="12" xfId="0" applyFont="1" applyFill="1" applyBorder="1" applyAlignment="1" applyProtection="1">
      <alignment vertical="center"/>
      <protection locked="0"/>
    </xf>
    <xf numFmtId="0" fontId="20" fillId="34" borderId="23" xfId="0" applyFont="1" applyFill="1" applyBorder="1" applyAlignment="1" applyProtection="1">
      <alignment vertical="center"/>
      <protection locked="0"/>
    </xf>
    <xf numFmtId="3" fontId="20" fillId="34" borderId="23" xfId="0" applyNumberFormat="1" applyFont="1" applyFill="1" applyBorder="1" applyAlignment="1" applyProtection="1">
      <alignment horizontal="center" vertical="center"/>
      <protection locked="0"/>
    </xf>
    <xf numFmtId="0" fontId="20" fillId="34" borderId="0" xfId="0" applyFont="1" applyFill="1" applyAlignment="1" applyProtection="1">
      <alignment vertical="center"/>
      <protection locked="0"/>
    </xf>
    <xf numFmtId="3" fontId="20" fillId="34" borderId="15" xfId="0" applyNumberFormat="1" applyFont="1" applyFill="1" applyBorder="1" applyAlignment="1" applyProtection="1">
      <alignment horizontal="center" vertical="center"/>
      <protection locked="0"/>
    </xf>
    <xf numFmtId="3" fontId="20" fillId="34" borderId="17" xfId="0" applyNumberFormat="1" applyFont="1" applyFill="1" applyBorder="1" applyAlignment="1" applyProtection="1">
      <alignment horizontal="center" vertical="center"/>
      <protection locked="0"/>
    </xf>
    <xf numFmtId="0" fontId="20" fillId="34" borderId="17" xfId="0" applyFont="1" applyFill="1" applyBorder="1" applyAlignment="1" applyProtection="1">
      <alignment vertical="center"/>
      <protection locked="0"/>
    </xf>
    <xf numFmtId="0" fontId="20" fillId="34" borderId="14" xfId="0" applyFont="1" applyFill="1" applyBorder="1" applyAlignment="1" applyProtection="1">
      <alignment vertical="center"/>
      <protection locked="0"/>
    </xf>
    <xf numFmtId="3" fontId="20" fillId="34" borderId="26" xfId="0" applyNumberFormat="1" applyFont="1" applyFill="1" applyBorder="1" applyAlignment="1" applyProtection="1">
      <alignment horizontal="center" vertical="center"/>
      <protection locked="0"/>
    </xf>
    <xf numFmtId="0" fontId="20" fillId="34" borderId="26" xfId="0" applyFont="1" applyFill="1" applyBorder="1" applyAlignment="1" applyProtection="1">
      <alignment vertical="center"/>
      <protection locked="0"/>
    </xf>
    <xf numFmtId="3" fontId="20" fillId="37" borderId="14" xfId="0" applyNumberFormat="1" applyFont="1" applyFill="1" applyBorder="1" applyAlignment="1">
      <alignment horizontal="center" vertical="center"/>
    </xf>
    <xf numFmtId="3" fontId="20" fillId="40" borderId="12"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9" borderId="0" xfId="0" applyFont="1" applyFill="1" applyAlignment="1">
      <alignment vertical="center"/>
    </xf>
    <xf numFmtId="0" fontId="4" fillId="33" borderId="0" xfId="0" applyFont="1" applyFill="1" applyAlignment="1">
      <alignment horizontal="right" vertical="center"/>
    </xf>
    <xf numFmtId="3" fontId="4" fillId="0" borderId="0" xfId="0" applyNumberFormat="1" applyFont="1" applyAlignment="1">
      <alignment vertical="center"/>
    </xf>
    <xf numFmtId="37" fontId="4" fillId="33" borderId="0" xfId="0" applyNumberFormat="1" applyFont="1" applyFill="1" applyAlignment="1" applyProtection="1">
      <alignment vertical="center"/>
      <protection locked="0"/>
    </xf>
    <xf numFmtId="0" fontId="4" fillId="33" borderId="2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37" fontId="4" fillId="33" borderId="1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locked="0"/>
    </xf>
    <xf numFmtId="183" fontId="4" fillId="33" borderId="12" xfId="0" applyNumberFormat="1" applyFont="1" applyFill="1" applyBorder="1" applyAlignment="1" applyProtection="1">
      <alignment horizontal="center" vertical="center"/>
      <protection/>
    </xf>
    <xf numFmtId="3" fontId="4" fillId="33" borderId="16" xfId="0" applyNumberFormat="1" applyFont="1" applyFill="1" applyBorder="1" applyAlignment="1" applyProtection="1">
      <alignment horizontal="center" vertical="center"/>
      <protection/>
    </xf>
    <xf numFmtId="183" fontId="4" fillId="33" borderId="16"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center" vertical="center"/>
      <protection/>
    </xf>
    <xf numFmtId="183" fontId="4" fillId="33" borderId="10"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3" fontId="4" fillId="33" borderId="10" xfId="0" applyNumberFormat="1" applyFont="1" applyFill="1" applyBorder="1" applyAlignment="1">
      <alignment horizontal="center" vertical="center"/>
    </xf>
    <xf numFmtId="0" fontId="0" fillId="33" borderId="0" xfId="0" applyFill="1" applyAlignment="1">
      <alignment horizontal="center" vertical="center"/>
    </xf>
    <xf numFmtId="0" fontId="4" fillId="33" borderId="10" xfId="0" applyFont="1" applyFill="1" applyBorder="1" applyAlignment="1">
      <alignment horizontal="center" vertical="center"/>
    </xf>
    <xf numFmtId="0" fontId="4" fillId="0" borderId="0" xfId="0" applyFont="1" applyAlignment="1">
      <alignment vertical="center" wrapText="1"/>
    </xf>
    <xf numFmtId="3" fontId="21"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4" borderId="0" xfId="0" applyFont="1" applyFill="1" applyAlignment="1" applyProtection="1">
      <alignment vertical="center"/>
      <protection/>
    </xf>
    <xf numFmtId="0" fontId="4" fillId="33"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9" fillId="0" borderId="0" xfId="429" applyFont="1">
      <alignment/>
      <protection/>
    </xf>
    <xf numFmtId="0" fontId="9"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4" borderId="0" xfId="429" applyNumberFormat="1" applyFont="1" applyFill="1" applyAlignment="1" applyProtection="1">
      <alignment horizontal="left" vertical="center"/>
      <protection locked="0"/>
    </xf>
    <xf numFmtId="184" fontId="20"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0" fillId="0" borderId="0" xfId="429" applyFont="1" applyAlignment="1">
      <alignment horizontal="left" vertical="center"/>
      <protection/>
    </xf>
    <xf numFmtId="185" fontId="20" fillId="0" borderId="0" xfId="429" applyNumberFormat="1" applyFont="1" applyAlignment="1">
      <alignment horizontal="left" vertical="center"/>
      <protection/>
    </xf>
    <xf numFmtId="0" fontId="4" fillId="34" borderId="0" xfId="429" applyFont="1" applyFill="1" applyAlignment="1" applyProtection="1">
      <alignment horizontal="left" vertical="center"/>
      <protection locked="0"/>
    </xf>
    <xf numFmtId="0" fontId="9" fillId="34" borderId="0" xfId="429" applyFont="1" applyFill="1" applyAlignment="1" applyProtection="1">
      <alignment horizontal="left" vertical="center"/>
      <protection locked="0"/>
    </xf>
    <xf numFmtId="0" fontId="4" fillId="0" borderId="0" xfId="449" applyFont="1" applyAlignment="1">
      <alignment vertical="center" wrapText="1"/>
      <protection/>
    </xf>
    <xf numFmtId="0" fontId="4" fillId="0" borderId="0" xfId="81" applyFont="1" applyAlignment="1">
      <alignment vertical="center" wrapText="1"/>
      <protection/>
    </xf>
    <xf numFmtId="3" fontId="4" fillId="37" borderId="10" xfId="0" applyNumberFormat="1" applyFont="1" applyFill="1" applyBorder="1" applyAlignment="1" applyProtection="1">
      <alignment vertical="center"/>
      <protection/>
    </xf>
    <xf numFmtId="0" fontId="4" fillId="33" borderId="0" xfId="0" applyFont="1" applyFill="1" applyAlignment="1">
      <alignment/>
    </xf>
    <xf numFmtId="0" fontId="27"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3" fontId="4" fillId="34" borderId="20" xfId="0" applyNumberFormat="1" applyFont="1" applyFill="1" applyBorder="1" applyAlignment="1" applyProtection="1">
      <alignment vertical="center"/>
      <protection locked="0"/>
    </xf>
    <xf numFmtId="3" fontId="16" fillId="40" borderId="20" xfId="0" applyNumberFormat="1" applyFont="1" applyFill="1" applyBorder="1" applyAlignment="1" applyProtection="1">
      <alignment horizontal="center" vertical="center"/>
      <protection/>
    </xf>
    <xf numFmtId="3" fontId="5" fillId="37" borderId="20" xfId="0" applyNumberFormat="1" applyFont="1" applyFill="1" applyBorder="1" applyAlignment="1" applyProtection="1">
      <alignment vertical="center"/>
      <protection/>
    </xf>
    <xf numFmtId="3" fontId="4" fillId="37" borderId="20" xfId="0" applyNumberFormat="1" applyFont="1" applyFill="1" applyBorder="1" applyAlignment="1" applyProtection="1">
      <alignment vertical="center"/>
      <protection/>
    </xf>
    <xf numFmtId="1" fontId="4" fillId="33" borderId="22" xfId="0" applyNumberFormat="1" applyFont="1" applyFill="1" applyBorder="1" applyAlignment="1" applyProtection="1">
      <alignment horizontal="center" vertical="center"/>
      <protection/>
    </xf>
    <xf numFmtId="37" fontId="4" fillId="33" borderId="22" xfId="0" applyNumberFormat="1" applyFont="1" applyFill="1" applyBorder="1" applyAlignment="1" applyProtection="1">
      <alignment horizontal="center" vertical="center"/>
      <protection/>
    </xf>
    <xf numFmtId="0" fontId="4" fillId="33" borderId="24" xfId="0" applyNumberFormat="1" applyFont="1" applyFill="1" applyBorder="1" applyAlignment="1" applyProtection="1">
      <alignment horizontal="center" vertical="center"/>
      <protection/>
    </xf>
    <xf numFmtId="3" fontId="4" fillId="33" borderId="20" xfId="0" applyNumberFormat="1" applyFont="1" applyFill="1" applyBorder="1" applyAlignment="1" applyProtection="1">
      <alignment vertical="center"/>
      <protection/>
    </xf>
    <xf numFmtId="3" fontId="4" fillId="37" borderId="20" xfId="0" applyNumberFormat="1" applyFont="1" applyFill="1" applyBorder="1" applyAlignment="1" applyProtection="1">
      <alignment horizontal="right" vertical="center"/>
      <protection/>
    </xf>
    <xf numFmtId="3" fontId="4" fillId="34" borderId="20" xfId="0" applyNumberFormat="1" applyFont="1" applyFill="1" applyBorder="1" applyAlignment="1" applyProtection="1">
      <alignment horizontal="right" vertical="center"/>
      <protection locked="0"/>
    </xf>
    <xf numFmtId="3" fontId="5" fillId="37" borderId="20" xfId="0" applyNumberFormat="1" applyFont="1" applyFill="1" applyBorder="1" applyAlignment="1" applyProtection="1">
      <alignment horizontal="right" vertical="center"/>
      <protection/>
    </xf>
    <xf numFmtId="3" fontId="4" fillId="33" borderId="20" xfId="0" applyNumberFormat="1" applyFont="1" applyFill="1" applyBorder="1" applyAlignment="1" applyProtection="1">
      <alignment horizontal="right" vertical="center"/>
      <protection/>
    </xf>
    <xf numFmtId="1" fontId="4" fillId="33" borderId="24" xfId="0" applyNumberFormat="1" applyFont="1" applyFill="1" applyBorder="1" applyAlignment="1" applyProtection="1">
      <alignment horizontal="center" vertical="center"/>
      <protection/>
    </xf>
    <xf numFmtId="3" fontId="4" fillId="33" borderId="20" xfId="42" applyNumberFormat="1" applyFont="1" applyFill="1" applyBorder="1" applyAlignment="1" applyProtection="1">
      <alignment horizontal="right" vertical="center"/>
      <protection/>
    </xf>
    <xf numFmtId="14" fontId="4" fillId="34" borderId="12" xfId="0" applyNumberFormat="1" applyFont="1" applyFill="1" applyBorder="1" applyAlignment="1" applyProtection="1">
      <alignment horizontal="left" vertical="center"/>
      <protection locked="0"/>
    </xf>
    <xf numFmtId="14" fontId="4" fillId="34" borderId="12" xfId="0" applyNumberFormat="1" applyFont="1" applyFill="1" applyBorder="1" applyAlignment="1" applyProtection="1">
      <alignment vertical="center"/>
      <protection locked="0"/>
    </xf>
    <xf numFmtId="183" fontId="4" fillId="34" borderId="12" xfId="0" applyNumberFormat="1" applyFont="1" applyFill="1" applyBorder="1" applyAlignment="1" applyProtection="1">
      <alignment vertical="center"/>
      <protection locked="0"/>
    </xf>
    <xf numFmtId="0" fontId="18" fillId="33" borderId="0" xfId="0" applyFont="1" applyFill="1" applyAlignment="1" applyProtection="1">
      <alignment horizontal="center" vertical="center"/>
      <protection/>
    </xf>
    <xf numFmtId="3" fontId="16" fillId="40" borderId="12" xfId="0" applyNumberFormat="1" applyFont="1" applyFill="1" applyBorder="1" applyAlignment="1" applyProtection="1">
      <alignment horizontal="center" vertical="center"/>
      <protection/>
    </xf>
    <xf numFmtId="37" fontId="4" fillId="33" borderId="12" xfId="0" applyNumberFormat="1"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37" fontId="5" fillId="33" borderId="0" xfId="0" applyNumberFormat="1" applyFont="1" applyFill="1" applyBorder="1" applyAlignment="1" applyProtection="1">
      <alignment vertical="center"/>
      <protection/>
    </xf>
    <xf numFmtId="0" fontId="4" fillId="34" borderId="12" xfId="0" applyFont="1" applyFill="1" applyBorder="1" applyAlignment="1" applyProtection="1">
      <alignment horizontal="center" vertical="center"/>
      <protection locked="0"/>
    </xf>
    <xf numFmtId="187" fontId="25" fillId="40" borderId="15" xfId="0" applyNumberFormat="1" applyFont="1" applyFill="1" applyBorder="1" applyAlignment="1" applyProtection="1">
      <alignment horizontal="center" vertical="center"/>
      <protection/>
    </xf>
    <xf numFmtId="0" fontId="8" fillId="40" borderId="10" xfId="0" applyFont="1" applyFill="1" applyBorder="1" applyAlignment="1" applyProtection="1">
      <alignment vertical="center"/>
      <protection/>
    </xf>
    <xf numFmtId="0" fontId="4" fillId="40" borderId="10" xfId="0" applyFont="1" applyFill="1" applyBorder="1" applyAlignment="1" applyProtection="1">
      <alignment vertical="center"/>
      <protection/>
    </xf>
    <xf numFmtId="0" fontId="25" fillId="40" borderId="24" xfId="0" applyFont="1" applyFill="1" applyBorder="1" applyAlignment="1" applyProtection="1">
      <alignment vertical="center"/>
      <protection/>
    </xf>
    <xf numFmtId="0" fontId="25" fillId="33" borderId="15" xfId="0" applyFont="1" applyFill="1" applyBorder="1" applyAlignment="1" applyProtection="1">
      <alignment horizontal="center" vertical="center"/>
      <protection/>
    </xf>
    <xf numFmtId="187" fontId="8" fillId="34" borderId="12" xfId="0" applyNumberFormat="1" applyFont="1" applyFill="1" applyBorder="1" applyAlignment="1" applyProtection="1">
      <alignment horizontal="center" vertical="center"/>
      <protection locked="0"/>
    </xf>
    <xf numFmtId="0" fontId="8" fillId="33" borderId="25" xfId="0" applyFont="1" applyFill="1" applyBorder="1" applyAlignment="1" applyProtection="1">
      <alignment horizontal="left" vertical="center"/>
      <protection/>
    </xf>
    <xf numFmtId="187" fontId="8" fillId="33" borderId="26" xfId="0" applyNumberFormat="1" applyFont="1" applyFill="1" applyBorder="1" applyAlignment="1" applyProtection="1">
      <alignment horizontal="center" vertical="center"/>
      <protection/>
    </xf>
    <xf numFmtId="0" fontId="8" fillId="33"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33" borderId="17" xfId="0" applyFill="1" applyBorder="1" applyAlignment="1" applyProtection="1">
      <alignment vertical="center"/>
      <protection/>
    </xf>
    <xf numFmtId="0" fontId="23" fillId="33" borderId="11" xfId="0" applyFont="1" applyFill="1" applyBorder="1" applyAlignment="1" applyProtection="1">
      <alignment horizontal="center" vertical="center"/>
      <protection/>
    </xf>
    <xf numFmtId="0" fontId="8" fillId="33" borderId="11" xfId="0" applyFont="1" applyFill="1" applyBorder="1" applyAlignment="1" applyProtection="1">
      <alignment horizontal="left" vertical="center"/>
      <protection/>
    </xf>
    <xf numFmtId="183" fontId="25" fillId="33" borderId="20" xfId="0" applyNumberFormat="1" applyFont="1" applyFill="1" applyBorder="1" applyAlignment="1" applyProtection="1">
      <alignment horizontal="center" vertical="center"/>
      <protection/>
    </xf>
    <xf numFmtId="0" fontId="4" fillId="40" borderId="15" xfId="0" applyFont="1" applyFill="1" applyBorder="1" applyAlignment="1" applyProtection="1">
      <alignment vertical="center"/>
      <protection/>
    </xf>
    <xf numFmtId="0" fontId="25" fillId="40" borderId="10" xfId="0" applyFont="1" applyFill="1" applyBorder="1" applyAlignment="1" applyProtection="1">
      <alignment vertical="center"/>
      <protection/>
    </xf>
    <xf numFmtId="187" fontId="25" fillId="40" borderId="24" xfId="0" applyNumberFormat="1" applyFont="1" applyFill="1" applyBorder="1" applyAlignment="1" applyProtection="1">
      <alignment horizontal="center" vertical="center"/>
      <protection/>
    </xf>
    <xf numFmtId="187" fontId="8" fillId="33" borderId="25" xfId="0" applyNumberFormat="1" applyFont="1" applyFill="1" applyBorder="1" applyAlignment="1" applyProtection="1">
      <alignment vertical="center"/>
      <protection/>
    </xf>
    <xf numFmtId="187" fontId="8" fillId="33" borderId="24" xfId="0" applyNumberFormat="1" applyFont="1" applyFill="1" applyBorder="1" applyAlignment="1" applyProtection="1">
      <alignment horizontal="center" vertical="center"/>
      <protection/>
    </xf>
    <xf numFmtId="0" fontId="8" fillId="33" borderId="0" xfId="0" applyFont="1" applyFill="1" applyBorder="1" applyAlignment="1" applyProtection="1">
      <alignment vertical="center"/>
      <protection/>
    </xf>
    <xf numFmtId="0" fontId="4" fillId="33" borderId="26" xfId="0" applyFont="1" applyFill="1" applyBorder="1" applyAlignment="1" applyProtection="1">
      <alignment vertical="center"/>
      <protection/>
    </xf>
    <xf numFmtId="0" fontId="4" fillId="34" borderId="20" xfId="0" applyNumberFormat="1" applyFont="1" applyFill="1" applyBorder="1" applyAlignment="1" applyProtection="1">
      <alignment horizontal="left" vertical="center"/>
      <protection locked="0"/>
    </xf>
    <xf numFmtId="0" fontId="8" fillId="33" borderId="0" xfId="0" applyFont="1" applyFill="1" applyBorder="1" applyAlignment="1" applyProtection="1">
      <alignment horizontal="left" vertical="center"/>
      <protection/>
    </xf>
    <xf numFmtId="187" fontId="8" fillId="33" borderId="25" xfId="0" applyNumberFormat="1" applyFont="1" applyFill="1" applyBorder="1" applyAlignment="1" applyProtection="1">
      <alignment horizontal="center" vertical="center"/>
      <protection/>
    </xf>
    <xf numFmtId="0" fontId="5" fillId="33" borderId="0" xfId="83" applyFont="1" applyFill="1" applyAlignment="1" applyProtection="1">
      <alignment vertical="center"/>
      <protection/>
    </xf>
    <xf numFmtId="0" fontId="4" fillId="33" borderId="0" xfId="95" applyFont="1" applyFill="1" applyAlignment="1" applyProtection="1">
      <alignment horizontal="right" vertical="center"/>
      <protection/>
    </xf>
    <xf numFmtId="183" fontId="4" fillId="33" borderId="0" xfId="79" applyNumberFormat="1" applyFont="1" applyFill="1" applyAlignment="1" applyProtection="1">
      <alignment horizontal="center" vertical="center"/>
      <protection/>
    </xf>
    <xf numFmtId="37" fontId="4" fillId="33" borderId="0" xfId="79" applyNumberFormat="1" applyFont="1" applyFill="1" applyAlignment="1" applyProtection="1">
      <alignment horizontal="right" vertical="center"/>
      <protection/>
    </xf>
    <xf numFmtId="0" fontId="14" fillId="33" borderId="0" xfId="79" applyFont="1" applyFill="1" applyAlignment="1" applyProtection="1">
      <alignment horizontal="center" vertical="center"/>
      <protection/>
    </xf>
    <xf numFmtId="0" fontId="4" fillId="33" borderId="25" xfId="0" applyFont="1" applyFill="1" applyBorder="1" applyAlignment="1" applyProtection="1">
      <alignment vertical="center"/>
      <protection/>
    </xf>
    <xf numFmtId="0" fontId="20" fillId="33" borderId="0" xfId="0" applyFont="1" applyFill="1" applyBorder="1" applyAlignment="1" applyProtection="1">
      <alignment horizontal="left" vertical="center"/>
      <protection/>
    </xf>
    <xf numFmtId="0" fontId="20" fillId="33" borderId="0" xfId="0" applyFont="1" applyFill="1" applyBorder="1" applyAlignment="1" applyProtection="1">
      <alignment vertical="center"/>
      <protection/>
    </xf>
    <xf numFmtId="0" fontId="20" fillId="40" borderId="10" xfId="0" applyFont="1" applyFill="1" applyBorder="1" applyAlignment="1" applyProtection="1">
      <alignment vertical="center"/>
      <protection/>
    </xf>
    <xf numFmtId="187" fontId="8" fillId="40" borderId="24" xfId="0" applyNumberFormat="1" applyFont="1" applyFill="1" applyBorder="1" applyAlignment="1" applyProtection="1">
      <alignment horizontal="center" vertical="center"/>
      <protection/>
    </xf>
    <xf numFmtId="0" fontId="8" fillId="40" borderId="20" xfId="0" applyFont="1" applyFill="1" applyBorder="1" applyAlignment="1" applyProtection="1">
      <alignment horizontal="center" vertical="center"/>
      <protection locked="0"/>
    </xf>
    <xf numFmtId="0" fontId="8" fillId="40" borderId="11" xfId="0" applyFont="1" applyFill="1" applyBorder="1" applyAlignment="1" applyProtection="1">
      <alignment vertical="center"/>
      <protection locked="0"/>
    </xf>
    <xf numFmtId="0" fontId="4" fillId="40" borderId="17" xfId="0" applyFont="1" applyFill="1" applyBorder="1" applyAlignment="1" applyProtection="1">
      <alignment vertical="center"/>
      <protection locked="0"/>
    </xf>
    <xf numFmtId="0" fontId="4" fillId="0" borderId="0" xfId="95" applyFont="1" applyAlignment="1">
      <alignment vertical="center" wrapText="1"/>
      <protection/>
    </xf>
    <xf numFmtId="0" fontId="4" fillId="0" borderId="0" xfId="79" applyFont="1" applyAlignment="1">
      <alignment vertical="center" wrapText="1"/>
      <protection/>
    </xf>
    <xf numFmtId="3" fontId="4" fillId="41" borderId="12" xfId="0" applyNumberFormat="1" applyFont="1" applyFill="1" applyBorder="1" applyAlignment="1" applyProtection="1">
      <alignment vertical="center"/>
      <protection locked="0"/>
    </xf>
    <xf numFmtId="3" fontId="4" fillId="41" borderId="20" xfId="0" applyNumberFormat="1" applyFont="1" applyFill="1" applyBorder="1" applyAlignment="1" applyProtection="1">
      <alignment vertical="center"/>
      <protection locked="0"/>
    </xf>
    <xf numFmtId="37" fontId="4" fillId="41" borderId="12" xfId="0" applyNumberFormat="1" applyFont="1" applyFill="1" applyBorder="1" applyAlignment="1" applyProtection="1">
      <alignment vertical="center"/>
      <protection locked="0"/>
    </xf>
    <xf numFmtId="0" fontId="29" fillId="0" borderId="0" xfId="0" applyFont="1" applyAlignment="1">
      <alignment vertical="center"/>
    </xf>
    <xf numFmtId="0" fontId="29" fillId="33" borderId="0" xfId="0" applyFont="1" applyFill="1" applyAlignment="1" applyProtection="1">
      <alignment vertical="center"/>
      <protection/>
    </xf>
    <xf numFmtId="0" fontId="29" fillId="33" borderId="0" xfId="0" applyFont="1" applyFill="1" applyAlignment="1" applyProtection="1">
      <alignment vertical="center"/>
      <protection locked="0"/>
    </xf>
    <xf numFmtId="0" fontId="31" fillId="33" borderId="0" xfId="0" applyFont="1" applyFill="1" applyAlignment="1" applyProtection="1">
      <alignment horizontal="center" vertical="center"/>
      <protection/>
    </xf>
    <xf numFmtId="37" fontId="29" fillId="33" borderId="0" xfId="0" applyNumberFormat="1" applyFont="1" applyFill="1" applyAlignment="1" applyProtection="1">
      <alignment horizontal="centerContinuous" vertical="center"/>
      <protection/>
    </xf>
    <xf numFmtId="0" fontId="29" fillId="33" borderId="0" xfId="0" applyFont="1" applyFill="1" applyAlignment="1" applyProtection="1">
      <alignment horizontal="centerContinuous" vertical="center"/>
      <protection/>
    </xf>
    <xf numFmtId="37" fontId="28" fillId="33" borderId="0" xfId="0" applyNumberFormat="1" applyFont="1" applyFill="1" applyAlignment="1" applyProtection="1">
      <alignment horizontal="centerContinuous" vertical="center"/>
      <protection/>
    </xf>
    <xf numFmtId="0" fontId="29" fillId="33" borderId="0" xfId="0" applyFont="1" applyFill="1" applyAlignment="1" applyProtection="1">
      <alignment horizontal="fill" vertical="center"/>
      <protection/>
    </xf>
    <xf numFmtId="0" fontId="29" fillId="33" borderId="13" xfId="0" applyFont="1" applyFill="1" applyBorder="1" applyAlignment="1" applyProtection="1">
      <alignment vertical="center"/>
      <protection/>
    </xf>
    <xf numFmtId="0" fontId="29" fillId="33" borderId="20" xfId="0" applyFont="1" applyFill="1" applyBorder="1" applyAlignment="1" applyProtection="1">
      <alignment horizontal="centerContinuous" vertical="center"/>
      <protection/>
    </xf>
    <xf numFmtId="0" fontId="29" fillId="33" borderId="17" xfId="0" applyFont="1" applyFill="1" applyBorder="1" applyAlignment="1" applyProtection="1">
      <alignment horizontal="centerContinuous" vertical="center"/>
      <protection/>
    </xf>
    <xf numFmtId="0" fontId="29" fillId="33" borderId="12" xfId="0" applyFont="1" applyFill="1" applyBorder="1" applyAlignment="1" applyProtection="1">
      <alignment horizontal="centerContinuous" vertical="center"/>
      <protection/>
    </xf>
    <xf numFmtId="0" fontId="29" fillId="33" borderId="11" xfId="0" applyFont="1" applyFill="1" applyBorder="1" applyAlignment="1" applyProtection="1">
      <alignment horizontal="centerContinuous" vertical="center"/>
      <protection/>
    </xf>
    <xf numFmtId="0" fontId="29" fillId="33" borderId="25" xfId="0" applyFont="1" applyFill="1" applyBorder="1" applyAlignment="1" applyProtection="1">
      <alignment/>
      <protection/>
    </xf>
    <xf numFmtId="0" fontId="29" fillId="33" borderId="0" xfId="0" applyFont="1" applyFill="1" applyBorder="1" applyAlignment="1" applyProtection="1">
      <alignment/>
      <protection/>
    </xf>
    <xf numFmtId="187" fontId="29" fillId="33" borderId="26" xfId="0" applyNumberFormat="1" applyFont="1" applyFill="1" applyBorder="1" applyAlignment="1" applyProtection="1">
      <alignment horizontal="center"/>
      <protection/>
    </xf>
    <xf numFmtId="0" fontId="29" fillId="33" borderId="19" xfId="0" applyFont="1" applyFill="1" applyBorder="1" applyAlignment="1" applyProtection="1">
      <alignment vertical="center"/>
      <protection/>
    </xf>
    <xf numFmtId="0" fontId="29" fillId="33" borderId="19" xfId="0" applyFont="1" applyFill="1" applyBorder="1" applyAlignment="1" applyProtection="1">
      <alignment horizontal="center" vertical="center"/>
      <protection/>
    </xf>
    <xf numFmtId="0" fontId="29" fillId="33" borderId="19" xfId="0" applyFont="1" applyFill="1" applyBorder="1" applyAlignment="1" applyProtection="1">
      <alignment horizontal="center" vertical="center"/>
      <protection locked="0"/>
    </xf>
    <xf numFmtId="0" fontId="29" fillId="33" borderId="24" xfId="0" applyFont="1" applyFill="1" applyBorder="1" applyAlignment="1" applyProtection="1">
      <alignment/>
      <protection/>
    </xf>
    <xf numFmtId="0" fontId="29" fillId="33" borderId="10" xfId="0" applyFont="1" applyFill="1" applyBorder="1" applyAlignment="1" applyProtection="1">
      <alignment/>
      <protection/>
    </xf>
    <xf numFmtId="187" fontId="29" fillId="40" borderId="15" xfId="0" applyNumberFormat="1" applyFont="1" applyFill="1" applyBorder="1" applyAlignment="1" applyProtection="1">
      <alignment horizontal="center"/>
      <protection/>
    </xf>
    <xf numFmtId="0" fontId="28" fillId="33" borderId="14" xfId="0" applyFont="1" applyFill="1" applyBorder="1" applyAlignment="1" applyProtection="1">
      <alignment horizontal="center" vertical="center"/>
      <protection/>
    </xf>
    <xf numFmtId="0" fontId="29" fillId="33" borderId="14" xfId="0" applyFont="1" applyFill="1" applyBorder="1" applyAlignment="1" applyProtection="1">
      <alignment horizontal="center" vertical="center"/>
      <protection/>
    </xf>
    <xf numFmtId="0" fontId="29" fillId="33" borderId="14" xfId="0" applyFont="1" applyFill="1" applyBorder="1" applyAlignment="1" applyProtection="1">
      <alignment horizontal="center" vertical="center"/>
      <protection locked="0"/>
    </xf>
    <xf numFmtId="0" fontId="29" fillId="0" borderId="0" xfId="0" applyFont="1" applyAlignment="1" applyProtection="1">
      <alignment vertical="center"/>
      <protection locked="0"/>
    </xf>
    <xf numFmtId="0" fontId="29" fillId="33" borderId="12" xfId="0" applyFont="1" applyFill="1" applyBorder="1" applyAlignment="1" applyProtection="1">
      <alignment vertical="center"/>
      <protection/>
    </xf>
    <xf numFmtId="37" fontId="29" fillId="33" borderId="12" xfId="0" applyNumberFormat="1" applyFont="1" applyFill="1" applyBorder="1" applyAlignment="1" applyProtection="1">
      <alignment vertical="center"/>
      <protection/>
    </xf>
    <xf numFmtId="164" fontId="29" fillId="33" borderId="12" xfId="0" applyNumberFormat="1" applyFont="1" applyFill="1" applyBorder="1" applyAlignment="1" applyProtection="1">
      <alignment vertical="center"/>
      <protection/>
    </xf>
    <xf numFmtId="0" fontId="29" fillId="33" borderId="26" xfId="0" applyFont="1" applyFill="1" applyBorder="1" applyAlignment="1" applyProtection="1">
      <alignment/>
      <protection/>
    </xf>
    <xf numFmtId="182" fontId="29" fillId="33" borderId="26" xfId="0" applyNumberFormat="1" applyFont="1" applyFill="1" applyBorder="1" applyAlignment="1" applyProtection="1">
      <alignment horizontal="center"/>
      <protection/>
    </xf>
    <xf numFmtId="0" fontId="29" fillId="33" borderId="22" xfId="0" applyFont="1" applyFill="1" applyBorder="1" applyAlignment="1" applyProtection="1">
      <alignment vertical="center"/>
      <protection/>
    </xf>
    <xf numFmtId="37" fontId="29" fillId="33" borderId="27" xfId="0" applyNumberFormat="1" applyFont="1" applyFill="1" applyBorder="1" applyAlignment="1" applyProtection="1">
      <alignment vertical="center"/>
      <protection/>
    </xf>
    <xf numFmtId="0" fontId="29" fillId="33" borderId="27" xfId="0" applyFont="1" applyFill="1" applyBorder="1" applyAlignment="1" applyProtection="1">
      <alignment vertical="center"/>
      <protection/>
    </xf>
    <xf numFmtId="0" fontId="29" fillId="0" borderId="0" xfId="0" applyFont="1" applyAlignment="1" applyProtection="1">
      <alignment/>
      <protection/>
    </xf>
    <xf numFmtId="0" fontId="29" fillId="33" borderId="12" xfId="0" applyFont="1" applyFill="1" applyBorder="1" applyAlignment="1" applyProtection="1">
      <alignment horizontal="left" vertical="center"/>
      <protection/>
    </xf>
    <xf numFmtId="37" fontId="29" fillId="37" borderId="14" xfId="0" applyNumberFormat="1" applyFont="1" applyFill="1" applyBorder="1" applyAlignment="1" applyProtection="1">
      <alignment vertical="center"/>
      <protection/>
    </xf>
    <xf numFmtId="164" fontId="29" fillId="37" borderId="14" xfId="0" applyNumberFormat="1" applyFont="1" applyFill="1" applyBorder="1" applyAlignment="1" applyProtection="1">
      <alignment vertical="center"/>
      <protection/>
    </xf>
    <xf numFmtId="37" fontId="29" fillId="37" borderId="12" xfId="0" applyNumberFormat="1" applyFont="1" applyFill="1" applyBorder="1" applyAlignment="1" applyProtection="1">
      <alignment vertical="center"/>
      <protection/>
    </xf>
    <xf numFmtId="164" fontId="29" fillId="33" borderId="13" xfId="0" applyNumberFormat="1" applyFont="1" applyFill="1" applyBorder="1" applyAlignment="1" applyProtection="1">
      <alignment vertical="center"/>
      <protection/>
    </xf>
    <xf numFmtId="37" fontId="29" fillId="37" borderId="17" xfId="0" applyNumberFormat="1" applyFont="1" applyFill="1" applyBorder="1" applyAlignment="1" applyProtection="1">
      <alignment vertical="center"/>
      <protection/>
    </xf>
    <xf numFmtId="37" fontId="29" fillId="33" borderId="0" xfId="0" applyNumberFormat="1" applyFont="1" applyFill="1" applyBorder="1" applyAlignment="1" applyProtection="1">
      <alignment vertical="center"/>
      <protection/>
    </xf>
    <xf numFmtId="164" fontId="29" fillId="33" borderId="0" xfId="0" applyNumberFormat="1" applyFont="1" applyFill="1" applyBorder="1" applyAlignment="1" applyProtection="1">
      <alignment vertical="center"/>
      <protection/>
    </xf>
    <xf numFmtId="3" fontId="29" fillId="37" borderId="16" xfId="0" applyNumberFormat="1" applyFont="1" applyFill="1" applyBorder="1" applyAlignment="1" applyProtection="1">
      <alignment vertical="center"/>
      <protection/>
    </xf>
    <xf numFmtId="164" fontId="29" fillId="33" borderId="19" xfId="0" applyNumberFormat="1" applyFont="1" applyFill="1" applyBorder="1" applyAlignment="1" applyProtection="1">
      <alignment vertical="center"/>
      <protection/>
    </xf>
    <xf numFmtId="3" fontId="29" fillId="37" borderId="28" xfId="0" applyNumberFormat="1" applyFont="1" applyFill="1" applyBorder="1" applyAlignment="1" applyProtection="1">
      <alignment vertical="center"/>
      <protection/>
    </xf>
    <xf numFmtId="37" fontId="29" fillId="33" borderId="15" xfId="0" applyNumberFormat="1" applyFont="1" applyFill="1" applyBorder="1" applyAlignment="1" applyProtection="1">
      <alignment vertical="center"/>
      <protection/>
    </xf>
    <xf numFmtId="187" fontId="29" fillId="33" borderId="15" xfId="0" applyNumberFormat="1" applyFont="1" applyFill="1" applyBorder="1" applyAlignment="1" applyProtection="1">
      <alignment horizontal="center"/>
      <protection/>
    </xf>
    <xf numFmtId="0" fontId="29" fillId="40" borderId="24" xfId="0" applyFont="1" applyFill="1" applyBorder="1" applyAlignment="1" applyProtection="1">
      <alignment/>
      <protection/>
    </xf>
    <xf numFmtId="0" fontId="29" fillId="40" borderId="10" xfId="0" applyFont="1" applyFill="1" applyBorder="1" applyAlignment="1" applyProtection="1">
      <alignment/>
      <protection/>
    </xf>
    <xf numFmtId="0" fontId="29" fillId="33" borderId="0" xfId="0" applyFont="1" applyFill="1" applyBorder="1" applyAlignment="1" applyProtection="1">
      <alignment horizontal="left" vertical="center"/>
      <protection/>
    </xf>
    <xf numFmtId="0" fontId="29" fillId="33" borderId="0" xfId="0" applyFont="1" applyFill="1" applyBorder="1" applyAlignment="1" applyProtection="1">
      <alignment vertical="center"/>
      <protection/>
    </xf>
    <xf numFmtId="0" fontId="29" fillId="0" borderId="0" xfId="0" applyFont="1" applyFill="1" applyBorder="1" applyAlignment="1" applyProtection="1">
      <alignment/>
      <protection/>
    </xf>
    <xf numFmtId="0" fontId="29" fillId="33" borderId="0" xfId="0" applyFont="1" applyFill="1" applyAlignment="1" applyProtection="1">
      <alignment horizontal="left" vertical="center"/>
      <protection/>
    </xf>
    <xf numFmtId="37" fontId="29" fillId="37" borderId="12" xfId="0" applyNumberFormat="1" applyFont="1" applyFill="1" applyBorder="1" applyAlignment="1" applyProtection="1">
      <alignment horizontal="center" vertical="center"/>
      <protection/>
    </xf>
    <xf numFmtId="37" fontId="29" fillId="33" borderId="0" xfId="0" applyNumberFormat="1" applyFont="1" applyFill="1" applyAlignment="1" applyProtection="1">
      <alignment vertical="center"/>
      <protection/>
    </xf>
    <xf numFmtId="183" fontId="29" fillId="34" borderId="26" xfId="0" applyNumberFormat="1" applyFont="1" applyFill="1" applyBorder="1" applyAlignment="1" applyProtection="1">
      <alignment horizontal="center"/>
      <protection locked="0"/>
    </xf>
    <xf numFmtId="0" fontId="29" fillId="33" borderId="0" xfId="0" applyFont="1" applyFill="1" applyAlignment="1" applyProtection="1">
      <alignment horizontal="left" vertical="center"/>
      <protection locked="0"/>
    </xf>
    <xf numFmtId="37" fontId="29" fillId="37" borderId="16" xfId="0" applyNumberFormat="1" applyFont="1" applyFill="1" applyBorder="1" applyAlignment="1" applyProtection="1">
      <alignment horizontal="center" vertical="center"/>
      <protection/>
    </xf>
    <xf numFmtId="165" fontId="29" fillId="33" borderId="0" xfId="0" applyNumberFormat="1" applyFont="1" applyFill="1" applyAlignment="1" applyProtection="1">
      <alignment vertical="center"/>
      <protection locked="0"/>
    </xf>
    <xf numFmtId="165" fontId="29" fillId="33" borderId="0" xfId="0" applyNumberFormat="1" applyFont="1" applyFill="1" applyAlignment="1" applyProtection="1">
      <alignment vertical="center"/>
      <protection/>
    </xf>
    <xf numFmtId="0" fontId="29" fillId="33" borderId="0" xfId="0" applyFont="1" applyFill="1" applyAlignment="1">
      <alignment vertical="center"/>
    </xf>
    <xf numFmtId="0" fontId="29" fillId="33" borderId="0" xfId="0" applyFont="1" applyFill="1" applyAlignment="1" applyProtection="1">
      <alignment horizontal="centerContinuous" vertical="center"/>
      <protection locked="0"/>
    </xf>
    <xf numFmtId="0" fontId="29" fillId="33" borderId="0" xfId="0" applyFont="1" applyFill="1" applyAlignment="1" applyProtection="1">
      <alignment horizontal="right" vertical="center"/>
      <protection/>
    </xf>
    <xf numFmtId="0" fontId="29" fillId="33" borderId="0" xfId="0" applyFont="1" applyFill="1" applyAlignment="1" applyProtection="1">
      <alignment horizontal="center"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4" fillId="33"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3" fillId="33" borderId="0" xfId="0" applyFont="1" applyFill="1" applyAlignment="1" applyProtection="1">
      <alignment horizontal="center" vertical="center"/>
      <protection/>
    </xf>
    <xf numFmtId="0" fontId="1" fillId="0" borderId="0" xfId="0" applyFont="1" applyAlignment="1">
      <alignment horizontal="center" vertical="center"/>
    </xf>
    <xf numFmtId="37" fontId="5" fillId="33"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3"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3" fillId="33"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16" fillId="33" borderId="0" xfId="0" applyFont="1" applyFill="1" applyBorder="1" applyAlignment="1">
      <alignment vertical="center"/>
    </xf>
    <xf numFmtId="0" fontId="17" fillId="0" borderId="0" xfId="0" applyFont="1" applyAlignment="1">
      <alignment vertical="center"/>
    </xf>
    <xf numFmtId="0" fontId="4" fillId="0" borderId="0" xfId="429" applyFont="1" applyAlignment="1">
      <alignment horizontal="left" vertical="center" wrapText="1"/>
      <protection/>
    </xf>
    <xf numFmtId="0" fontId="9" fillId="0" borderId="0" xfId="429" applyFont="1" applyAlignment="1">
      <alignment horizontal="left" vertical="center" wrapText="1"/>
      <protection/>
    </xf>
    <xf numFmtId="0" fontId="13" fillId="0" borderId="0" xfId="429" applyFont="1" applyAlignment="1">
      <alignment horizontal="left" vertical="center"/>
      <protection/>
    </xf>
    <xf numFmtId="0" fontId="5" fillId="33" borderId="0" xfId="0" applyFont="1" applyFill="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0" fillId="0" borderId="17" xfId="0" applyBorder="1" applyAlignment="1">
      <alignment vertical="center"/>
    </xf>
    <xf numFmtId="0" fontId="4" fillId="33" borderId="0" xfId="0" applyFont="1" applyFill="1" applyAlignment="1" applyProtection="1">
      <alignment horizontal="center" vertical="center"/>
      <protection/>
    </xf>
    <xf numFmtId="37" fontId="5" fillId="33" borderId="0" xfId="0" applyNumberFormat="1"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4" fillId="33"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3" borderId="18" xfId="95" applyNumberFormat="1" applyFont="1" applyFill="1" applyBorder="1" applyAlignment="1" applyProtection="1">
      <alignment horizontal="right" vertical="center"/>
      <protection/>
    </xf>
    <xf numFmtId="0" fontId="0" fillId="0" borderId="23" xfId="95" applyBorder="1" applyAlignment="1">
      <alignment horizontal="right" vertical="center"/>
      <protection/>
    </xf>
    <xf numFmtId="0" fontId="4" fillId="33" borderId="0" xfId="95" applyFont="1" applyFill="1" applyAlignment="1" applyProtection="1">
      <alignment horizontal="right" vertical="center"/>
      <protection/>
    </xf>
    <xf numFmtId="0" fontId="4" fillId="0" borderId="26" xfId="95" applyFont="1" applyBorder="1" applyAlignment="1">
      <alignment horizontal="right" vertical="center"/>
      <protection/>
    </xf>
    <xf numFmtId="0" fontId="23" fillId="33" borderId="22" xfId="0" applyFont="1" applyFill="1" applyBorder="1" applyAlignment="1" applyProtection="1">
      <alignment horizontal="center" vertical="center"/>
      <protection/>
    </xf>
    <xf numFmtId="0" fontId="24" fillId="0" borderId="18" xfId="0" applyFont="1" applyBorder="1" applyAlignment="1" applyProtection="1">
      <alignment horizontal="center" vertical="center"/>
      <protection/>
    </xf>
    <xf numFmtId="0" fontId="0" fillId="0" borderId="23" xfId="0" applyBorder="1" applyAlignment="1" applyProtection="1">
      <alignment vertical="center"/>
      <protection/>
    </xf>
    <xf numFmtId="0" fontId="23" fillId="33" borderId="18" xfId="0" applyFont="1" applyFill="1" applyBorder="1" applyAlignment="1" applyProtection="1">
      <alignment horizontal="center" vertical="center"/>
      <protection/>
    </xf>
    <xf numFmtId="0" fontId="26" fillId="33" borderId="22" xfId="0" applyFont="1" applyFill="1" applyBorder="1" applyAlignment="1" applyProtection="1">
      <alignment horizontal="center" vertical="center"/>
      <protection/>
    </xf>
    <xf numFmtId="0" fontId="15" fillId="0" borderId="18"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5" fillId="33" borderId="20" xfId="0" applyFont="1" applyFill="1" applyBorder="1" applyAlignment="1">
      <alignment vertical="center"/>
    </xf>
    <xf numFmtId="0" fontId="5" fillId="33" borderId="17" xfId="0" applyFont="1" applyFill="1" applyBorder="1" applyAlignment="1">
      <alignment vertical="center"/>
    </xf>
    <xf numFmtId="0" fontId="29" fillId="33" borderId="10" xfId="0" applyFont="1" applyFill="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30" fillId="33" borderId="22" xfId="0" applyFont="1" applyFill="1" applyBorder="1" applyAlignment="1" applyProtection="1">
      <alignment horizontal="center"/>
      <protection/>
    </xf>
    <xf numFmtId="0" fontId="29" fillId="0" borderId="18" xfId="0" applyFont="1" applyBorder="1" applyAlignment="1">
      <alignment horizontal="center"/>
    </xf>
    <xf numFmtId="0" fontId="29" fillId="0" borderId="23" xfId="0" applyFont="1" applyBorder="1" applyAlignment="1">
      <alignment horizontal="center"/>
    </xf>
    <xf numFmtId="0" fontId="29" fillId="0" borderId="18" xfId="0" applyFont="1" applyBorder="1" applyAlignment="1" applyProtection="1">
      <alignment horizontal="center"/>
      <protection/>
    </xf>
    <xf numFmtId="0" fontId="29" fillId="0" borderId="23" xfId="0" applyFont="1" applyBorder="1" applyAlignment="1" applyProtection="1">
      <alignment horizontal="center"/>
      <protection/>
    </xf>
    <xf numFmtId="0" fontId="30" fillId="33" borderId="18" xfId="0" applyFont="1" applyFill="1" applyBorder="1" applyAlignment="1" applyProtection="1">
      <alignment horizontal="center"/>
      <protection/>
    </xf>
    <xf numFmtId="0" fontId="30" fillId="33" borderId="23" xfId="0" applyFont="1" applyFill="1" applyBorder="1" applyAlignment="1" applyProtection="1">
      <alignment horizontal="center"/>
      <protection/>
    </xf>
    <xf numFmtId="37" fontId="28" fillId="33" borderId="0" xfId="0" applyNumberFormat="1" applyFont="1" applyFill="1" applyAlignment="1" applyProtection="1">
      <alignment horizontal="center" vertical="center"/>
      <protection/>
    </xf>
    <xf numFmtId="0" fontId="29" fillId="0" borderId="0" xfId="0" applyFont="1" applyAlignment="1">
      <alignment vertical="center"/>
    </xf>
    <xf numFmtId="0" fontId="29" fillId="33" borderId="13" xfId="0" applyFont="1" applyFill="1" applyBorder="1" applyAlignment="1">
      <alignment horizontal="center" vertical="center" wrapText="1" shrinkToFit="1"/>
    </xf>
    <xf numFmtId="0" fontId="29" fillId="0" borderId="14" xfId="0" applyFont="1" applyBorder="1" applyAlignment="1">
      <alignment horizontal="center" vertical="center" wrapText="1" shrinkToFit="1"/>
    </xf>
    <xf numFmtId="0" fontId="29" fillId="33" borderId="0" xfId="0" applyFont="1" applyFill="1" applyAlignment="1" applyProtection="1">
      <alignment horizontal="center" vertical="center"/>
      <protection/>
    </xf>
    <xf numFmtId="0" fontId="30"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37" fontId="29" fillId="33" borderId="0" xfId="0" applyNumberFormat="1" applyFont="1" applyFill="1" applyAlignment="1" applyProtection="1">
      <alignment horizontal="center" vertical="center"/>
      <protection/>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0" fillId="0" borderId="0" xfId="0" applyAlignment="1">
      <alignment vertical="center"/>
    </xf>
    <xf numFmtId="0" fontId="4" fillId="33" borderId="0" xfId="0" applyFont="1" applyFill="1" applyAlignment="1" applyProtection="1">
      <alignment horizontal="right" vertical="center"/>
      <protection/>
    </xf>
    <xf numFmtId="0" fontId="28" fillId="33" borderId="0" xfId="0" applyFont="1" applyFill="1" applyAlignment="1" applyProtection="1">
      <alignment horizontal="center" vertical="center"/>
      <protection/>
    </xf>
    <xf numFmtId="0" fontId="29" fillId="33" borderId="0" xfId="0" applyFont="1" applyFill="1" applyBorder="1" applyAlignment="1" applyProtection="1">
      <alignment horizontal="fill" vertical="center"/>
      <protection/>
    </xf>
    <xf numFmtId="0" fontId="29" fillId="33" borderId="20" xfId="0" applyFont="1" applyFill="1" applyBorder="1" applyAlignment="1" applyProtection="1">
      <alignment horizontal="center" vertical="center"/>
      <protection/>
    </xf>
    <xf numFmtId="0" fontId="29" fillId="0" borderId="11" xfId="0" applyFont="1" applyBorder="1" applyAlignment="1">
      <alignment vertical="center"/>
    </xf>
    <xf numFmtId="0" fontId="29" fillId="0" borderId="17" xfId="0" applyFont="1" applyBorder="1" applyAlignment="1">
      <alignment vertical="center"/>
    </xf>
    <xf numFmtId="0" fontId="29" fillId="33" borderId="10" xfId="0" applyFont="1" applyFill="1" applyBorder="1" applyAlignment="1" applyProtection="1">
      <alignment vertical="center"/>
      <protection/>
    </xf>
    <xf numFmtId="0" fontId="29" fillId="33" borderId="19" xfId="0" applyFont="1" applyFill="1" applyBorder="1" applyAlignment="1" applyProtection="1">
      <alignment horizontal="left" vertical="center"/>
      <protection/>
    </xf>
    <xf numFmtId="0" fontId="29" fillId="33" borderId="13" xfId="0" applyFont="1" applyFill="1" applyBorder="1" applyAlignment="1" applyProtection="1">
      <alignment horizontal="center" vertical="center"/>
      <protection/>
    </xf>
    <xf numFmtId="0" fontId="29" fillId="33" borderId="26" xfId="0" applyFont="1" applyFill="1" applyBorder="1" applyAlignment="1" applyProtection="1">
      <alignment horizontal="center" vertical="center"/>
      <protection/>
    </xf>
    <xf numFmtId="0" fontId="29" fillId="0" borderId="0" xfId="0" applyFont="1" applyAlignment="1">
      <alignment horizontal="center" vertical="center"/>
    </xf>
    <xf numFmtId="0" fontId="29" fillId="33" borderId="19" xfId="0" applyFont="1" applyFill="1" applyBorder="1" applyAlignment="1" applyProtection="1">
      <alignment horizontal="center" vertical="center" wrapText="1"/>
      <protection/>
    </xf>
    <xf numFmtId="0" fontId="29" fillId="33" borderId="10" xfId="0" applyFont="1" applyFill="1" applyBorder="1" applyAlignment="1" applyProtection="1">
      <alignment horizontal="fill" vertical="center"/>
      <protection/>
    </xf>
    <xf numFmtId="0" fontId="29" fillId="33" borderId="14" xfId="0" applyFont="1" applyFill="1" applyBorder="1" applyAlignment="1" applyProtection="1">
      <alignment horizontal="fill" vertical="center"/>
      <protection/>
    </xf>
    <xf numFmtId="0" fontId="29" fillId="33" borderId="15" xfId="0" applyFont="1" applyFill="1" applyBorder="1" applyAlignment="1" applyProtection="1">
      <alignment horizontal="fill" vertical="center" wrapText="1"/>
      <protection/>
    </xf>
    <xf numFmtId="0" fontId="29" fillId="33" borderId="15" xfId="0" applyFont="1" applyFill="1" applyBorder="1" applyAlignment="1" applyProtection="1">
      <alignment horizontal="fill" vertical="center"/>
      <protection/>
    </xf>
    <xf numFmtId="0" fontId="29" fillId="33" borderId="20" xfId="0" applyFont="1" applyFill="1" applyBorder="1" applyAlignment="1" applyProtection="1">
      <alignment horizontal="fill" vertical="center"/>
      <protection/>
    </xf>
    <xf numFmtId="0" fontId="29" fillId="33" borderId="12" xfId="0" applyFont="1" applyFill="1" applyBorder="1" applyAlignment="1" applyProtection="1">
      <alignment horizontal="center" vertical="center"/>
      <protection/>
    </xf>
    <xf numFmtId="0" fontId="29" fillId="33" borderId="26" xfId="0" applyFont="1" applyFill="1" applyBorder="1" applyAlignment="1" applyProtection="1">
      <alignment horizontal="fill" vertical="center"/>
      <protection/>
    </xf>
    <xf numFmtId="37" fontId="29" fillId="33" borderId="20" xfId="0" applyNumberFormat="1" applyFont="1" applyFill="1" applyBorder="1" applyAlignment="1" applyProtection="1">
      <alignment horizontal="left" vertical="center"/>
      <protection/>
    </xf>
    <xf numFmtId="0" fontId="30" fillId="33" borderId="20" xfId="0" applyFont="1" applyFill="1" applyBorder="1" applyAlignment="1" applyProtection="1">
      <alignment horizontal="left" vertical="center"/>
      <protection/>
    </xf>
    <xf numFmtId="0" fontId="29" fillId="33" borderId="17" xfId="0" applyFont="1" applyFill="1" applyBorder="1" applyAlignment="1" applyProtection="1">
      <alignment vertical="center"/>
      <protection/>
    </xf>
    <xf numFmtId="0" fontId="30" fillId="33" borderId="12" xfId="0" applyFont="1" applyFill="1" applyBorder="1" applyAlignment="1" applyProtection="1">
      <alignment horizontal="center" vertical="center"/>
      <protection/>
    </xf>
    <xf numFmtId="0" fontId="29" fillId="33" borderId="24" xfId="0" applyFont="1" applyFill="1" applyBorder="1" applyAlignment="1" applyProtection="1">
      <alignment vertical="center"/>
      <protection/>
    </xf>
    <xf numFmtId="0" fontId="29" fillId="33" borderId="15" xfId="0" applyFont="1" applyFill="1" applyBorder="1" applyAlignment="1" applyProtection="1">
      <alignment vertical="center"/>
      <protection/>
    </xf>
    <xf numFmtId="0" fontId="29" fillId="33" borderId="20" xfId="0" applyFont="1" applyFill="1" applyBorder="1" applyAlignment="1" applyProtection="1">
      <alignment horizontal="left" vertical="center"/>
      <protection/>
    </xf>
    <xf numFmtId="3" fontId="29" fillId="33" borderId="12" xfId="0" applyNumberFormat="1" applyFont="1" applyFill="1" applyBorder="1" applyAlignment="1" applyProtection="1">
      <alignment horizontal="center" vertical="center"/>
      <protection/>
    </xf>
    <xf numFmtId="3" fontId="29" fillId="33" borderId="14" xfId="0" applyNumberFormat="1" applyFont="1" applyFill="1" applyBorder="1" applyAlignment="1" applyProtection="1">
      <alignment vertical="center"/>
      <protection/>
    </xf>
    <xf numFmtId="3" fontId="29" fillId="33" borderId="12" xfId="0" applyNumberFormat="1" applyFont="1" applyFill="1" applyBorder="1" applyAlignment="1" applyProtection="1">
      <alignment vertical="center"/>
      <protection/>
    </xf>
    <xf numFmtId="0" fontId="29" fillId="33" borderId="11" xfId="0" applyFont="1" applyFill="1" applyBorder="1" applyAlignment="1" applyProtection="1">
      <alignment vertical="center"/>
      <protection/>
    </xf>
    <xf numFmtId="0" fontId="29" fillId="33" borderId="18" xfId="0" applyFont="1" applyFill="1" applyBorder="1" applyAlignment="1" applyProtection="1">
      <alignment vertical="center"/>
      <protection/>
    </xf>
    <xf numFmtId="3" fontId="29" fillId="33" borderId="13" xfId="0" applyNumberFormat="1" applyFont="1" applyFill="1" applyBorder="1" applyAlignment="1" applyProtection="1">
      <alignment vertical="center"/>
      <protection/>
    </xf>
    <xf numFmtId="37" fontId="29" fillId="33" borderId="13" xfId="0" applyNumberFormat="1" applyFont="1" applyFill="1" applyBorder="1" applyAlignment="1" applyProtection="1">
      <alignment vertical="center"/>
      <protection/>
    </xf>
    <xf numFmtId="0" fontId="28" fillId="33" borderId="20" xfId="0" applyFont="1" applyFill="1" applyBorder="1" applyAlignment="1" applyProtection="1">
      <alignment horizontal="left" vertical="center"/>
      <protection/>
    </xf>
    <xf numFmtId="0" fontId="29" fillId="33" borderId="12" xfId="0" applyFont="1" applyFill="1" applyBorder="1" applyAlignment="1" applyProtection="1">
      <alignment horizontal="fill" vertical="center"/>
      <protection/>
    </xf>
    <xf numFmtId="3" fontId="29" fillId="37" borderId="13" xfId="0" applyNumberFormat="1" applyFont="1" applyFill="1" applyBorder="1" applyAlignment="1" applyProtection="1">
      <alignment vertical="center"/>
      <protection/>
    </xf>
    <xf numFmtId="37" fontId="29" fillId="37" borderId="13" xfId="0" applyNumberFormat="1" applyFont="1" applyFill="1" applyBorder="1" applyAlignment="1" applyProtection="1">
      <alignment vertical="center"/>
      <protection/>
    </xf>
    <xf numFmtId="175" fontId="29" fillId="37" borderId="13" xfId="0" applyNumberFormat="1" applyFont="1" applyFill="1" applyBorder="1" applyAlignment="1" applyProtection="1">
      <alignment vertical="center"/>
      <protection/>
    </xf>
    <xf numFmtId="165" fontId="29" fillId="33" borderId="12" xfId="0" applyNumberFormat="1" applyFont="1" applyFill="1" applyBorder="1" applyAlignment="1" applyProtection="1">
      <alignment horizontal="center" vertical="center"/>
      <protection/>
    </xf>
    <xf numFmtId="0" fontId="29" fillId="40" borderId="12" xfId="0" applyFont="1" applyFill="1" applyBorder="1" applyAlignment="1">
      <alignment horizontal="center" vertical="center" shrinkToFit="1"/>
    </xf>
    <xf numFmtId="0" fontId="48" fillId="40" borderId="20" xfId="0" applyFont="1" applyFill="1" applyBorder="1" applyAlignment="1" applyProtection="1">
      <alignment horizontal="center" vertical="center"/>
      <protection/>
    </xf>
    <xf numFmtId="0" fontId="29" fillId="38" borderId="13" xfId="0" applyFont="1" applyFill="1" applyBorder="1" applyAlignment="1" applyProtection="1">
      <alignment horizontal="center" vertical="center"/>
      <protection/>
    </xf>
    <xf numFmtId="0" fontId="29" fillId="33" borderId="11" xfId="0" applyFont="1" applyFill="1" applyBorder="1" applyAlignment="1">
      <alignment vertical="center"/>
    </xf>
    <xf numFmtId="0" fontId="29" fillId="33" borderId="17" xfId="0" applyFont="1" applyFill="1" applyBorder="1" applyAlignment="1">
      <alignment vertical="center"/>
    </xf>
    <xf numFmtId="0" fontId="29" fillId="33" borderId="0" xfId="0" applyFont="1" applyFill="1" applyBorder="1" applyAlignment="1">
      <alignment horizontal="center" vertical="center" shrinkToFit="1"/>
    </xf>
    <xf numFmtId="171" fontId="29" fillId="34" borderId="12" xfId="42" applyNumberFormat="1" applyFont="1" applyFill="1" applyBorder="1" applyAlignment="1" applyProtection="1">
      <alignment vertical="center"/>
      <protection locked="0"/>
    </xf>
    <xf numFmtId="0" fontId="29" fillId="38" borderId="13" xfId="0" applyFont="1" applyFill="1" applyBorder="1" applyAlignment="1" applyProtection="1">
      <alignment horizontal="center" vertical="center" wrapText="1"/>
      <protection/>
    </xf>
    <xf numFmtId="165" fontId="29" fillId="33" borderId="0" xfId="0" applyNumberFormat="1" applyFont="1" applyFill="1" applyBorder="1" applyAlignment="1" applyProtection="1">
      <alignment vertical="center"/>
      <protection/>
    </xf>
    <xf numFmtId="0" fontId="29" fillId="0" borderId="14" xfId="0" applyFont="1" applyBorder="1" applyAlignment="1">
      <alignment horizontal="center" vertical="center" wrapText="1"/>
    </xf>
    <xf numFmtId="0" fontId="29" fillId="34" borderId="10" xfId="0" applyFont="1" applyFill="1" applyBorder="1" applyAlignment="1" applyProtection="1">
      <alignment vertical="center"/>
      <protection/>
    </xf>
    <xf numFmtId="171" fontId="29" fillId="33" borderId="0" xfId="42" applyNumberFormat="1" applyFont="1" applyFill="1" applyBorder="1" applyAlignment="1" applyProtection="1">
      <alignment vertical="center"/>
      <protection locked="0"/>
    </xf>
    <xf numFmtId="0" fontId="29" fillId="34" borderId="11" xfId="0" applyFont="1" applyFill="1" applyBorder="1" applyAlignment="1" applyProtection="1">
      <alignment horizontal="right" vertical="center"/>
      <protection/>
    </xf>
    <xf numFmtId="0" fontId="29" fillId="34" borderId="11" xfId="0" applyFont="1" applyFill="1" applyBorder="1" applyAlignment="1" applyProtection="1">
      <alignment vertical="center"/>
      <protection/>
    </xf>
    <xf numFmtId="0" fontId="29" fillId="33" borderId="0" xfId="0" applyFont="1" applyFill="1" applyBorder="1" applyAlignment="1" applyProtection="1">
      <alignment horizontal="center" vertical="center"/>
      <protection/>
    </xf>
    <xf numFmtId="0" fontId="29" fillId="33" borderId="0" xfId="0" applyFont="1" applyFill="1" applyBorder="1" applyAlignment="1" applyProtection="1">
      <alignment horizontal="right" vertical="center"/>
      <protection/>
    </xf>
    <xf numFmtId="0" fontId="29" fillId="33" borderId="18" xfId="0" applyFont="1" applyFill="1" applyBorder="1" applyAlignment="1">
      <alignment horizontal="center" vertical="center"/>
    </xf>
    <xf numFmtId="0" fontId="29" fillId="33" borderId="10" xfId="0" applyFont="1" applyFill="1" applyBorder="1" applyAlignment="1">
      <alignment horizontal="center" vertical="center" wrapText="1"/>
    </xf>
    <xf numFmtId="0" fontId="29" fillId="34" borderId="11" xfId="0" applyFont="1" applyFill="1" applyBorder="1" applyAlignment="1" applyProtection="1">
      <alignment vertical="center"/>
      <protection locked="0"/>
    </xf>
    <xf numFmtId="0" fontId="29" fillId="33" borderId="0" xfId="0" applyFont="1" applyFill="1" applyAlignment="1">
      <alignment horizontal="center" vertical="center" wrapText="1"/>
    </xf>
    <xf numFmtId="0" fontId="29" fillId="33" borderId="10" xfId="0" applyFont="1" applyFill="1" applyBorder="1" applyAlignment="1">
      <alignment vertical="center"/>
    </xf>
    <xf numFmtId="0" fontId="29" fillId="34" borderId="11" xfId="0" applyFont="1" applyFill="1" applyBorder="1" applyAlignment="1" applyProtection="1">
      <alignment horizontal="left" vertical="center"/>
      <protection/>
    </xf>
    <xf numFmtId="0" fontId="29" fillId="33" borderId="0" xfId="0" applyFont="1" applyFill="1" applyBorder="1" applyAlignment="1" applyProtection="1">
      <alignment horizontal="left" vertical="center"/>
      <protection locked="0"/>
    </xf>
    <xf numFmtId="0" fontId="29" fillId="33" borderId="0" xfId="0" applyFont="1" applyFill="1" applyBorder="1" applyAlignment="1" applyProtection="1">
      <alignment vertical="center"/>
      <protection locked="0"/>
    </xf>
    <xf numFmtId="0" fontId="29" fillId="33" borderId="10" xfId="0" applyFont="1" applyFill="1" applyBorder="1" applyAlignment="1" applyProtection="1">
      <alignment vertical="center"/>
      <protection locked="0"/>
    </xf>
    <xf numFmtId="0" fontId="29" fillId="33" borderId="10" xfId="0" applyFont="1" applyFill="1" applyBorder="1" applyAlignment="1" applyProtection="1">
      <alignment horizontal="fill" vertical="center"/>
      <protection locked="0"/>
    </xf>
    <xf numFmtId="0" fontId="29" fillId="33" borderId="18" xfId="0" applyFont="1" applyFill="1" applyBorder="1" applyAlignment="1" applyProtection="1">
      <alignment horizontal="center" vertical="center"/>
      <protection/>
    </xf>
    <xf numFmtId="0" fontId="29" fillId="0" borderId="18" xfId="0" applyFont="1" applyBorder="1" applyAlignment="1">
      <alignment vertical="center"/>
    </xf>
    <xf numFmtId="0" fontId="29" fillId="33" borderId="0" xfId="0" applyFont="1" applyFill="1" applyBorder="1" applyAlignment="1" applyProtection="1">
      <alignment horizontal="center" vertical="center" wrapText="1"/>
      <protection/>
    </xf>
    <xf numFmtId="0" fontId="29" fillId="33" borderId="0" xfId="0" applyFont="1" applyFill="1" applyAlignment="1">
      <alignment horizontal="center" vertical="center" wrapText="1"/>
    </xf>
    <xf numFmtId="0" fontId="29" fillId="42" borderId="0" xfId="0" applyFont="1" applyFill="1" applyAlignment="1">
      <alignment horizontal="right" vertical="center" textRotation="180" wrapText="1"/>
    </xf>
    <xf numFmtId="0" fontId="29" fillId="0" borderId="0" xfId="0" applyFont="1" applyAlignment="1" applyProtection="1">
      <alignment horizontal="left" vertical="center"/>
      <protection locked="0"/>
    </xf>
  </cellXfs>
  <cellStyles count="4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te" xfId="454"/>
    <cellStyle name="Output" xfId="455"/>
    <cellStyle name="Percent" xfId="456"/>
    <cellStyle name="Title" xfId="457"/>
    <cellStyle name="Total" xfId="458"/>
    <cellStyle name="Warning Text" xfId="459"/>
  </cellStyles>
  <dxfs count="23">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61"/>
  <sheetViews>
    <sheetView tabSelected="1" zoomScalePageLayoutView="0" workbookViewId="0" topLeftCell="A13">
      <selection activeCell="F30" sqref="F30"/>
    </sheetView>
  </sheetViews>
  <sheetFormatPr defaultColWidth="8.796875" defaultRowHeight="15"/>
  <cols>
    <col min="1" max="1" width="11.796875" style="368" customWidth="1"/>
    <col min="2" max="3" width="9.796875" style="368" customWidth="1"/>
    <col min="4" max="4" width="8.796875" style="368" customWidth="1"/>
    <col min="5" max="7" width="14.796875" style="368" customWidth="1"/>
    <col min="8" max="8" width="2.69921875" style="368" customWidth="1"/>
    <col min="9" max="9" width="3.19921875" style="368" customWidth="1"/>
    <col min="10" max="16384" width="8.8984375" style="368" customWidth="1"/>
  </cols>
  <sheetData>
    <row r="1" spans="1:7" ht="14.25">
      <c r="A1" s="429"/>
      <c r="B1" s="429"/>
      <c r="C1" s="429"/>
      <c r="D1" s="429"/>
      <c r="E1" s="429"/>
      <c r="F1" s="429"/>
      <c r="G1" s="429"/>
    </row>
    <row r="2" spans="1:7" ht="15">
      <c r="A2" s="499" t="s">
        <v>137</v>
      </c>
      <c r="B2" s="499"/>
      <c r="C2" s="499"/>
      <c r="D2" s="499"/>
      <c r="E2" s="499"/>
      <c r="F2" s="499"/>
      <c r="G2" s="499"/>
    </row>
    <row r="3" spans="1:7" ht="14.25">
      <c r="A3" s="369"/>
      <c r="B3" s="369"/>
      <c r="C3" s="369"/>
      <c r="D3" s="369"/>
      <c r="E3" s="369"/>
      <c r="F3" s="369"/>
      <c r="G3" s="429">
        <f>inputPrYr!D6</f>
        <v>2012</v>
      </c>
    </row>
    <row r="4" spans="1:7" ht="14.25">
      <c r="A4" s="493" t="str">
        <f>CONCATENATE("To the Clerk of ",inputPrYr!D4,", State of Kansas")</f>
        <v>To the Clerk of Wyandotte County, State of Kansas</v>
      </c>
      <c r="B4" s="493"/>
      <c r="C4" s="493"/>
      <c r="D4" s="493"/>
      <c r="E4" s="493"/>
      <c r="F4" s="493"/>
      <c r="G4" s="493"/>
    </row>
    <row r="5" spans="1:7" ht="14.25">
      <c r="A5" s="372" t="s">
        <v>206</v>
      </c>
      <c r="B5" s="373"/>
      <c r="C5" s="373"/>
      <c r="D5" s="373"/>
      <c r="E5" s="373"/>
      <c r="F5" s="373"/>
      <c r="G5" s="373"/>
    </row>
    <row r="6" spans="1:7" ht="15">
      <c r="A6" s="491" t="str">
        <f>inputPrYr!D3</f>
        <v>Downtown Shareholder Self Supporting Municipal Improvement District</v>
      </c>
      <c r="B6" s="491"/>
      <c r="C6" s="491"/>
      <c r="D6" s="491"/>
      <c r="E6" s="491"/>
      <c r="F6" s="491"/>
      <c r="G6" s="491"/>
    </row>
    <row r="7" spans="1:7" ht="14.25">
      <c r="A7" s="369"/>
      <c r="B7" s="369"/>
      <c r="C7" s="369"/>
      <c r="D7" s="369"/>
      <c r="E7" s="369"/>
      <c r="F7" s="369"/>
      <c r="G7" s="369"/>
    </row>
    <row r="8" spans="1:7" ht="14.25">
      <c r="A8" s="372" t="s">
        <v>72</v>
      </c>
      <c r="B8" s="373"/>
      <c r="C8" s="373"/>
      <c r="D8" s="373"/>
      <c r="E8" s="373"/>
      <c r="F8" s="373"/>
      <c r="G8" s="373"/>
    </row>
    <row r="9" spans="1:7" ht="14.25">
      <c r="A9" s="372" t="s">
        <v>73</v>
      </c>
      <c r="B9" s="373"/>
      <c r="C9" s="373"/>
      <c r="D9" s="373"/>
      <c r="E9" s="373"/>
      <c r="F9" s="373"/>
      <c r="G9" s="373"/>
    </row>
    <row r="10" spans="1:7" ht="14.25">
      <c r="A10" s="372" t="str">
        <f>CONCATENATE("maximum expenditures for the various funds for the year ",G3,"; and (3) the")</f>
        <v>maximum expenditures for the various funds for the year 2012; and (3) the</v>
      </c>
      <c r="B10" s="373"/>
      <c r="C10" s="373"/>
      <c r="D10" s="373"/>
      <c r="E10" s="373"/>
      <c r="F10" s="373"/>
      <c r="G10" s="373"/>
    </row>
    <row r="11" spans="1:7" ht="14.25">
      <c r="A11" s="372" t="str">
        <f>CONCATENATE("Amount(s) of ",G3-1," Ad Valorem Tax are within statutory  limitations for the ",G3," Budget.")</f>
        <v>Amount(s) of 2011 Ad Valorem Tax are within statutory  limitations for the 2012 Budget.</v>
      </c>
      <c r="B11" s="373"/>
      <c r="C11" s="373"/>
      <c r="D11" s="373"/>
      <c r="E11" s="373"/>
      <c r="F11" s="373"/>
      <c r="G11" s="373"/>
    </row>
    <row r="12" spans="1:7" ht="14.25">
      <c r="A12" s="421"/>
      <c r="B12" s="369"/>
      <c r="C12" s="369"/>
      <c r="D12" s="375"/>
      <c r="E12" s="500"/>
      <c r="F12" s="500"/>
      <c r="G12" s="500"/>
    </row>
    <row r="13" spans="1:7" ht="14.25">
      <c r="A13" s="369"/>
      <c r="B13" s="369"/>
      <c r="C13" s="369"/>
      <c r="D13" s="369"/>
      <c r="E13" s="501" t="str">
        <f>CONCATENATE("",G3," Adopted Budget")</f>
        <v>2012 Adopted Budget</v>
      </c>
      <c r="F13" s="502"/>
      <c r="G13" s="503"/>
    </row>
    <row r="14" spans="1:8" ht="14.25">
      <c r="A14" s="421"/>
      <c r="B14" s="369"/>
      <c r="C14" s="369"/>
      <c r="D14" s="504"/>
      <c r="E14" s="505" t="s">
        <v>74</v>
      </c>
      <c r="F14" s="506"/>
      <c r="G14" s="507" t="s">
        <v>75</v>
      </c>
      <c r="H14" s="508"/>
    </row>
    <row r="15" spans="1:7" ht="14.25">
      <c r="A15" s="369"/>
      <c r="B15" s="369"/>
      <c r="C15" s="369"/>
      <c r="D15" s="506" t="s">
        <v>76</v>
      </c>
      <c r="E15" s="385" t="s">
        <v>250</v>
      </c>
      <c r="F15" s="509" t="str">
        <f>CONCATENATE("Amount of ",G3-1," Ad Valorem Tax")</f>
        <v>Amount of 2011 Ad Valorem Tax</v>
      </c>
      <c r="G15" s="507" t="s">
        <v>77</v>
      </c>
    </row>
    <row r="16" spans="1:7" ht="14.25">
      <c r="A16" s="421" t="s">
        <v>78</v>
      </c>
      <c r="B16" s="369"/>
      <c r="C16" s="369"/>
      <c r="D16" s="385" t="s">
        <v>79</v>
      </c>
      <c r="E16" s="385" t="s">
        <v>11</v>
      </c>
      <c r="F16" s="509"/>
      <c r="G16" s="507" t="s">
        <v>81</v>
      </c>
    </row>
    <row r="17" spans="1:7" ht="4.5" customHeight="1">
      <c r="A17" s="510"/>
      <c r="B17" s="510"/>
      <c r="C17" s="510"/>
      <c r="D17" s="511"/>
      <c r="E17" s="511"/>
      <c r="F17" s="512"/>
      <c r="G17" s="513"/>
    </row>
    <row r="18" spans="1:7" ht="14.25">
      <c r="A18" s="514" t="str">
        <f>CONCATENATE("Computation to Determine Limit for ",G3,"")</f>
        <v>Computation to Determine Limit for 2012</v>
      </c>
      <c r="B18" s="510"/>
      <c r="C18" s="510"/>
      <c r="D18" s="515">
        <v>2</v>
      </c>
      <c r="E18" s="500"/>
      <c r="F18" s="500"/>
      <c r="G18" s="516"/>
    </row>
    <row r="19" spans="1:7" ht="14.25">
      <c r="A19" s="517" t="s">
        <v>246</v>
      </c>
      <c r="B19" s="510"/>
      <c r="C19" s="510"/>
      <c r="D19" s="515">
        <v>3</v>
      </c>
      <c r="E19" s="500"/>
      <c r="F19" s="500"/>
      <c r="G19" s="516"/>
    </row>
    <row r="20" spans="1:7" ht="14.25">
      <c r="A20" s="517" t="s">
        <v>197</v>
      </c>
      <c r="B20" s="510"/>
      <c r="C20" s="510"/>
      <c r="D20" s="391">
        <v>4</v>
      </c>
      <c r="E20" s="500"/>
      <c r="F20" s="500"/>
      <c r="G20" s="516"/>
    </row>
    <row r="21" spans="1:7" ht="14.25">
      <c r="A21" s="514" t="s">
        <v>196</v>
      </c>
      <c r="B21" s="510"/>
      <c r="C21" s="510"/>
      <c r="D21" s="391">
        <v>5</v>
      </c>
      <c r="E21" s="500"/>
      <c r="F21" s="500"/>
      <c r="G21" s="516"/>
    </row>
    <row r="22" spans="1:7" ht="15">
      <c r="A22" s="518" t="s">
        <v>82</v>
      </c>
      <c r="B22" s="519"/>
      <c r="C22" s="520" t="s">
        <v>83</v>
      </c>
      <c r="D22" s="515"/>
      <c r="E22" s="521"/>
      <c r="F22" s="504"/>
      <c r="G22" s="522"/>
    </row>
    <row r="23" spans="1:7" ht="14.25">
      <c r="A23" s="523" t="s">
        <v>66</v>
      </c>
      <c r="B23" s="519"/>
      <c r="C23" s="515" t="str">
        <f>inputPrYr!C19</f>
        <v>12-17,102</v>
      </c>
      <c r="D23" s="524">
        <v>6</v>
      </c>
      <c r="E23" s="525">
        <f>IF(gen!$E$47&lt;&gt;0,gen!$E$47,"  ")</f>
        <v>261650</v>
      </c>
      <c r="F23" s="525">
        <f>IF(gen!$E$54&lt;&gt;0,gen!$E$54,"  ")</f>
        <v>212756.84561085975</v>
      </c>
      <c r="G23" s="396" t="str">
        <f>IF(AND(gen!E54=0,$G$28&gt;=0)," ",IF(AND(F23&gt;0,$G$28=0)," ",IF(AND(F23&gt;0,$G$28&gt;0),ROUND(F23/$G$28*1000,3))))</f>
        <v> </v>
      </c>
    </row>
    <row r="24" spans="1:7" ht="14.25">
      <c r="A24" s="523" t="s">
        <v>283</v>
      </c>
      <c r="B24" s="519"/>
      <c r="C24" s="515" t="s">
        <v>207</v>
      </c>
      <c r="D24" s="524">
        <v>7</v>
      </c>
      <c r="E24" s="526" t="str">
        <f>IF(DebtService!$E$54&lt;&gt;0,DebtService!$E$54,"  ")</f>
        <v>  </v>
      </c>
      <c r="F24" s="526" t="str">
        <f>IF(DebtService!$E$61&lt;&gt;0,DebtService!$E$61,"  ")</f>
        <v>  </v>
      </c>
      <c r="G24" s="396" t="str">
        <f>IF(AND(DebtService!E61=0,$G$28&gt;=0)," ",IF(AND(F24&gt;0,$G$28=0)," ",IF(AND(F24&gt;0,$G$28&gt;0),ROUND(F24/$G$28*1000,3))))</f>
        <v> </v>
      </c>
    </row>
    <row r="25" spans="1:7" ht="14.25">
      <c r="A25" s="399" t="str">
        <f>IF((inputPrYr!$B$30&gt;" "),(NonBud!$A$4),"")</f>
        <v>Non-Budgeted Funds</v>
      </c>
      <c r="B25" s="528"/>
      <c r="C25" s="507"/>
      <c r="D25" s="524">
        <v>8</v>
      </c>
      <c r="E25" s="529"/>
      <c r="F25" s="530"/>
      <c r="G25" s="407"/>
    </row>
    <row r="26" spans="1:7" ht="15">
      <c r="A26" s="531" t="s">
        <v>191</v>
      </c>
      <c r="B26" s="527"/>
      <c r="C26" s="519"/>
      <c r="D26" s="532" t="s">
        <v>84</v>
      </c>
      <c r="E26" s="533">
        <f>SUM(E23:E24)</f>
        <v>261650</v>
      </c>
      <c r="F26" s="534">
        <f>SUM(F23:F24)</f>
        <v>212756.84561085975</v>
      </c>
      <c r="G26" s="535">
        <f>IF(SUM(G23:G24)=0,"",SUM(G23:G24))</f>
      </c>
    </row>
    <row r="27" spans="1:7" ht="14.25">
      <c r="A27" s="523" t="s">
        <v>239</v>
      </c>
      <c r="B27" s="527"/>
      <c r="C27" s="519"/>
      <c r="D27" s="536">
        <v>9</v>
      </c>
      <c r="E27" s="537" t="s">
        <v>238</v>
      </c>
      <c r="F27" s="538" t="str">
        <f>IF(F26&gt;computation!J34,"Yes","No")</f>
        <v>No</v>
      </c>
      <c r="G27" s="539" t="s">
        <v>193</v>
      </c>
    </row>
    <row r="28" spans="1:7" ht="14.25">
      <c r="A28" s="523" t="s">
        <v>255</v>
      </c>
      <c r="B28" s="540"/>
      <c r="C28" s="541"/>
      <c r="D28" s="536">
        <f>IF(Nhood!C35=0,"",Nhood!C35)</f>
      </c>
      <c r="E28" s="542"/>
      <c r="F28" s="419"/>
      <c r="G28" s="543"/>
    </row>
    <row r="29" spans="1:7" ht="14.25">
      <c r="A29" s="540"/>
      <c r="B29" s="527"/>
      <c r="C29" s="519"/>
      <c r="D29" s="536"/>
      <c r="E29" s="429"/>
      <c r="F29" s="419"/>
      <c r="G29" s="544" t="str">
        <f>CONCATENATE("Nov. 1, ",G3," Total Assessed Valuation")</f>
        <v>Nov. 1, 2012 Total Assessed Valuation</v>
      </c>
    </row>
    <row r="30" spans="1:7" ht="14.25">
      <c r="A30" s="418"/>
      <c r="B30" s="419"/>
      <c r="C30" s="369"/>
      <c r="D30" s="545"/>
      <c r="E30" s="429"/>
      <c r="F30" s="419"/>
      <c r="G30" s="546"/>
    </row>
    <row r="31" spans="1:7" ht="14.25">
      <c r="A31" s="431" t="s">
        <v>14</v>
      </c>
      <c r="B31" s="419"/>
      <c r="C31" s="419"/>
      <c r="D31" s="419"/>
      <c r="E31" s="432"/>
      <c r="F31" s="419"/>
      <c r="G31" s="369"/>
    </row>
    <row r="32" spans="1:7" ht="14.25">
      <c r="A32" s="547"/>
      <c r="B32" s="547"/>
      <c r="C32" s="419"/>
      <c r="D32" s="419"/>
      <c r="E32" s="548"/>
      <c r="F32" s="419"/>
      <c r="G32" s="369"/>
    </row>
    <row r="33" spans="1:7" ht="14.25">
      <c r="A33" s="549"/>
      <c r="B33" s="550"/>
      <c r="C33" s="419"/>
      <c r="D33" s="419"/>
      <c r="E33" s="551"/>
      <c r="F33" s="419"/>
      <c r="G33" s="369"/>
    </row>
    <row r="34" spans="1:7" ht="14.25">
      <c r="A34" s="552" t="s">
        <v>15</v>
      </c>
      <c r="B34" s="419"/>
      <c r="C34" s="419"/>
      <c r="D34" s="528"/>
      <c r="E34" s="553"/>
      <c r="F34" s="528"/>
      <c r="G34" s="528"/>
    </row>
    <row r="35" spans="1:7" ht="14.25">
      <c r="A35" s="547"/>
      <c r="B35" s="547"/>
      <c r="C35" s="419"/>
      <c r="D35" s="504"/>
      <c r="E35" s="554"/>
      <c r="F35" s="554"/>
      <c r="G35" s="504"/>
    </row>
    <row r="36" spans="1:7" ht="14.25">
      <c r="A36" s="550"/>
      <c r="B36" s="555"/>
      <c r="C36" s="370"/>
      <c r="D36" s="369"/>
      <c r="E36" s="556"/>
      <c r="F36" s="556"/>
      <c r="G36" s="369"/>
    </row>
    <row r="37" spans="1:7" ht="14.25">
      <c r="A37" s="550"/>
      <c r="B37" s="550"/>
      <c r="C37" s="369"/>
      <c r="D37" s="504"/>
      <c r="E37" s="557"/>
      <c r="F37" s="504"/>
      <c r="G37" s="504"/>
    </row>
    <row r="38" spans="1:7" ht="14.25">
      <c r="A38" s="558"/>
      <c r="B38" s="550"/>
      <c r="C38" s="421"/>
      <c r="D38" s="559"/>
      <c r="E38" s="560"/>
      <c r="F38" s="369"/>
      <c r="G38" s="369"/>
    </row>
    <row r="39" spans="1:7" ht="14.25">
      <c r="A39" s="418"/>
      <c r="B39" s="419"/>
      <c r="C39" s="419"/>
      <c r="D39" s="561"/>
      <c r="E39" s="561"/>
      <c r="F39" s="562"/>
      <c r="G39" s="562"/>
    </row>
    <row r="40" spans="1:7" ht="14.25">
      <c r="A40" s="418"/>
      <c r="B40" s="500"/>
      <c r="C40" s="419"/>
      <c r="D40" s="560"/>
      <c r="E40" s="560"/>
      <c r="F40" s="370"/>
      <c r="G40" s="370"/>
    </row>
    <row r="41" spans="1:7" ht="14.25">
      <c r="A41" s="418"/>
      <c r="B41" s="419"/>
      <c r="C41" s="419"/>
      <c r="D41" s="561"/>
      <c r="E41" s="561"/>
      <c r="F41" s="562"/>
      <c r="G41" s="562"/>
    </row>
    <row r="42" spans="1:7" ht="14.25">
      <c r="A42" s="419"/>
      <c r="B42" s="419"/>
      <c r="C42" s="419"/>
      <c r="D42" s="370"/>
      <c r="E42" s="370"/>
      <c r="F42" s="370"/>
      <c r="G42" s="370"/>
    </row>
    <row r="43" spans="1:7" ht="14.25">
      <c r="A43" s="421" t="s">
        <v>236</v>
      </c>
      <c r="B43" s="369"/>
      <c r="C43" s="421">
        <f>G3-1</f>
        <v>2011</v>
      </c>
      <c r="D43" s="504"/>
      <c r="E43" s="504"/>
      <c r="F43" s="562"/>
      <c r="G43" s="562"/>
    </row>
    <row r="44" spans="1:7" ht="14.25">
      <c r="A44" s="560"/>
      <c r="B44" s="419"/>
      <c r="C44" s="421"/>
      <c r="D44" s="369"/>
      <c r="E44" s="369"/>
      <c r="F44" s="373"/>
      <c r="G44" s="373"/>
    </row>
    <row r="45" spans="1:7" ht="14.25">
      <c r="A45" s="477"/>
      <c r="B45" s="478"/>
      <c r="C45" s="369"/>
      <c r="D45" s="504"/>
      <c r="E45" s="504"/>
      <c r="F45" s="504"/>
      <c r="G45" s="504"/>
    </row>
    <row r="46" spans="1:7" ht="14.25">
      <c r="A46" s="373" t="s">
        <v>86</v>
      </c>
      <c r="B46" s="373"/>
      <c r="C46" s="369"/>
      <c r="D46" s="563" t="s">
        <v>85</v>
      </c>
      <c r="E46" s="564"/>
      <c r="F46" s="564"/>
      <c r="G46" s="564"/>
    </row>
    <row r="47" spans="1:7" ht="14.25">
      <c r="A47" s="565"/>
      <c r="B47" s="565"/>
      <c r="C47" s="565"/>
      <c r="D47" s="565"/>
      <c r="E47" s="565"/>
      <c r="F47" s="565"/>
      <c r="G47" s="565"/>
    </row>
    <row r="48" spans="1:7" ht="14.25">
      <c r="A48" s="566"/>
      <c r="B48" s="566"/>
      <c r="C48" s="566"/>
      <c r="D48" s="566"/>
      <c r="E48" s="566"/>
      <c r="F48" s="566"/>
      <c r="G48" s="566"/>
    </row>
    <row r="49" spans="1:7" ht="14.25">
      <c r="A49" s="393"/>
      <c r="B49" s="393"/>
      <c r="C49" s="393"/>
      <c r="D49" s="393"/>
      <c r="E49" s="393"/>
      <c r="F49" s="393"/>
      <c r="G49" s="567"/>
    </row>
    <row r="50" spans="1:7" ht="14.25">
      <c r="A50" s="393"/>
      <c r="B50" s="393"/>
      <c r="C50" s="393"/>
      <c r="D50" s="393"/>
      <c r="E50" s="393"/>
      <c r="F50" s="393"/>
      <c r="G50" s="567"/>
    </row>
    <row r="51" spans="1:7" ht="14.25">
      <c r="A51" s="393"/>
      <c r="B51" s="393"/>
      <c r="C51" s="393"/>
      <c r="D51" s="393"/>
      <c r="E51" s="393"/>
      <c r="F51" s="393"/>
      <c r="G51" s="567"/>
    </row>
    <row r="52" spans="1:7" ht="14.25">
      <c r="A52" s="393"/>
      <c r="B52" s="393"/>
      <c r="C52" s="393"/>
      <c r="D52" s="393"/>
      <c r="E52" s="393"/>
      <c r="F52" s="393"/>
      <c r="G52" s="567"/>
    </row>
    <row r="53" spans="1:7" ht="14.25">
      <c r="A53" s="393"/>
      <c r="B53" s="393"/>
      <c r="C53" s="393"/>
      <c r="D53" s="568"/>
      <c r="E53" s="393"/>
      <c r="F53" s="393"/>
      <c r="G53" s="567"/>
    </row>
    <row r="54" ht="14.25">
      <c r="G54" s="567"/>
    </row>
    <row r="55" ht="14.25">
      <c r="G55" s="567"/>
    </row>
    <row r="56" ht="14.25">
      <c r="G56" s="567"/>
    </row>
    <row r="57" ht="14.25">
      <c r="G57" s="567"/>
    </row>
    <row r="58" ht="14.25">
      <c r="G58" s="567"/>
    </row>
    <row r="59" ht="14.25">
      <c r="G59" s="567"/>
    </row>
    <row r="60" ht="14.25">
      <c r="G60" s="567"/>
    </row>
    <row r="61" ht="14.25">
      <c r="G61" s="567"/>
    </row>
  </sheetData>
  <sheetProtection/>
  <mergeCells count="16">
    <mergeCell ref="E47:E48"/>
    <mergeCell ref="F47:F48"/>
    <mergeCell ref="A47:A48"/>
    <mergeCell ref="B47:B48"/>
    <mergeCell ref="C47:C48"/>
    <mergeCell ref="D47:D48"/>
    <mergeCell ref="G49:G61"/>
    <mergeCell ref="A2:G2"/>
    <mergeCell ref="A4:G4"/>
    <mergeCell ref="A6:G6"/>
    <mergeCell ref="E13:G13"/>
    <mergeCell ref="F15:F16"/>
    <mergeCell ref="G29:G30"/>
    <mergeCell ref="A45:B45"/>
    <mergeCell ref="D46:G46"/>
    <mergeCell ref="G47:G48"/>
  </mergeCells>
  <printOptions/>
  <pageMargins left="1.25" right="0.5" top="0" bottom="0.5" header="0" footer="0.5"/>
  <pageSetup blackAndWhite="1" fitToHeight="1" fitToWidth="1" horizontalDpi="120" verticalDpi="120" orientation="portrait" scale="82" r:id="rId1"/>
  <headerFooter alignWithMargins="0">
    <oddHeader>&amp;RState of Kansas
Special District
</oddHeader>
    <oddFooter>&amp;CPage No. 1</oddFooter>
  </headerFooter>
</worksheet>
</file>

<file path=xl/worksheets/sheet10.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83" customWidth="1"/>
    <col min="2" max="16384" width="8.8984375" style="83" customWidth="1"/>
  </cols>
  <sheetData>
    <row r="1" spans="1:2" ht="15.75">
      <c r="A1" s="269" t="s">
        <v>135</v>
      </c>
      <c r="B1" s="270"/>
    </row>
    <row r="2" spans="1:2" ht="15.75">
      <c r="A2" s="269"/>
      <c r="B2" s="270"/>
    </row>
    <row r="3" ht="35.25" customHeight="1">
      <c r="A3" s="271" t="s">
        <v>227</v>
      </c>
    </row>
    <row r="4" ht="15.75">
      <c r="A4" s="272"/>
    </row>
    <row r="5" ht="15.75">
      <c r="A5" s="272" t="s">
        <v>262</v>
      </c>
    </row>
    <row r="6" ht="15.75">
      <c r="A6" s="272"/>
    </row>
    <row r="7" ht="57.75" customHeight="1">
      <c r="A7" s="273" t="s">
        <v>281</v>
      </c>
    </row>
    <row r="8" ht="15.75">
      <c r="A8" s="272"/>
    </row>
    <row r="9" spans="1:2" ht="15.75">
      <c r="A9" s="274" t="s">
        <v>258</v>
      </c>
      <c r="B9" s="270"/>
    </row>
    <row r="10" spans="1:2" ht="15.75">
      <c r="A10" s="274"/>
      <c r="B10" s="270"/>
    </row>
    <row r="11" spans="1:2" ht="15.75">
      <c r="A11" s="272" t="s">
        <v>259</v>
      </c>
      <c r="B11" s="270"/>
    </row>
    <row r="12" ht="14.25" customHeight="1">
      <c r="A12" s="102"/>
    </row>
    <row r="13" s="267" customFormat="1" ht="42" customHeight="1">
      <c r="A13" s="275" t="s">
        <v>282</v>
      </c>
    </row>
    <row r="16" ht="15.75">
      <c r="A16" s="274" t="s">
        <v>61</v>
      </c>
    </row>
    <row r="17" ht="15.75">
      <c r="A17" s="102"/>
    </row>
    <row r="18" ht="15.75">
      <c r="A18" s="217" t="s">
        <v>253</v>
      </c>
    </row>
    <row r="19" ht="17.25" customHeight="1">
      <c r="A19" s="275" t="s">
        <v>186</v>
      </c>
    </row>
    <row r="20" ht="24.75" customHeight="1">
      <c r="A20" s="276" t="s">
        <v>185</v>
      </c>
    </row>
    <row r="21" ht="52.5" customHeight="1">
      <c r="A21" s="277" t="s">
        <v>187</v>
      </c>
    </row>
    <row r="22" ht="20.25" customHeight="1">
      <c r="A22" s="278" t="s">
        <v>228</v>
      </c>
    </row>
    <row r="23" s="279" customFormat="1" ht="20.25" customHeight="1">
      <c r="A23" s="250" t="s">
        <v>257</v>
      </c>
    </row>
    <row r="24" ht="21" customHeight="1">
      <c r="A24" s="275" t="s">
        <v>134</v>
      </c>
    </row>
    <row r="25" ht="15.75">
      <c r="A25" s="102"/>
    </row>
    <row r="26" ht="15.75">
      <c r="A26" s="280" t="s">
        <v>62</v>
      </c>
    </row>
    <row r="28" ht="21" customHeight="1">
      <c r="A28" s="267" t="s">
        <v>200</v>
      </c>
    </row>
    <row r="30" ht="71.25" customHeight="1">
      <c r="A30" s="267" t="s">
        <v>28</v>
      </c>
    </row>
    <row r="31" ht="49.5" customHeight="1">
      <c r="A31" s="281" t="s">
        <v>256</v>
      </c>
    </row>
    <row r="32" ht="73.5" customHeight="1">
      <c r="A32" s="297" t="s">
        <v>300</v>
      </c>
    </row>
    <row r="33" ht="69.75" customHeight="1">
      <c r="A33" s="298" t="s">
        <v>301</v>
      </c>
    </row>
    <row r="35" ht="71.25" customHeight="1">
      <c r="A35" s="267" t="s">
        <v>29</v>
      </c>
    </row>
    <row r="36" ht="57.75" customHeight="1">
      <c r="A36" s="267" t="s">
        <v>302</v>
      </c>
    </row>
    <row r="37" ht="105" customHeight="1">
      <c r="A37" s="267" t="s">
        <v>313</v>
      </c>
    </row>
    <row r="38" ht="15.75">
      <c r="A38" s="267"/>
    </row>
    <row r="39" ht="70.5" customHeight="1">
      <c r="A39" s="267" t="s">
        <v>314</v>
      </c>
    </row>
    <row r="40" ht="70.5" customHeight="1">
      <c r="A40" s="267" t="s">
        <v>315</v>
      </c>
    </row>
    <row r="41" ht="39" customHeight="1">
      <c r="A41" s="267" t="s">
        <v>316</v>
      </c>
    </row>
    <row r="42" ht="15.75">
      <c r="A42" s="267"/>
    </row>
    <row r="43" ht="71.25" customHeight="1">
      <c r="A43" s="267" t="s">
        <v>317</v>
      </c>
    </row>
    <row r="44" ht="42" customHeight="1">
      <c r="A44" s="267" t="s">
        <v>318</v>
      </c>
    </row>
    <row r="45" ht="44.25" customHeight="1">
      <c r="A45" s="267" t="s">
        <v>319</v>
      </c>
    </row>
    <row r="47" ht="51.75" customHeight="1">
      <c r="A47" s="267" t="s">
        <v>320</v>
      </c>
    </row>
    <row r="49" ht="35.25" customHeight="1">
      <c r="A49" s="267" t="s">
        <v>321</v>
      </c>
    </row>
    <row r="50" ht="23.25" customHeight="1">
      <c r="A50" s="83" t="s">
        <v>322</v>
      </c>
    </row>
    <row r="51" ht="72.75" customHeight="1">
      <c r="A51" s="267" t="s">
        <v>5</v>
      </c>
    </row>
    <row r="52" ht="29.25" customHeight="1">
      <c r="A52" s="267" t="s">
        <v>323</v>
      </c>
    </row>
    <row r="54" ht="72" customHeight="1">
      <c r="A54" s="267" t="s">
        <v>324</v>
      </c>
    </row>
    <row r="56" ht="67.5" customHeight="1">
      <c r="A56" s="267" t="s">
        <v>325</v>
      </c>
    </row>
    <row r="57" ht="15.75">
      <c r="A57" s="267"/>
    </row>
    <row r="58" ht="53.25" customHeight="1">
      <c r="A58" s="267" t="s">
        <v>326</v>
      </c>
    </row>
    <row r="59" ht="70.5" customHeight="1">
      <c r="A59" s="363" t="s">
        <v>30</v>
      </c>
    </row>
    <row r="60" ht="53.25" customHeight="1">
      <c r="A60" s="363" t="s">
        <v>31</v>
      </c>
    </row>
    <row r="61" ht="53.25" customHeight="1">
      <c r="A61" s="364" t="s">
        <v>32</v>
      </c>
    </row>
    <row r="62" ht="68.25" customHeight="1">
      <c r="A62" s="363" t="s">
        <v>33</v>
      </c>
    </row>
    <row r="63" ht="69" customHeight="1">
      <c r="A63" s="267" t="s">
        <v>34</v>
      </c>
    </row>
    <row r="64" ht="90" customHeight="1">
      <c r="A64" s="267" t="s">
        <v>35</v>
      </c>
    </row>
    <row r="65" ht="113.25" customHeight="1">
      <c r="A65" s="283" t="s">
        <v>36</v>
      </c>
    </row>
    <row r="66" ht="105.75" customHeight="1">
      <c r="A66" s="284" t="s">
        <v>37</v>
      </c>
    </row>
    <row r="67" ht="77.25" customHeight="1">
      <c r="A67" s="285" t="s">
        <v>38</v>
      </c>
    </row>
    <row r="68" ht="91.5" customHeight="1">
      <c r="A68" s="267" t="s">
        <v>39</v>
      </c>
    </row>
    <row r="69" ht="113.25" customHeight="1">
      <c r="A69" s="286" t="s">
        <v>40</v>
      </c>
    </row>
    <row r="70" ht="11.25" customHeight="1">
      <c r="A70" s="267"/>
    </row>
    <row r="71" ht="120.75" customHeight="1">
      <c r="A71" s="267" t="s">
        <v>327</v>
      </c>
    </row>
    <row r="72" ht="108" customHeight="1">
      <c r="A72" s="282" t="s">
        <v>328</v>
      </c>
    </row>
    <row r="73" ht="66" customHeight="1">
      <c r="A73" s="282" t="s">
        <v>329</v>
      </c>
    </row>
    <row r="74" ht="21" customHeight="1">
      <c r="A74" s="267" t="s">
        <v>330</v>
      </c>
    </row>
    <row r="75" ht="11.25" customHeight="1">
      <c r="A75" s="267"/>
    </row>
    <row r="76" s="267" customFormat="1" ht="50.25" customHeight="1">
      <c r="A76" s="267" t="s">
        <v>0</v>
      </c>
    </row>
    <row r="77" s="267" customFormat="1" ht="23.25" customHeight="1">
      <c r="A77" s="267" t="s">
        <v>3</v>
      </c>
    </row>
    <row r="78" s="267" customFormat="1" ht="70.5" customHeight="1">
      <c r="A78" s="363" t="s">
        <v>41</v>
      </c>
    </row>
    <row r="79" s="267" customFormat="1" ht="88.5" customHeight="1">
      <c r="A79" s="363" t="s">
        <v>42</v>
      </c>
    </row>
    <row r="80" s="267" customFormat="1" ht="43.5" customHeight="1">
      <c r="A80" s="267" t="s">
        <v>43</v>
      </c>
    </row>
    <row r="81" s="267" customFormat="1" ht="54" customHeight="1">
      <c r="A81" s="267" t="s">
        <v>44</v>
      </c>
    </row>
    <row r="83" s="267" customFormat="1" ht="33.75" customHeight="1">
      <c r="A83" s="267" t="s">
        <v>1</v>
      </c>
    </row>
    <row r="85" ht="21.75" customHeight="1">
      <c r="A85" s="267" t="s">
        <v>2</v>
      </c>
    </row>
    <row r="87" ht="49.5" customHeight="1">
      <c r="A87" s="363" t="s">
        <v>45</v>
      </c>
    </row>
    <row r="88" ht="81.75" customHeight="1">
      <c r="A88" s="363" t="s">
        <v>46</v>
      </c>
    </row>
    <row r="89" ht="97.5" customHeight="1">
      <c r="A89" s="363" t="s">
        <v>47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1.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7">
      <selection activeCell="E45" sqref="E45"/>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16384" width="8.8984375" style="1" customWidth="1"/>
  </cols>
  <sheetData>
    <row r="1" spans="1:5" ht="15.75">
      <c r="A1" s="437" t="s">
        <v>63</v>
      </c>
      <c r="B1" s="438"/>
      <c r="C1" s="438"/>
      <c r="D1" s="438"/>
      <c r="E1" s="438"/>
    </row>
    <row r="2" spans="1:5" ht="15.75">
      <c r="A2" s="2"/>
      <c r="B2" s="3"/>
      <c r="C2" s="3"/>
      <c r="D2" s="3"/>
      <c r="E2" s="3"/>
    </row>
    <row r="3" spans="1:5" ht="15.75">
      <c r="A3" s="4" t="s">
        <v>188</v>
      </c>
      <c r="B3" s="3"/>
      <c r="C3" s="3"/>
      <c r="D3" s="5" t="s">
        <v>51</v>
      </c>
      <c r="E3" s="6"/>
    </row>
    <row r="4" spans="1:5" ht="15.75">
      <c r="A4" s="4" t="s">
        <v>260</v>
      </c>
      <c r="B4" s="3"/>
      <c r="C4" s="3"/>
      <c r="D4" s="7" t="s">
        <v>52</v>
      </c>
      <c r="E4" s="6"/>
    </row>
    <row r="5" spans="1:5" ht="15.75">
      <c r="A5" s="2"/>
      <c r="B5" s="3"/>
      <c r="C5" s="3"/>
      <c r="D5" s="8"/>
      <c r="E5" s="6"/>
    </row>
    <row r="6" spans="1:5" ht="15.75">
      <c r="A6" s="4" t="s">
        <v>201</v>
      </c>
      <c r="B6" s="3"/>
      <c r="C6" s="3"/>
      <c r="D6" s="9">
        <v>2012</v>
      </c>
      <c r="E6" s="6"/>
    </row>
    <row r="7" spans="1:5" ht="15.75">
      <c r="A7" s="3"/>
      <c r="B7" s="3"/>
      <c r="C7" s="3"/>
      <c r="D7" s="3"/>
      <c r="E7" s="3"/>
    </row>
    <row r="8" spans="1:5" ht="15.75">
      <c r="A8" s="439" t="s">
        <v>243</v>
      </c>
      <c r="B8" s="440"/>
      <c r="C8" s="440"/>
      <c r="D8" s="440"/>
      <c r="E8" s="440"/>
    </row>
    <row r="9" spans="1:5" ht="15.75">
      <c r="A9" s="10" t="s">
        <v>136</v>
      </c>
      <c r="B9" s="11"/>
      <c r="C9" s="11"/>
      <c r="D9" s="11"/>
      <c r="E9" s="11"/>
    </row>
    <row r="10" spans="1:5" ht="15.75">
      <c r="A10" s="441" t="s">
        <v>242</v>
      </c>
      <c r="B10" s="442"/>
      <c r="C10" s="442"/>
      <c r="D10" s="442"/>
      <c r="E10" s="442"/>
    </row>
    <row r="11" spans="1:5" ht="15.75">
      <c r="A11" s="12"/>
      <c r="B11" s="3"/>
      <c r="C11" s="3"/>
      <c r="D11" s="3"/>
      <c r="E11" s="3"/>
    </row>
    <row r="12" spans="1:5" ht="15.75">
      <c r="A12" s="435" t="s">
        <v>235</v>
      </c>
      <c r="B12" s="436"/>
      <c r="C12" s="436"/>
      <c r="D12" s="436"/>
      <c r="E12" s="436"/>
    </row>
    <row r="13" spans="1:5" ht="15.75">
      <c r="A13" s="12"/>
      <c r="B13" s="3"/>
      <c r="C13" s="3"/>
      <c r="D13" s="3"/>
      <c r="E13" s="3"/>
    </row>
    <row r="14" spans="1:5" ht="15.75">
      <c r="A14" s="13" t="s">
        <v>205</v>
      </c>
      <c r="B14" s="14"/>
      <c r="C14" s="3"/>
      <c r="D14" s="3"/>
      <c r="E14" s="3"/>
    </row>
    <row r="15" spans="1:5" ht="15.75">
      <c r="A15" s="15" t="str">
        <f>CONCATENATE("the ",D6-1," Budget, Certificate Page:")</f>
        <v>the 2011 Budget, Certificate Page:</v>
      </c>
      <c r="B15" s="16"/>
      <c r="C15" s="3"/>
      <c r="D15" s="3"/>
      <c r="E15" s="3"/>
    </row>
    <row r="16" spans="1:5" ht="15.75">
      <c r="A16" s="15" t="s">
        <v>284</v>
      </c>
      <c r="B16" s="16"/>
      <c r="C16" s="3"/>
      <c r="D16" s="3"/>
      <c r="E16" s="3"/>
    </row>
    <row r="17" spans="1:5" ht="15.75">
      <c r="A17" s="3"/>
      <c r="B17" s="3"/>
      <c r="C17" s="17"/>
      <c r="D17" s="18">
        <f>D6-1</f>
        <v>2011</v>
      </c>
      <c r="E17" s="443" t="str">
        <f>CONCATENATE("Amount of ",D6-2,"     Ad Valorem Tax")</f>
        <v>Amount of 2010     Ad Valorem Tax</v>
      </c>
    </row>
    <row r="18" spans="1:5" ht="15.75">
      <c r="A18" s="2" t="s">
        <v>64</v>
      </c>
      <c r="B18" s="3"/>
      <c r="C18" s="17" t="s">
        <v>65</v>
      </c>
      <c r="D18" s="19" t="s">
        <v>285</v>
      </c>
      <c r="E18" s="444"/>
    </row>
    <row r="19" spans="1:5" ht="15.75">
      <c r="A19" s="3"/>
      <c r="B19" s="20" t="s">
        <v>66</v>
      </c>
      <c r="C19" s="21" t="s">
        <v>50</v>
      </c>
      <c r="D19" s="22">
        <v>383500</v>
      </c>
      <c r="E19" s="22">
        <v>223060</v>
      </c>
    </row>
    <row r="20" spans="1:5" ht="15.75">
      <c r="A20" s="3"/>
      <c r="B20" s="20" t="s">
        <v>283</v>
      </c>
      <c r="C20" s="23" t="s">
        <v>207</v>
      </c>
      <c r="D20" s="22"/>
      <c r="E20" s="22"/>
    </row>
    <row r="21" spans="1:5" ht="15.75">
      <c r="A21" s="2" t="s">
        <v>67</v>
      </c>
      <c r="B21" s="3"/>
      <c r="C21" s="3"/>
      <c r="D21" s="24"/>
      <c r="E21" s="25"/>
    </row>
    <row r="22" spans="1:5" ht="15.75">
      <c r="A22" s="3"/>
      <c r="B22" s="21"/>
      <c r="C22" s="325"/>
      <c r="D22" s="22"/>
      <c r="E22" s="22"/>
    </row>
    <row r="23" spans="1:5" ht="15.75">
      <c r="A23" s="3"/>
      <c r="B23" s="21"/>
      <c r="C23" s="325"/>
      <c r="D23" s="22"/>
      <c r="E23" s="22"/>
    </row>
    <row r="24" spans="1:5" ht="15.75">
      <c r="A24" s="26" t="str">
        <f>CONCATENATE("Total Ad Valorem Tax for ",D6-1," Budgeted Year")</f>
        <v>Total Ad Valorem Tax for 2011 Budgeted Year</v>
      </c>
      <c r="B24" s="27"/>
      <c r="C24" s="27"/>
      <c r="D24" s="28"/>
      <c r="E24" s="29">
        <f>SUM(E19:E20,E22:E23)</f>
        <v>223060</v>
      </c>
    </row>
    <row r="25" spans="1:5" ht="15.75">
      <c r="A25" s="30" t="s">
        <v>68</v>
      </c>
      <c r="B25" s="3"/>
      <c r="C25" s="3"/>
      <c r="D25" s="3"/>
      <c r="E25" s="3"/>
    </row>
    <row r="26" spans="1:5" ht="15.75">
      <c r="A26" s="3"/>
      <c r="B26" s="21"/>
      <c r="C26" s="3"/>
      <c r="D26" s="22"/>
      <c r="E26" s="3"/>
    </row>
    <row r="27" spans="1:5" ht="15.75">
      <c r="A27" s="3"/>
      <c r="B27" s="21"/>
      <c r="C27" s="3"/>
      <c r="D27" s="22"/>
      <c r="E27" s="3"/>
    </row>
    <row r="28" spans="1:5" ht="15.75">
      <c r="A28" s="27" t="str">
        <f>CONCATENATE("Total Expenditures for ",D6-1," Budgeted Year")</f>
        <v>Total Expenditures for 2011 Budgeted Year</v>
      </c>
      <c r="B28" s="27"/>
      <c r="C28" s="31"/>
      <c r="D28" s="32">
        <f>SUM(D19:D20,D22:D23,D26:D27)</f>
        <v>383500</v>
      </c>
      <c r="E28" s="24"/>
    </row>
    <row r="29" spans="1:5" ht="15.75">
      <c r="A29" s="3" t="s">
        <v>277</v>
      </c>
      <c r="B29" s="3"/>
      <c r="C29" s="3"/>
      <c r="D29" s="3"/>
      <c r="E29" s="24"/>
    </row>
    <row r="30" spans="1:5" ht="15.75">
      <c r="A30" s="3">
        <v>1</v>
      </c>
      <c r="B30" s="33" t="s">
        <v>57</v>
      </c>
      <c r="C30" s="3"/>
      <c r="D30" s="3"/>
      <c r="E30" s="24"/>
    </row>
    <row r="31" spans="1:5" ht="15.75">
      <c r="A31" s="3">
        <v>2</v>
      </c>
      <c r="B31" s="33" t="s">
        <v>60</v>
      </c>
      <c r="C31" s="3"/>
      <c r="D31" s="3"/>
      <c r="E31" s="24"/>
    </row>
    <row r="32" spans="1:5" ht="15.75">
      <c r="A32" s="3">
        <v>3</v>
      </c>
      <c r="B32" s="33" t="s">
        <v>305</v>
      </c>
      <c r="C32" s="3"/>
      <c r="D32" s="3"/>
      <c r="E32" s="24"/>
    </row>
    <row r="33" spans="1:5" ht="15.75">
      <c r="A33" s="3">
        <v>4</v>
      </c>
      <c r="B33" s="33"/>
      <c r="C33" s="3"/>
      <c r="D33" s="3"/>
      <c r="E33" s="24"/>
    </row>
    <row r="34" spans="1:5" ht="15.75">
      <c r="A34" s="3">
        <v>5</v>
      </c>
      <c r="B34" s="33"/>
      <c r="C34" s="3"/>
      <c r="D34" s="3"/>
      <c r="E34" s="24"/>
    </row>
    <row r="35" spans="1:5" ht="15.75">
      <c r="A35" s="3"/>
      <c r="B35" s="3"/>
      <c r="C35" s="3"/>
      <c r="D35" s="3"/>
      <c r="E35" s="24"/>
    </row>
    <row r="36" spans="1:5" ht="15.75">
      <c r="A36" s="13" t="s">
        <v>205</v>
      </c>
      <c r="B36" s="14"/>
      <c r="C36" s="3"/>
      <c r="D36" s="433" t="str">
        <f>CONCATENATE("",D6-3," Tax Rate          (",D6-2," Column)")</f>
        <v>2009 Tax Rate          (2010 Column)</v>
      </c>
      <c r="E36" s="24"/>
    </row>
    <row r="37" spans="1:5" ht="15.75">
      <c r="A37" s="15" t="str">
        <f>CONCATENATE("the ",D6-1," Budget, Budget Summary Page:")</f>
        <v>the 2011 Budget, Budget Summary Page:</v>
      </c>
      <c r="B37" s="16"/>
      <c r="C37" s="3"/>
      <c r="D37" s="434"/>
      <c r="E37" s="24"/>
    </row>
    <row r="38" spans="1:5" ht="15.75">
      <c r="A38" s="3"/>
      <c r="B38" s="23" t="str">
        <f>B19</f>
        <v>General</v>
      </c>
      <c r="C38" s="3"/>
      <c r="D38" s="34">
        <v>10.497</v>
      </c>
      <c r="E38" s="24"/>
    </row>
    <row r="39" spans="1:5" ht="15.75">
      <c r="A39" s="3"/>
      <c r="B39" s="23" t="str">
        <f>B20</f>
        <v>Debt Service</v>
      </c>
      <c r="C39" s="3"/>
      <c r="D39" s="34"/>
      <c r="E39" s="24"/>
    </row>
    <row r="40" spans="1:5" ht="15.75">
      <c r="A40" s="3"/>
      <c r="B40" s="23">
        <f>B22</f>
        <v>0</v>
      </c>
      <c r="C40" s="3"/>
      <c r="D40" s="34"/>
      <c r="E40" s="24"/>
    </row>
    <row r="41" spans="1:5" ht="15.75">
      <c r="A41" s="3"/>
      <c r="B41" s="23">
        <f>B23</f>
        <v>0</v>
      </c>
      <c r="C41" s="3"/>
      <c r="D41" s="34"/>
      <c r="E41" s="24"/>
    </row>
    <row r="42" spans="1:5" ht="16.5" thickBot="1">
      <c r="A42" s="2" t="s">
        <v>69</v>
      </c>
      <c r="B42" s="3"/>
      <c r="C42" s="3"/>
      <c r="D42" s="35">
        <f>SUM(D38:D41)</f>
        <v>10.497</v>
      </c>
      <c r="E42" s="24"/>
    </row>
    <row r="43" spans="1:5" ht="16.5" thickTop="1">
      <c r="A43" s="3"/>
      <c r="B43" s="3"/>
      <c r="C43" s="3"/>
      <c r="D43" s="3"/>
      <c r="E43" s="24"/>
    </row>
    <row r="44" spans="1:5" ht="15.75">
      <c r="A44" s="36" t="str">
        <f>CONCATENATE("Total Tax Levied (",D6-2," budget column)")</f>
        <v>Total Tax Levied (2010 budget column)</v>
      </c>
      <c r="B44" s="14"/>
      <c r="C44" s="3"/>
      <c r="D44" s="3"/>
      <c r="E44" s="37">
        <v>231275</v>
      </c>
    </row>
    <row r="45" spans="1:5" ht="15.75">
      <c r="A45" s="36" t="str">
        <f>CONCATENATE("Assessed Valuation (",D6-2," budget column)")</f>
        <v>Assessed Valuation (2010 budget column)</v>
      </c>
      <c r="B45" s="14"/>
      <c r="C45" s="3"/>
      <c r="D45" s="3"/>
      <c r="E45" s="38">
        <v>17841623</v>
      </c>
    </row>
    <row r="46" spans="1:5" ht="15.75">
      <c r="A46" s="3"/>
      <c r="B46" s="3"/>
      <c r="C46" s="3"/>
      <c r="D46" s="3"/>
      <c r="E46" s="24" t="s">
        <v>303</v>
      </c>
    </row>
    <row r="47" spans="1:5" ht="15.75">
      <c r="A47" s="14" t="s">
        <v>244</v>
      </c>
      <c r="B47" s="14"/>
      <c r="C47" s="39"/>
      <c r="D47" s="40">
        <f>D6-3</f>
        <v>2009</v>
      </c>
      <c r="E47" s="40">
        <f>D6-2</f>
        <v>2010</v>
      </c>
    </row>
    <row r="48" spans="1:5" ht="15.75">
      <c r="A48" s="41" t="s">
        <v>202</v>
      </c>
      <c r="B48" s="41"/>
      <c r="C48" s="42"/>
      <c r="D48" s="43"/>
      <c r="E48" s="43"/>
    </row>
    <row r="49" spans="1:5" ht="15.75">
      <c r="A49" s="44" t="s">
        <v>203</v>
      </c>
      <c r="B49" s="44"/>
      <c r="C49" s="45"/>
      <c r="D49" s="43"/>
      <c r="E49" s="43"/>
    </row>
    <row r="50" spans="1:5" ht="15.75">
      <c r="A50" s="44" t="s">
        <v>22</v>
      </c>
      <c r="B50" s="44"/>
      <c r="C50" s="45"/>
      <c r="D50" s="43"/>
      <c r="E50" s="43"/>
    </row>
    <row r="51" spans="1:5" ht="15.75">
      <c r="A51" s="44" t="s">
        <v>204</v>
      </c>
      <c r="B51" s="44"/>
      <c r="C51" s="45"/>
      <c r="D51" s="43"/>
      <c r="E51" s="43"/>
    </row>
    <row r="52" spans="1:5" ht="15.75">
      <c r="A52" s="44"/>
      <c r="B52" s="44"/>
      <c r="C52" s="46"/>
      <c r="D52" s="43"/>
      <c r="E52" s="43"/>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9">
      <selection activeCell="E37" sqref="E37"/>
    </sheetView>
  </sheetViews>
  <sheetFormatPr defaultColWidth="8.796875" defaultRowHeight="15"/>
  <cols>
    <col min="1" max="1" width="15.796875" style="48" customWidth="1"/>
    <col min="2" max="2" width="20.796875" style="48" customWidth="1"/>
    <col min="3" max="3" width="10.796875" style="48" customWidth="1"/>
    <col min="4" max="4" width="15.69921875" style="48" customWidth="1"/>
    <col min="5" max="5" width="14.19921875" style="48" customWidth="1"/>
    <col min="6" max="16384" width="8.8984375" style="48" customWidth="1"/>
  </cols>
  <sheetData>
    <row r="1" spans="1:5" ht="15.75">
      <c r="A1" s="47" t="str">
        <f>inputPrYr!D3</f>
        <v>Downtown Shareholder Self Supporting Municipal Improvement District</v>
      </c>
      <c r="B1" s="47"/>
      <c r="C1" s="47"/>
      <c r="D1" s="47"/>
      <c r="E1" s="47">
        <f>inputPrYr!D6</f>
        <v>2012</v>
      </c>
    </row>
    <row r="2" spans="1:5" ht="15.75">
      <c r="A2" s="47" t="str">
        <f>inputPrYr!D4</f>
        <v>Wyandotte County</v>
      </c>
      <c r="B2" s="47"/>
      <c r="C2" s="47"/>
      <c r="D2" s="47"/>
      <c r="E2" s="47"/>
    </row>
    <row r="3" spans="1:5" ht="15">
      <c r="A3" s="49"/>
      <c r="B3" s="49"/>
      <c r="C3" s="49"/>
      <c r="D3" s="49"/>
      <c r="E3" s="49"/>
    </row>
    <row r="4" spans="1:5" ht="15.75">
      <c r="A4" s="435" t="s">
        <v>235</v>
      </c>
      <c r="B4" s="436"/>
      <c r="C4" s="436"/>
      <c r="D4" s="436"/>
      <c r="E4" s="436"/>
    </row>
    <row r="5" spans="1:5" ht="15">
      <c r="A5" s="49"/>
      <c r="B5" s="49"/>
      <c r="C5" s="49"/>
      <c r="D5" s="49"/>
      <c r="E5" s="49"/>
    </row>
    <row r="6" spans="1:5" ht="15.75">
      <c r="A6" s="50" t="str">
        <f>CONCATENATE("From the County Clerks ",E1," Budget Information:")</f>
        <v>From the County Clerks 2012 Budget Information:</v>
      </c>
      <c r="B6" s="51"/>
      <c r="C6" s="51"/>
      <c r="D6" s="3"/>
      <c r="E6" s="24"/>
    </row>
    <row r="7" spans="1:5" ht="15.75">
      <c r="A7" s="52" t="str">
        <f>CONCATENATE("Total Assessed Valuation for ",inputPrYr!D6-1,"")</f>
        <v>Total Assessed Valuation for 2011</v>
      </c>
      <c r="B7" s="27"/>
      <c r="C7" s="27"/>
      <c r="D7" s="27"/>
      <c r="E7" s="37">
        <v>17019876</v>
      </c>
    </row>
    <row r="8" spans="1:5" ht="15.75">
      <c r="A8" s="53" t="str">
        <f>CONCATENATE("New Improvements for ",inputPrYr!D6-1,"")</f>
        <v>New Improvements for 2011</v>
      </c>
      <c r="B8" s="54"/>
      <c r="C8" s="54"/>
      <c r="D8" s="54"/>
      <c r="E8" s="55">
        <v>0</v>
      </c>
    </row>
    <row r="9" spans="1:5" ht="15.75">
      <c r="A9" s="53" t="str">
        <f>CONCATENATE("Personal Property excluding oil, gas, and mobile homes- ",inputPrYr!D6-1,"")</f>
        <v>Personal Property excluding oil, gas, and mobile homes- 2011</v>
      </c>
      <c r="B9" s="54"/>
      <c r="C9" s="54"/>
      <c r="D9" s="54"/>
      <c r="E9" s="55">
        <v>0</v>
      </c>
    </row>
    <row r="10" spans="1:5" ht="15.75">
      <c r="A10" s="53" t="str">
        <f>CONCATENATE("Property that has changed in use for ",inputPrYr!D6-1,"")</f>
        <v>Property that has changed in use for 2011</v>
      </c>
      <c r="B10" s="54"/>
      <c r="C10" s="54"/>
      <c r="D10" s="54"/>
      <c r="E10" s="55">
        <v>0</v>
      </c>
    </row>
    <row r="11" spans="1:5" ht="15.75">
      <c r="A11" s="52" t="str">
        <f>CONCATENATE("Personal Property excluding oil, gas, and mobile homes- ",inputPrYr!D6-2,"")</f>
        <v>Personal Property excluding oil, gas, and mobile homes- 2010</v>
      </c>
      <c r="B11" s="27"/>
      <c r="C11" s="27"/>
      <c r="D11" s="27"/>
      <c r="E11" s="55">
        <v>0</v>
      </c>
    </row>
    <row r="12" spans="1:5" ht="15.75">
      <c r="A12" s="53" t="str">
        <f>CONCATENATE("Neighborhood Revitalization - ",E1,"")</f>
        <v>Neighborhood Revitalization - 2012</v>
      </c>
      <c r="B12" s="54"/>
      <c r="C12" s="54"/>
      <c r="D12" s="54"/>
      <c r="E12" s="55">
        <v>0</v>
      </c>
    </row>
    <row r="13" spans="1:5" ht="15.75">
      <c r="A13" s="30"/>
      <c r="B13" s="56"/>
      <c r="C13" s="56"/>
      <c r="D13" s="56"/>
      <c r="E13" s="57"/>
    </row>
    <row r="14" spans="1:5" ht="15.75">
      <c r="A14" s="58" t="str">
        <f>CONCATENATE("Actual Tax Rates for the ",E1-1," Budget:")</f>
        <v>Actual Tax Rates for the 2011 Budget:</v>
      </c>
      <c r="B14" s="56"/>
      <c r="C14" s="56"/>
      <c r="D14" s="56"/>
      <c r="E14" s="59"/>
    </row>
    <row r="15" spans="1:5" ht="15.75">
      <c r="A15" s="445" t="s">
        <v>82</v>
      </c>
      <c r="B15" s="440"/>
      <c r="C15" s="49"/>
      <c r="D15" s="60" t="s">
        <v>119</v>
      </c>
      <c r="E15" s="59"/>
    </row>
    <row r="16" spans="1:5" ht="15.75">
      <c r="A16" s="52" t="s">
        <v>66</v>
      </c>
      <c r="B16" s="27"/>
      <c r="C16" s="56"/>
      <c r="D16" s="61">
        <v>12.378</v>
      </c>
      <c r="E16" s="59"/>
    </row>
    <row r="17" spans="1:5" ht="15.75">
      <c r="A17" s="53" t="s">
        <v>283</v>
      </c>
      <c r="B17" s="54"/>
      <c r="C17" s="56"/>
      <c r="D17" s="62"/>
      <c r="E17" s="59"/>
    </row>
    <row r="18" spans="1:5" ht="15.75">
      <c r="A18" s="53">
        <f>inputPrYr!B22</f>
        <v>0</v>
      </c>
      <c r="B18" s="54"/>
      <c r="C18" s="56"/>
      <c r="D18" s="62"/>
      <c r="E18" s="59"/>
    </row>
    <row r="19" spans="1:5" ht="15.75">
      <c r="A19" s="53">
        <f>inputPrYr!B23</f>
        <v>0</v>
      </c>
      <c r="B19" s="54"/>
      <c r="C19" s="56"/>
      <c r="D19" s="62"/>
      <c r="E19" s="59"/>
    </row>
    <row r="20" spans="1:5" ht="15.75">
      <c r="A20" s="53"/>
      <c r="B20" s="54"/>
      <c r="C20" s="56"/>
      <c r="D20" s="62"/>
      <c r="E20" s="59"/>
    </row>
    <row r="21" spans="1:5" ht="15.75">
      <c r="A21" s="53"/>
      <c r="B21" s="54"/>
      <c r="C21" s="56"/>
      <c r="D21" s="63"/>
      <c r="E21" s="59"/>
    </row>
    <row r="22" spans="1:5" ht="15.75">
      <c r="A22" s="64"/>
      <c r="B22" s="27" t="s">
        <v>240</v>
      </c>
      <c r="C22" s="65"/>
      <c r="D22" s="66">
        <f>SUM(D16:D21)</f>
        <v>12.378</v>
      </c>
      <c r="E22" s="64"/>
    </row>
    <row r="23" spans="1:5" ht="15">
      <c r="A23" s="64"/>
      <c r="B23" s="64"/>
      <c r="C23" s="64"/>
      <c r="D23" s="64"/>
      <c r="E23" s="64"/>
    </row>
    <row r="24" spans="1:5" ht="15.75">
      <c r="A24" s="27" t="str">
        <f>CONCATENATE("Final Assessed Valuation from the November 1, ",E1-2," Abstract")</f>
        <v>Final Assessed Valuation from the November 1, 2010 Abstract</v>
      </c>
      <c r="B24" s="67"/>
      <c r="C24" s="67"/>
      <c r="D24" s="67"/>
      <c r="E24" s="43">
        <v>18020993</v>
      </c>
    </row>
    <row r="25" spans="1:5" ht="15">
      <c r="A25" s="64"/>
      <c r="B25" s="64"/>
      <c r="C25" s="64"/>
      <c r="D25" s="64"/>
      <c r="E25" s="64"/>
    </row>
    <row r="26" spans="1:5" ht="15.75">
      <c r="A26" s="68" t="str">
        <f>CONCATENATE("From the County Treasurer's Budget Information - ",E1," Budget Year Estimates:")</f>
        <v>From the County Treasurer's Budget Information - 2012 Budget Year Estimates:</v>
      </c>
      <c r="B26" s="14"/>
      <c r="C26" s="14"/>
      <c r="D26" s="69"/>
      <c r="E26" s="24"/>
    </row>
    <row r="27" spans="1:5" ht="15.75">
      <c r="A27" s="52" t="s">
        <v>70</v>
      </c>
      <c r="B27" s="27"/>
      <c r="C27" s="27"/>
      <c r="D27" s="70"/>
      <c r="E27" s="22"/>
    </row>
    <row r="28" spans="1:5" ht="15.75">
      <c r="A28" s="53" t="s">
        <v>71</v>
      </c>
      <c r="B28" s="54"/>
      <c r="C28" s="54"/>
      <c r="D28" s="71"/>
      <c r="E28" s="22"/>
    </row>
    <row r="29" spans="1:5" ht="15.75">
      <c r="A29" s="53" t="s">
        <v>223</v>
      </c>
      <c r="B29" s="54"/>
      <c r="C29" s="54"/>
      <c r="D29" s="71"/>
      <c r="E29" s="22"/>
    </row>
    <row r="30" spans="1:5" ht="15.75">
      <c r="A30" s="53" t="s">
        <v>210</v>
      </c>
      <c r="B30" s="54"/>
      <c r="C30" s="54"/>
      <c r="D30" s="71"/>
      <c r="E30" s="22"/>
    </row>
    <row r="31" spans="1:5" ht="15.75">
      <c r="A31" s="53" t="s">
        <v>211</v>
      </c>
      <c r="B31" s="54"/>
      <c r="C31" s="54"/>
      <c r="D31" s="71"/>
      <c r="E31" s="22"/>
    </row>
    <row r="32" spans="1:5" ht="15.75">
      <c r="A32" s="52"/>
      <c r="B32" s="27"/>
      <c r="C32" s="27"/>
      <c r="D32" s="70"/>
      <c r="E32" s="22"/>
    </row>
    <row r="33" spans="1:5" ht="15.75">
      <c r="A33" s="3" t="s">
        <v>224</v>
      </c>
      <c r="B33" s="3"/>
      <c r="C33" s="3"/>
      <c r="D33" s="3"/>
      <c r="E33" s="3"/>
    </row>
    <row r="34" spans="1:5" ht="15.75">
      <c r="A34" s="72" t="s">
        <v>168</v>
      </c>
      <c r="B34" s="11"/>
      <c r="C34" s="11"/>
      <c r="D34" s="3"/>
      <c r="E34" s="3"/>
    </row>
    <row r="35" spans="1:5" ht="15.75">
      <c r="A35" s="73" t="str">
        <f>CONCATENATE("Actual Delinquency for ",E1-3," Tax (round to three decimal places)")</f>
        <v>Actual Delinquency for 2009 Tax (round to three decimal places)</v>
      </c>
      <c r="B35" s="56"/>
      <c r="C35" s="3"/>
      <c r="D35" s="3"/>
      <c r="E35" s="74">
        <v>0.124</v>
      </c>
    </row>
    <row r="36" spans="1:5" ht="15.75">
      <c r="A36" s="73" t="s">
        <v>241</v>
      </c>
      <c r="B36" s="73"/>
      <c r="C36" s="56"/>
      <c r="D36" s="56"/>
      <c r="E36" s="319">
        <v>0.15</v>
      </c>
    </row>
    <row r="37" spans="1:5" ht="15.75">
      <c r="A37" s="75" t="s">
        <v>225</v>
      </c>
      <c r="B37" s="75"/>
      <c r="C37" s="76"/>
      <c r="D37" s="76"/>
      <c r="E37" s="77"/>
    </row>
    <row r="38" spans="1:5" ht="15">
      <c r="A38" s="49"/>
      <c r="B38" s="49"/>
      <c r="C38" s="49"/>
      <c r="D38" s="49"/>
      <c r="E38" s="49"/>
    </row>
    <row r="39" spans="1:5" ht="15.75">
      <c r="A39" s="446" t="str">
        <f>CONCATENATE("From the ",E1-2," Budget Certificate Page")</f>
        <v>From the 2010 Budget Certificate Page</v>
      </c>
      <c r="B39" s="447"/>
      <c r="C39" s="49"/>
      <c r="D39" s="49"/>
      <c r="E39" s="49"/>
    </row>
    <row r="40" spans="1:5" ht="15.75">
      <c r="A40" s="78"/>
      <c r="B40" s="78" t="str">
        <f>CONCATENATE("",E1-2," Expenditure Amounts")</f>
        <v>2010 Expenditure Amounts</v>
      </c>
      <c r="C40" s="448" t="str">
        <f>CONCATENATE("Note: If the ",E1-2," budget was amended, then the")</f>
        <v>Note: If the 2010 budget was amended, then the</v>
      </c>
      <c r="D40" s="449"/>
      <c r="E40" s="449"/>
    </row>
    <row r="41" spans="1:5" ht="15.75">
      <c r="A41" s="79" t="s">
        <v>249</v>
      </c>
      <c r="B41" s="79" t="s">
        <v>250</v>
      </c>
      <c r="C41" s="80" t="s">
        <v>251</v>
      </c>
      <c r="D41" s="81"/>
      <c r="E41" s="81"/>
    </row>
    <row r="42" spans="1:5" ht="15.75">
      <c r="A42" s="82" t="str">
        <f>inputPrYr!B19</f>
        <v>General</v>
      </c>
      <c r="B42" s="43">
        <v>364079</v>
      </c>
      <c r="C42" s="80" t="s">
        <v>252</v>
      </c>
      <c r="D42" s="81"/>
      <c r="E42" s="81"/>
    </row>
    <row r="43" spans="1:5" ht="15.75">
      <c r="A43" s="82" t="str">
        <f>inputPrYr!B20</f>
        <v>Debt Service</v>
      </c>
      <c r="B43" s="43"/>
      <c r="C43" s="80"/>
      <c r="D43" s="81"/>
      <c r="E43" s="81"/>
    </row>
    <row r="44" spans="1:5" ht="15.75">
      <c r="A44" s="82">
        <f>inputPrYr!B22</f>
        <v>0</v>
      </c>
      <c r="B44" s="43"/>
      <c r="C44" s="49"/>
      <c r="D44" s="49"/>
      <c r="E44" s="49"/>
    </row>
    <row r="45" spans="1:5" ht="15.75">
      <c r="A45" s="82">
        <f>inputPrYr!B23</f>
        <v>0</v>
      </c>
      <c r="B45" s="43"/>
      <c r="C45" s="49"/>
      <c r="D45" s="49"/>
      <c r="E45" s="49"/>
    </row>
    <row r="46" spans="1:5" ht="15.75">
      <c r="A46" s="82">
        <f>inputPrYr!B26</f>
        <v>0</v>
      </c>
      <c r="B46" s="43"/>
      <c r="C46" s="49"/>
      <c r="D46" s="49"/>
      <c r="E46" s="49"/>
    </row>
    <row r="47" spans="1:5" ht="15.75">
      <c r="A47" s="82">
        <f>inputPrYr!B27</f>
        <v>0</v>
      </c>
      <c r="B47" s="43"/>
      <c r="C47" s="49"/>
      <c r="D47" s="49"/>
      <c r="E47" s="49"/>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13.xml><?xml version="1.0" encoding="utf-8"?>
<worksheet xmlns="http://schemas.openxmlformats.org/spreadsheetml/2006/main" xmlns:r="http://schemas.openxmlformats.org/officeDocument/2006/relationships">
  <dimension ref="A2:F23"/>
  <sheetViews>
    <sheetView zoomScalePageLayoutView="0" workbookViewId="0" topLeftCell="A1">
      <selection activeCell="D14" sqref="D14"/>
    </sheetView>
  </sheetViews>
  <sheetFormatPr defaultColWidth="8.796875" defaultRowHeight="15"/>
  <cols>
    <col min="1" max="1" width="13.796875" style="0" customWidth="1"/>
    <col min="2" max="2" width="16.09765625" style="0" customWidth="1"/>
  </cols>
  <sheetData>
    <row r="2" spans="1:6" ht="54" customHeight="1">
      <c r="A2" s="450" t="s">
        <v>289</v>
      </c>
      <c r="B2" s="451"/>
      <c r="C2" s="451"/>
      <c r="D2" s="451"/>
      <c r="E2" s="451"/>
      <c r="F2" s="451"/>
    </row>
    <row r="4" spans="1:6" ht="15.75">
      <c r="A4" s="287"/>
      <c r="B4" s="287"/>
      <c r="C4" s="287"/>
      <c r="D4" s="288"/>
      <c r="E4" s="287"/>
      <c r="F4" s="287"/>
    </row>
    <row r="5" spans="1:6" ht="15.75">
      <c r="A5" s="289" t="s">
        <v>290</v>
      </c>
      <c r="B5" s="290" t="s">
        <v>53</v>
      </c>
      <c r="C5" s="291"/>
      <c r="D5" s="289" t="s">
        <v>49</v>
      </c>
      <c r="E5" s="287"/>
      <c r="F5" s="287"/>
    </row>
    <row r="6" spans="1:6" ht="15.75">
      <c r="A6" s="289"/>
      <c r="B6" s="292"/>
      <c r="C6" s="293"/>
      <c r="D6" s="289" t="s">
        <v>48</v>
      </c>
      <c r="E6" s="287"/>
      <c r="F6" s="287"/>
    </row>
    <row r="7" spans="1:6" ht="15.75">
      <c r="A7" s="289" t="s">
        <v>291</v>
      </c>
      <c r="B7" s="290" t="s">
        <v>54</v>
      </c>
      <c r="C7" s="294"/>
      <c r="D7" s="289"/>
      <c r="E7" s="287"/>
      <c r="F7" s="287"/>
    </row>
    <row r="8" spans="1:6" ht="15.75">
      <c r="A8" s="289"/>
      <c r="B8" s="289"/>
      <c r="C8" s="289"/>
      <c r="D8" s="289"/>
      <c r="E8" s="287"/>
      <c r="F8" s="287"/>
    </row>
    <row r="9" spans="1:6" ht="15.75">
      <c r="A9" s="289" t="s">
        <v>292</v>
      </c>
      <c r="B9" s="295" t="s">
        <v>55</v>
      </c>
      <c r="C9" s="295"/>
      <c r="D9" s="295"/>
      <c r="E9" s="296"/>
      <c r="F9" s="287"/>
    </row>
    <row r="10" spans="1:6" ht="15.75">
      <c r="A10" s="289"/>
      <c r="B10" s="289"/>
      <c r="C10" s="289"/>
      <c r="D10" s="289"/>
      <c r="E10" s="287"/>
      <c r="F10" s="287"/>
    </row>
    <row r="11" spans="1:6" ht="15.75">
      <c r="A11" s="289"/>
      <c r="B11" s="289"/>
      <c r="C11" s="289"/>
      <c r="D11" s="289"/>
      <c r="E11" s="287"/>
      <c r="F11" s="287"/>
    </row>
    <row r="12" spans="1:6" ht="15.75">
      <c r="A12" s="289" t="s">
        <v>293</v>
      </c>
      <c r="B12" s="295" t="s">
        <v>56</v>
      </c>
      <c r="C12" s="295"/>
      <c r="D12" s="295"/>
      <c r="E12" s="296"/>
      <c r="F12" s="287"/>
    </row>
    <row r="15" spans="1:6" ht="15.75">
      <c r="A15" s="452" t="s">
        <v>294</v>
      </c>
      <c r="B15" s="452"/>
      <c r="C15" s="289"/>
      <c r="D15" s="289"/>
      <c r="E15" s="289"/>
      <c r="F15" s="287"/>
    </row>
    <row r="16" spans="1:6" ht="15.75">
      <c r="A16" s="289"/>
      <c r="B16" s="289"/>
      <c r="C16" s="289"/>
      <c r="D16" s="289"/>
      <c r="E16" s="289"/>
      <c r="F16" s="287"/>
    </row>
    <row r="17" spans="1:5" ht="15.75">
      <c r="A17" s="289" t="s">
        <v>290</v>
      </c>
      <c r="B17" s="292" t="s">
        <v>295</v>
      </c>
      <c r="C17" s="289"/>
      <c r="D17" s="289"/>
      <c r="E17" s="289"/>
    </row>
    <row r="18" spans="1:5" ht="15.75">
      <c r="A18" s="289"/>
      <c r="B18" s="289"/>
      <c r="C18" s="289"/>
      <c r="D18" s="289"/>
      <c r="E18" s="289"/>
    </row>
    <row r="19" spans="1:5" ht="15.75">
      <c r="A19" s="289" t="s">
        <v>291</v>
      </c>
      <c r="B19" s="289" t="s">
        <v>296</v>
      </c>
      <c r="C19" s="289"/>
      <c r="D19" s="289"/>
      <c r="E19" s="289"/>
    </row>
    <row r="20" spans="1:5" ht="15.75">
      <c r="A20" s="289"/>
      <c r="B20" s="289"/>
      <c r="C20" s="289"/>
      <c r="D20" s="289"/>
      <c r="E20" s="289"/>
    </row>
    <row r="21" spans="1:5" ht="15.75">
      <c r="A21" s="289" t="s">
        <v>292</v>
      </c>
      <c r="B21" s="289" t="s">
        <v>298</v>
      </c>
      <c r="C21" s="289"/>
      <c r="D21" s="289"/>
      <c r="E21" s="289"/>
    </row>
    <row r="22" spans="1:5" ht="15.75">
      <c r="A22" s="289"/>
      <c r="B22" s="289"/>
      <c r="C22" s="289"/>
      <c r="D22" s="289"/>
      <c r="E22" s="289"/>
    </row>
    <row r="23" spans="1:5" ht="15.75">
      <c r="A23" s="289" t="s">
        <v>293</v>
      </c>
      <c r="B23" s="289" t="s">
        <v>297</v>
      </c>
      <c r="C23" s="289"/>
      <c r="D23" s="289"/>
      <c r="E23" s="28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8" customWidth="1"/>
    <col min="2" max="2" width="18.09765625" style="48" customWidth="1"/>
    <col min="3" max="5" width="11.796875" style="48" customWidth="1"/>
    <col min="6" max="16384" width="8.8984375" style="48" customWidth="1"/>
  </cols>
  <sheetData>
    <row r="1" spans="1:6" ht="15.75">
      <c r="A1" s="253" t="str">
        <f>inputPrYr!D3</f>
        <v>Downtown Shareholder Self Supporting Municipal Improvement District</v>
      </c>
      <c r="B1" s="39"/>
      <c r="C1" s="39"/>
      <c r="D1" s="39"/>
      <c r="E1" s="39"/>
      <c r="F1" s="39">
        <f>inputPrYr!D6</f>
        <v>2012</v>
      </c>
    </row>
    <row r="2" spans="1:6" ht="15.75">
      <c r="A2" s="253"/>
      <c r="B2" s="39"/>
      <c r="C2" s="39"/>
      <c r="D2" s="39"/>
      <c r="E2" s="39"/>
      <c r="F2" s="39"/>
    </row>
    <row r="3" spans="1:6" ht="15.75">
      <c r="A3" s="39"/>
      <c r="B3" s="39"/>
      <c r="C3" s="39"/>
      <c r="D3" s="39"/>
      <c r="E3" s="39"/>
      <c r="F3" s="39"/>
    </row>
    <row r="4" spans="1:6" ht="15.75">
      <c r="A4" s="3"/>
      <c r="B4" s="453" t="str">
        <f>CONCATENATE("",F1," Neighborhood Revitalization Rebate")</f>
        <v>2012 Neighborhood Revitalization Rebate</v>
      </c>
      <c r="C4" s="496"/>
      <c r="D4" s="496"/>
      <c r="E4" s="497"/>
      <c r="F4" s="39"/>
    </row>
    <row r="5" spans="1:6" ht="15.75">
      <c r="A5" s="3"/>
      <c r="B5" s="3"/>
      <c r="C5" s="3"/>
      <c r="D5" s="3"/>
      <c r="E5" s="3"/>
      <c r="F5" s="39"/>
    </row>
    <row r="6" spans="1:6" ht="51.75" customHeight="1">
      <c r="A6" s="3"/>
      <c r="B6" s="117" t="str">
        <f>CONCATENATE("Budgeted Funds                                 for ",F1,"")</f>
        <v>Budgeted Funds                                 for 2012</v>
      </c>
      <c r="C6" s="117" t="str">
        <f>CONCATENATE("",F1-1," Ad Valorem before Rebate**")</f>
        <v>2011 Ad Valorem before Rebate**</v>
      </c>
      <c r="D6" s="254" t="str">
        <f>CONCATENATE("",F1-1," Mil Rate before Rebate")</f>
        <v>2011 Mil Rate before Rebate</v>
      </c>
      <c r="E6" s="255" t="str">
        <f>CONCATENATE("Estimate ",F1," NR Rebate")</f>
        <v>Estimate 2012 NR Rebate</v>
      </c>
      <c r="F6" s="39"/>
    </row>
    <row r="7" spans="1:6" ht="15.75">
      <c r="A7" s="3"/>
      <c r="B7" s="256" t="str">
        <f>inputPrYr!B19</f>
        <v>General</v>
      </c>
      <c r="C7" s="257"/>
      <c r="D7" s="258">
        <f aca="true" t="shared" si="0" ref="D7:D12">IF(C7&gt;0,C7/$D$18,"")</f>
      </c>
      <c r="E7" s="94">
        <f aca="true" t="shared" si="1" ref="E7:E12">IF(C7&gt;0,ROUND(D7*$D$22,0),"")</f>
      </c>
      <c r="F7" s="39"/>
    </row>
    <row r="8" spans="1:6" ht="15.75">
      <c r="A8" s="3"/>
      <c r="B8" s="256" t="str">
        <f>inputPrYr!B20</f>
        <v>Debt Service</v>
      </c>
      <c r="C8" s="257"/>
      <c r="D8" s="258">
        <f t="shared" si="0"/>
      </c>
      <c r="E8" s="94">
        <f t="shared" si="1"/>
      </c>
      <c r="F8" s="39"/>
    </row>
    <row r="9" spans="1:6" ht="15.75">
      <c r="A9" s="3"/>
      <c r="B9" s="96" t="str">
        <f>IF(inputPrYr!$B22&gt;"  ",(inputPrYr!$B22),"  ")</f>
        <v>  </v>
      </c>
      <c r="C9" s="257"/>
      <c r="D9" s="258">
        <f t="shared" si="0"/>
      </c>
      <c r="E9" s="94">
        <f t="shared" si="1"/>
      </c>
      <c r="F9" s="39"/>
    </row>
    <row r="10" spans="1:6" ht="15.75">
      <c r="A10" s="3"/>
      <c r="B10" s="96" t="str">
        <f>IF(inputPrYr!$B23&gt;"  ",(inputPrYr!$B23),"  ")</f>
        <v>  </v>
      </c>
      <c r="C10" s="257"/>
      <c r="D10" s="258">
        <f t="shared" si="0"/>
      </c>
      <c r="E10" s="94">
        <f t="shared" si="1"/>
      </c>
      <c r="F10" s="39"/>
    </row>
    <row r="11" spans="1:6" ht="15.75">
      <c r="A11" s="3"/>
      <c r="B11" s="96"/>
      <c r="C11" s="257"/>
      <c r="D11" s="258">
        <f t="shared" si="0"/>
      </c>
      <c r="E11" s="94">
        <f t="shared" si="1"/>
      </c>
      <c r="F11" s="39"/>
    </row>
    <row r="12" spans="1:6" ht="15.75">
      <c r="A12" s="3"/>
      <c r="B12" s="96"/>
      <c r="C12" s="257"/>
      <c r="D12" s="258">
        <f t="shared" si="0"/>
      </c>
      <c r="E12" s="94">
        <f t="shared" si="1"/>
      </c>
      <c r="F12" s="39"/>
    </row>
    <row r="13" spans="1:6" ht="16.5" thickBot="1">
      <c r="A13" s="3"/>
      <c r="B13" s="23" t="s">
        <v>245</v>
      </c>
      <c r="C13" s="259">
        <f>SUM(C7:C12)</f>
        <v>0</v>
      </c>
      <c r="D13" s="260">
        <f>SUM(D7:D12)</f>
        <v>0</v>
      </c>
      <c r="E13" s="259">
        <f>SUM(E7:E12)</f>
        <v>0</v>
      </c>
      <c r="F13" s="39"/>
    </row>
    <row r="14" spans="1:6" ht="16.5" thickTop="1">
      <c r="A14" s="3"/>
      <c r="B14" s="3"/>
      <c r="C14" s="3"/>
      <c r="D14" s="3"/>
      <c r="E14" s="3"/>
      <c r="F14" s="39"/>
    </row>
    <row r="15" spans="1:6" ht="15.75">
      <c r="A15" s="3"/>
      <c r="B15" s="3"/>
      <c r="C15" s="3"/>
      <c r="D15" s="3"/>
      <c r="E15" s="3"/>
      <c r="F15" s="39"/>
    </row>
    <row r="16" spans="1:6" ht="15.75">
      <c r="A16" s="498" t="str">
        <f>CONCATENATE("",F1-1," July 1 Valuation:")</f>
        <v>2011 July 1 Valuation:</v>
      </c>
      <c r="B16" s="495"/>
      <c r="C16" s="498"/>
      <c r="D16" s="261">
        <f>inputOth!E7</f>
        <v>17019876</v>
      </c>
      <c r="E16" s="3"/>
      <c r="F16" s="39"/>
    </row>
    <row r="17" spans="1:6" ht="15.75">
      <c r="A17" s="3"/>
      <c r="B17" s="3"/>
      <c r="C17" s="3"/>
      <c r="D17" s="3"/>
      <c r="E17" s="3"/>
      <c r="F17" s="39"/>
    </row>
    <row r="18" spans="1:6" ht="15.75">
      <c r="A18" s="3"/>
      <c r="B18" s="498" t="s">
        <v>288</v>
      </c>
      <c r="C18" s="498"/>
      <c r="D18" s="262">
        <f>IF(D16&gt;0,(D16*0.001),"")</f>
        <v>17019.876</v>
      </c>
      <c r="E18" s="3"/>
      <c r="F18" s="39"/>
    </row>
    <row r="19" spans="1:6" ht="15.75">
      <c r="A19" s="3"/>
      <c r="B19" s="100"/>
      <c r="C19" s="100"/>
      <c r="D19" s="263"/>
      <c r="E19" s="3"/>
      <c r="F19" s="39"/>
    </row>
    <row r="20" spans="1:6" ht="15.75">
      <c r="A20" s="494" t="s">
        <v>286</v>
      </c>
      <c r="B20" s="497"/>
      <c r="C20" s="497"/>
      <c r="D20" s="264">
        <f>inputOth!E12</f>
        <v>0</v>
      </c>
      <c r="E20" s="49"/>
      <c r="F20" s="49"/>
    </row>
    <row r="21" spans="1:6" ht="15">
      <c r="A21" s="49"/>
      <c r="B21" s="49"/>
      <c r="C21" s="49"/>
      <c r="D21" s="265"/>
      <c r="E21" s="49"/>
      <c r="F21" s="49"/>
    </row>
    <row r="22" spans="1:6" ht="15.75">
      <c r="A22" s="49"/>
      <c r="B22" s="494" t="s">
        <v>287</v>
      </c>
      <c r="C22" s="495"/>
      <c r="D22" s="266">
        <f>IF(D20&gt;0,(D20*0.001),"")</f>
      </c>
      <c r="E22" s="49"/>
      <c r="F22" s="49"/>
    </row>
    <row r="23" spans="1:6" ht="15">
      <c r="A23" s="49"/>
      <c r="B23" s="49"/>
      <c r="C23" s="49"/>
      <c r="D23" s="49"/>
      <c r="E23" s="49"/>
      <c r="F23" s="49"/>
    </row>
    <row r="24" spans="1:6" ht="15">
      <c r="A24" s="49"/>
      <c r="B24" s="49"/>
      <c r="C24" s="49"/>
      <c r="D24" s="49"/>
      <c r="E24" s="49"/>
      <c r="F24" s="49"/>
    </row>
    <row r="25" spans="1:6" ht="15">
      <c r="A25" s="49"/>
      <c r="B25" s="49"/>
      <c r="C25" s="49"/>
      <c r="D25" s="49"/>
      <c r="E25" s="49"/>
      <c r="F25" s="49"/>
    </row>
    <row r="26" spans="1:6" ht="15.75">
      <c r="A26" s="300" t="str">
        <f>CONCATENATE("**This information comes from the ",F1," Budget Summary page.  See instructions tab #12 for completing")</f>
        <v>**This information comes from the 2012 Budget Summary page.  See instructions tab #12 for completing</v>
      </c>
      <c r="B26" s="49"/>
      <c r="C26" s="49"/>
      <c r="D26" s="49"/>
      <c r="E26" s="49"/>
      <c r="F26" s="49"/>
    </row>
    <row r="27" spans="1:6" ht="15.75">
      <c r="A27" s="300" t="s">
        <v>4</v>
      </c>
      <c r="B27" s="49"/>
      <c r="C27" s="49"/>
      <c r="D27" s="49"/>
      <c r="E27" s="49"/>
      <c r="F27" s="49"/>
    </row>
    <row r="28" spans="1:6" ht="15.75">
      <c r="A28" s="300"/>
      <c r="B28" s="49"/>
      <c r="C28" s="49"/>
      <c r="D28" s="49"/>
      <c r="E28" s="49"/>
      <c r="F28" s="49"/>
    </row>
    <row r="29" spans="1:6" ht="15.75">
      <c r="A29" s="300"/>
      <c r="B29" s="49"/>
      <c r="C29" s="49"/>
      <c r="D29" s="49"/>
      <c r="E29" s="49"/>
      <c r="F29" s="49"/>
    </row>
    <row r="30" spans="1:6" ht="15.75">
      <c r="A30" s="300"/>
      <c r="B30" s="49"/>
      <c r="C30" s="49"/>
      <c r="D30" s="49"/>
      <c r="E30" s="49"/>
      <c r="F30" s="49"/>
    </row>
    <row r="31" spans="1:6" ht="15.75">
      <c r="A31" s="300"/>
      <c r="B31" s="49"/>
      <c r="C31" s="49"/>
      <c r="D31" s="49"/>
      <c r="E31" s="49"/>
      <c r="F31" s="49"/>
    </row>
    <row r="32" spans="1:6" ht="15.75">
      <c r="A32" s="300"/>
      <c r="B32" s="49"/>
      <c r="C32" s="49"/>
      <c r="D32" s="49"/>
      <c r="E32" s="49"/>
      <c r="F32" s="49"/>
    </row>
    <row r="33" spans="1:6" ht="15.75">
      <c r="A33" s="300"/>
      <c r="B33" s="49"/>
      <c r="C33" s="49"/>
      <c r="D33" s="49"/>
      <c r="E33" s="49"/>
      <c r="F33" s="49"/>
    </row>
    <row r="34" spans="1:6" ht="15">
      <c r="A34" s="49"/>
      <c r="B34" s="49"/>
      <c r="C34" s="49"/>
      <c r="D34" s="49"/>
      <c r="E34" s="49"/>
      <c r="F34" s="49"/>
    </row>
    <row r="35" spans="1:6" ht="15.75">
      <c r="A35" s="49"/>
      <c r="B35" s="251" t="s">
        <v>100</v>
      </c>
      <c r="C35" s="218"/>
      <c r="D35" s="49"/>
      <c r="E35" s="49"/>
      <c r="F35" s="4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02" customWidth="1"/>
    <col min="3" max="3" width="31.296875" style="102" customWidth="1"/>
    <col min="4" max="4" width="2.296875" style="102" customWidth="1"/>
    <col min="5" max="5" width="15.796875" style="102" customWidth="1"/>
    <col min="6" max="6" width="2" style="102" customWidth="1"/>
    <col min="7" max="7" width="15.796875" style="102" customWidth="1"/>
    <col min="8" max="8" width="1.8984375" style="102" customWidth="1"/>
    <col min="9" max="9" width="1.796875" style="102" customWidth="1"/>
    <col min="10" max="10" width="15.796875" style="102" customWidth="1"/>
    <col min="11" max="16384" width="8.8984375" style="102" customWidth="1"/>
  </cols>
  <sheetData>
    <row r="1" spans="1:10" ht="15.75" customHeight="1">
      <c r="A1" s="3"/>
      <c r="B1" s="3"/>
      <c r="C1" s="3" t="str">
        <f>inputPrYr!D3</f>
        <v>Downtown Shareholder Self Supporting Municipal Improvement District</v>
      </c>
      <c r="D1" s="3"/>
      <c r="E1" s="3"/>
      <c r="F1" s="3"/>
      <c r="G1" s="3"/>
      <c r="H1" s="3"/>
      <c r="I1" s="3"/>
      <c r="J1" s="3">
        <f>inputPrYr!D6</f>
        <v>2012</v>
      </c>
    </row>
    <row r="2" spans="1:10" ht="15.75" customHeight="1">
      <c r="A2" s="3"/>
      <c r="B2" s="3"/>
      <c r="C2" s="3" t="str">
        <f>inputPrYr!D4</f>
        <v>Wyandotte County</v>
      </c>
      <c r="D2" s="3"/>
      <c r="E2" s="3"/>
      <c r="F2" s="3"/>
      <c r="G2" s="3"/>
      <c r="H2" s="3"/>
      <c r="I2" s="3"/>
      <c r="J2" s="3"/>
    </row>
    <row r="3" spans="1:10" ht="15.75">
      <c r="A3" s="439" t="str">
        <f>CONCATENATE("Computation to Determine Limit for ",J1,"")</f>
        <v>Computation to Determine Limit for 2012</v>
      </c>
      <c r="B3" s="453"/>
      <c r="C3" s="453"/>
      <c r="D3" s="453"/>
      <c r="E3" s="453"/>
      <c r="F3" s="453"/>
      <c r="G3" s="453"/>
      <c r="H3" s="453"/>
      <c r="I3" s="453"/>
      <c r="J3" s="453"/>
    </row>
    <row r="4" spans="1:10" ht="15.75">
      <c r="A4" s="3"/>
      <c r="B4" s="3"/>
      <c r="C4" s="3"/>
      <c r="D4" s="3"/>
      <c r="E4" s="453"/>
      <c r="F4" s="453"/>
      <c r="G4" s="453"/>
      <c r="H4" s="84"/>
      <c r="I4" s="3"/>
      <c r="J4" s="103" t="s">
        <v>147</v>
      </c>
    </row>
    <row r="5" spans="1:10" ht="15.75">
      <c r="A5" s="104" t="s">
        <v>148</v>
      </c>
      <c r="B5" s="3" t="str">
        <f>CONCATENATE("Total Tax Levy Amount in ",J1-1," Budget")</f>
        <v>Total Tax Levy Amount in 2011 Budget</v>
      </c>
      <c r="C5" s="3"/>
      <c r="D5" s="3"/>
      <c r="E5" s="24"/>
      <c r="F5" s="24"/>
      <c r="G5" s="24"/>
      <c r="H5" s="105" t="s">
        <v>149</v>
      </c>
      <c r="I5" s="24" t="s">
        <v>150</v>
      </c>
      <c r="J5" s="299">
        <f>inputPrYr!E24</f>
        <v>223060</v>
      </c>
    </row>
    <row r="6" spans="1:10" ht="15.75">
      <c r="A6" s="104" t="s">
        <v>151</v>
      </c>
      <c r="B6" s="3" t="str">
        <f>CONCATENATE("Debt Service Levy in ",J1-1," Budget")</f>
        <v>Debt Service Levy in 2011 Budget</v>
      </c>
      <c r="C6" s="3"/>
      <c r="D6" s="3"/>
      <c r="E6" s="24"/>
      <c r="F6" s="24"/>
      <c r="G6" s="24"/>
      <c r="H6" s="105" t="s">
        <v>152</v>
      </c>
      <c r="I6" s="24" t="s">
        <v>150</v>
      </c>
      <c r="J6" s="106">
        <f>inputPrYr!E20</f>
        <v>0</v>
      </c>
    </row>
    <row r="7" spans="1:10" ht="15.75">
      <c r="A7" s="104" t="s">
        <v>176</v>
      </c>
      <c r="B7" s="12" t="s">
        <v>170</v>
      </c>
      <c r="C7" s="3"/>
      <c r="D7" s="3"/>
      <c r="E7" s="24"/>
      <c r="F7" s="24"/>
      <c r="G7" s="24"/>
      <c r="H7" s="24"/>
      <c r="I7" s="24" t="s">
        <v>150</v>
      </c>
      <c r="J7" s="28">
        <f>J5-J6</f>
        <v>223060</v>
      </c>
    </row>
    <row r="8" spans="1:10" ht="15.75">
      <c r="A8" s="3"/>
      <c r="B8" s="3"/>
      <c r="C8" s="3"/>
      <c r="D8" s="3"/>
      <c r="E8" s="24"/>
      <c r="F8" s="24"/>
      <c r="G8" s="24"/>
      <c r="H8" s="24"/>
      <c r="I8" s="24"/>
      <c r="J8" s="24"/>
    </row>
    <row r="9" spans="1:10" ht="15.75">
      <c r="A9" s="3"/>
      <c r="B9" s="12" t="str">
        <f>CONCATENATE("",J1-1," Valuation Information for Valuation Adjustments:")</f>
        <v>2011 Valuation Information for Valuation Adjustments:</v>
      </c>
      <c r="C9" s="3"/>
      <c r="D9" s="3"/>
      <c r="E9" s="24"/>
      <c r="F9" s="24"/>
      <c r="G9" s="24"/>
      <c r="H9" s="24"/>
      <c r="I9" s="24"/>
      <c r="J9" s="24"/>
    </row>
    <row r="10" spans="1:10" ht="15.75">
      <c r="A10" s="3"/>
      <c r="B10" s="3"/>
      <c r="C10" s="12"/>
      <c r="D10" s="3"/>
      <c r="E10" s="24"/>
      <c r="F10" s="24"/>
      <c r="G10" s="24"/>
      <c r="H10" s="24"/>
      <c r="I10" s="24"/>
      <c r="J10" s="24"/>
    </row>
    <row r="11" spans="1:10" ht="15.75">
      <c r="A11" s="104" t="s">
        <v>153</v>
      </c>
      <c r="B11" s="12" t="str">
        <f>CONCATENATE("New Improvements for ",J1-1,":")</f>
        <v>New Improvements for 2011:</v>
      </c>
      <c r="C11" s="3"/>
      <c r="D11" s="3"/>
      <c r="E11" s="105"/>
      <c r="F11" s="105" t="s">
        <v>149</v>
      </c>
      <c r="G11" s="107">
        <f>inputOth!E8</f>
        <v>0</v>
      </c>
      <c r="H11" s="108"/>
      <c r="I11" s="24"/>
      <c r="J11" s="24"/>
    </row>
    <row r="12" spans="1:10" ht="15.75">
      <c r="A12" s="104"/>
      <c r="B12" s="104"/>
      <c r="C12" s="3"/>
      <c r="D12" s="3"/>
      <c r="E12" s="105"/>
      <c r="F12" s="105"/>
      <c r="G12" s="108"/>
      <c r="H12" s="108"/>
      <c r="I12" s="24"/>
      <c r="J12" s="24"/>
    </row>
    <row r="13" spans="1:10" ht="15.75">
      <c r="A13" s="104" t="s">
        <v>154</v>
      </c>
      <c r="B13" s="12" t="str">
        <f>CONCATENATE("Increase in Personal Property for ",J1-1,":")</f>
        <v>Increase in Personal Property for 2011:</v>
      </c>
      <c r="C13" s="3"/>
      <c r="D13" s="3"/>
      <c r="E13" s="105"/>
      <c r="F13" s="105"/>
      <c r="G13" s="108"/>
      <c r="H13" s="108"/>
      <c r="I13" s="24"/>
      <c r="J13" s="24"/>
    </row>
    <row r="14" spans="1:10" ht="15.75">
      <c r="A14" s="3"/>
      <c r="B14" s="3" t="s">
        <v>155</v>
      </c>
      <c r="C14" s="3" t="str">
        <f>CONCATENATE("Personal Property ",J1-1,"")</f>
        <v>Personal Property 2011</v>
      </c>
      <c r="D14" s="104" t="s">
        <v>149</v>
      </c>
      <c r="E14" s="107">
        <f>inputOth!E9</f>
        <v>0</v>
      </c>
      <c r="F14" s="105"/>
      <c r="G14" s="24"/>
      <c r="H14" s="24"/>
      <c r="I14" s="108"/>
      <c r="J14" s="24"/>
    </row>
    <row r="15" spans="1:10" ht="15.75">
      <c r="A15" s="104"/>
      <c r="B15" s="3" t="s">
        <v>156</v>
      </c>
      <c r="C15" s="3" t="str">
        <f>CONCATENATE("Personal Property ",J1-2,"")</f>
        <v>Personal Property 2010</v>
      </c>
      <c r="D15" s="104" t="s">
        <v>152</v>
      </c>
      <c r="E15" s="28">
        <f>inputOth!E11</f>
        <v>0</v>
      </c>
      <c r="F15" s="105"/>
      <c r="G15" s="108"/>
      <c r="H15" s="108"/>
      <c r="I15" s="24"/>
      <c r="J15" s="24"/>
    </row>
    <row r="16" spans="1:10" ht="15.75">
      <c r="A16" s="104"/>
      <c r="B16" s="3" t="s">
        <v>157</v>
      </c>
      <c r="C16" s="3" t="s">
        <v>171</v>
      </c>
      <c r="D16" s="3"/>
      <c r="E16" s="24"/>
      <c r="F16" s="24" t="s">
        <v>149</v>
      </c>
      <c r="G16" s="107">
        <f>IF(E14&gt;E15,E14-E15,0)</f>
        <v>0</v>
      </c>
      <c r="H16" s="108"/>
      <c r="I16" s="24"/>
      <c r="J16" s="24"/>
    </row>
    <row r="17" spans="1:10" ht="15.75">
      <c r="A17" s="104"/>
      <c r="B17" s="104"/>
      <c r="C17" s="3"/>
      <c r="D17" s="3"/>
      <c r="E17" s="24"/>
      <c r="F17" s="24"/>
      <c r="G17" s="108" t="s">
        <v>165</v>
      </c>
      <c r="H17" s="108"/>
      <c r="I17" s="24"/>
      <c r="J17" s="24"/>
    </row>
    <row r="18" spans="1:10" ht="15.75">
      <c r="A18" s="104" t="s">
        <v>158</v>
      </c>
      <c r="B18" s="12" t="str">
        <f>CONCATENATE("Valuation of Property that has Changed in Use during ",J1-1,":")</f>
        <v>Valuation of Property that has Changed in Use during 2011:</v>
      </c>
      <c r="C18" s="3"/>
      <c r="D18" s="104"/>
      <c r="E18" s="24"/>
      <c r="F18" s="24"/>
      <c r="G18" s="24">
        <f>inputOth!E10</f>
        <v>0</v>
      </c>
      <c r="H18" s="24"/>
      <c r="I18" s="24"/>
      <c r="J18" s="24"/>
    </row>
    <row r="19" spans="1:10" ht="15.75">
      <c r="A19" s="3" t="s">
        <v>74</v>
      </c>
      <c r="B19" s="3"/>
      <c r="C19" s="3"/>
      <c r="D19" s="3"/>
      <c r="E19" s="108"/>
      <c r="F19" s="24"/>
      <c r="G19" s="109"/>
      <c r="H19" s="108"/>
      <c r="I19" s="24"/>
      <c r="J19" s="24"/>
    </row>
    <row r="20" spans="1:10" ht="15.75">
      <c r="A20" s="104" t="s">
        <v>159</v>
      </c>
      <c r="B20" s="12" t="s">
        <v>172</v>
      </c>
      <c r="C20" s="3"/>
      <c r="D20" s="104"/>
      <c r="E20" s="24"/>
      <c r="F20" s="24"/>
      <c r="G20" s="107">
        <f>G11+G16+G18</f>
        <v>0</v>
      </c>
      <c r="H20" s="108"/>
      <c r="I20" s="24"/>
      <c r="J20" s="24"/>
    </row>
    <row r="21" spans="1:10" ht="15.75">
      <c r="A21" s="104"/>
      <c r="B21" s="104"/>
      <c r="C21" s="12"/>
      <c r="D21" s="3"/>
      <c r="E21" s="24"/>
      <c r="F21" s="24"/>
      <c r="G21" s="108"/>
      <c r="H21" s="108"/>
      <c r="I21" s="24"/>
      <c r="J21" s="24"/>
    </row>
    <row r="22" spans="1:10" ht="15.75">
      <c r="A22" s="104" t="s">
        <v>160</v>
      </c>
      <c r="B22" s="3" t="str">
        <f>CONCATENATE("Total Estimated Valuation July, 1,",J1-1,"")</f>
        <v>Total Estimated Valuation July, 1,2011</v>
      </c>
      <c r="C22" s="3"/>
      <c r="D22" s="3"/>
      <c r="E22" s="107">
        <f>inputOth!E7</f>
        <v>17019876</v>
      </c>
      <c r="F22" s="24"/>
      <c r="G22" s="24"/>
      <c r="H22" s="24"/>
      <c r="I22" s="105"/>
      <c r="J22" s="24"/>
    </row>
    <row r="23" spans="1:10" ht="15.75">
      <c r="A23" s="104"/>
      <c r="B23" s="104"/>
      <c r="C23" s="3"/>
      <c r="D23" s="3"/>
      <c r="E23" s="108"/>
      <c r="F23" s="24"/>
      <c r="G23" s="24"/>
      <c r="H23" s="24"/>
      <c r="I23" s="105"/>
      <c r="J23" s="24"/>
    </row>
    <row r="24" spans="1:10" ht="15.75">
      <c r="A24" s="104" t="s">
        <v>161</v>
      </c>
      <c r="B24" s="12" t="s">
        <v>173</v>
      </c>
      <c r="C24" s="3"/>
      <c r="D24" s="3"/>
      <c r="E24" s="24"/>
      <c r="F24" s="24"/>
      <c r="G24" s="107">
        <f>E22-G20</f>
        <v>17019876</v>
      </c>
      <c r="H24" s="108"/>
      <c r="I24" s="105"/>
      <c r="J24" s="24"/>
    </row>
    <row r="25" spans="1:10" ht="15.75">
      <c r="A25" s="104"/>
      <c r="B25" s="104"/>
      <c r="C25" s="12"/>
      <c r="D25" s="3"/>
      <c r="E25" s="24"/>
      <c r="F25" s="24"/>
      <c r="G25" s="109"/>
      <c r="H25" s="108"/>
      <c r="I25" s="105"/>
      <c r="J25" s="24"/>
    </row>
    <row r="26" spans="1:10" ht="15.75">
      <c r="A26" s="104" t="s">
        <v>162</v>
      </c>
      <c r="B26" s="3" t="s">
        <v>174</v>
      </c>
      <c r="C26" s="3"/>
      <c r="D26" s="3"/>
      <c r="E26" s="3"/>
      <c r="F26" s="3"/>
      <c r="G26" s="110">
        <f>IF(G20&gt;0,G20/G24,0)</f>
        <v>0</v>
      </c>
      <c r="H26" s="56"/>
      <c r="I26" s="3"/>
      <c r="J26" s="3"/>
    </row>
    <row r="27" spans="1:10" ht="15.75">
      <c r="A27" s="104"/>
      <c r="B27" s="104"/>
      <c r="C27" s="3"/>
      <c r="D27" s="3"/>
      <c r="E27" s="3"/>
      <c r="F27" s="3"/>
      <c r="G27" s="56"/>
      <c r="H27" s="56"/>
      <c r="I27" s="3"/>
      <c r="J27" s="3"/>
    </row>
    <row r="28" spans="1:10" ht="15.75">
      <c r="A28" s="104" t="s">
        <v>163</v>
      </c>
      <c r="B28" s="3" t="s">
        <v>175</v>
      </c>
      <c r="C28" s="3"/>
      <c r="D28" s="3"/>
      <c r="E28" s="3"/>
      <c r="F28" s="3"/>
      <c r="G28" s="56"/>
      <c r="H28" s="111" t="s">
        <v>149</v>
      </c>
      <c r="I28" s="3" t="s">
        <v>150</v>
      </c>
      <c r="J28" s="107">
        <f>ROUND(G26*J7,0)</f>
        <v>0</v>
      </c>
    </row>
    <row r="29" spans="1:10" ht="15.75">
      <c r="A29" s="104"/>
      <c r="B29" s="104"/>
      <c r="C29" s="3"/>
      <c r="D29" s="3"/>
      <c r="E29" s="3"/>
      <c r="F29" s="3"/>
      <c r="G29" s="56"/>
      <c r="H29" s="111"/>
      <c r="I29" s="3"/>
      <c r="J29" s="108"/>
    </row>
    <row r="30" spans="1:10" ht="16.5" thickBot="1">
      <c r="A30" s="104" t="s">
        <v>164</v>
      </c>
      <c r="B30" s="12" t="s">
        <v>180</v>
      </c>
      <c r="C30" s="3"/>
      <c r="D30" s="3"/>
      <c r="E30" s="3"/>
      <c r="F30" s="3"/>
      <c r="G30" s="3"/>
      <c r="H30" s="3"/>
      <c r="I30" s="3" t="s">
        <v>150</v>
      </c>
      <c r="J30" s="112">
        <f>J7+J28</f>
        <v>223060</v>
      </c>
    </row>
    <row r="31" spans="1:10" ht="16.5" thickTop="1">
      <c r="A31" s="104"/>
      <c r="B31" s="12"/>
      <c r="C31" s="3"/>
      <c r="D31" s="3"/>
      <c r="E31" s="3"/>
      <c r="F31" s="3"/>
      <c r="G31" s="3"/>
      <c r="H31" s="3"/>
      <c r="I31" s="3"/>
      <c r="J31" s="3"/>
    </row>
    <row r="32" spans="1:10" ht="15.75">
      <c r="A32" s="104" t="s">
        <v>178</v>
      </c>
      <c r="B32" s="12" t="str">
        <f>CONCATENATE("Debt Service Levy in this ",J1," Budget")</f>
        <v>Debt Service Levy in this 2012 Budget</v>
      </c>
      <c r="C32" s="3"/>
      <c r="D32" s="3"/>
      <c r="E32" s="3"/>
      <c r="F32" s="3"/>
      <c r="G32" s="3"/>
      <c r="H32" s="3"/>
      <c r="I32" s="3"/>
      <c r="J32" s="113">
        <f>DebtService!E61</f>
        <v>0</v>
      </c>
    </row>
    <row r="33" spans="1:10" ht="15.75">
      <c r="A33" s="104"/>
      <c r="B33" s="12"/>
      <c r="C33" s="3"/>
      <c r="D33" s="3"/>
      <c r="E33" s="3"/>
      <c r="F33" s="3"/>
      <c r="G33" s="3"/>
      <c r="H33" s="3"/>
      <c r="I33" s="3"/>
      <c r="J33" s="56"/>
    </row>
    <row r="34" spans="1:10" ht="16.5" thickBot="1">
      <c r="A34" s="104" t="s">
        <v>179</v>
      </c>
      <c r="B34" s="12" t="s">
        <v>181</v>
      </c>
      <c r="C34" s="3"/>
      <c r="D34" s="3"/>
      <c r="E34" s="3"/>
      <c r="F34" s="3"/>
      <c r="G34" s="3"/>
      <c r="H34" s="3"/>
      <c r="I34" s="3"/>
      <c r="J34" s="112">
        <f>J30+J32</f>
        <v>223060</v>
      </c>
    </row>
    <row r="35" spans="1:10" ht="16.5" thickTop="1">
      <c r="A35" s="3"/>
      <c r="B35" s="3"/>
      <c r="C35" s="3"/>
      <c r="D35" s="3"/>
      <c r="E35" s="3"/>
      <c r="F35" s="3"/>
      <c r="G35" s="3"/>
      <c r="H35" s="3"/>
      <c r="I35" s="3"/>
      <c r="J35" s="3"/>
    </row>
    <row r="36" spans="1:10" ht="15.75">
      <c r="A36" s="456" t="str">
        <f>CONCATENATE("If the ",J1," budget includes tax levies exceeding the total on line 14, you must")</f>
        <v>If the 2012 budget includes tax levies exceeding the total on line 14, you must</v>
      </c>
      <c r="B36" s="456"/>
      <c r="C36" s="456"/>
      <c r="D36" s="456"/>
      <c r="E36" s="456"/>
      <c r="F36" s="456"/>
      <c r="G36" s="456"/>
      <c r="H36" s="456"/>
      <c r="I36" s="456"/>
      <c r="J36" s="456"/>
    </row>
    <row r="37" spans="1:10" ht="15.75">
      <c r="A37" s="456" t="s">
        <v>177</v>
      </c>
      <c r="B37" s="456"/>
      <c r="C37" s="456"/>
      <c r="D37" s="456"/>
      <c r="E37" s="456"/>
      <c r="F37" s="456"/>
      <c r="G37" s="456"/>
      <c r="H37" s="456"/>
      <c r="I37" s="456"/>
      <c r="J37" s="45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17" sqref="E17"/>
    </sheetView>
  </sheetViews>
  <sheetFormatPr defaultColWidth="8.796875" defaultRowHeight="15"/>
  <cols>
    <col min="1" max="1" width="8.8984375" style="123"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Downtown Shareholder Self Supporting Municipal Improvement District</v>
      </c>
      <c r="C1" s="3"/>
      <c r="D1" s="3"/>
      <c r="E1" s="3"/>
      <c r="F1" s="3"/>
      <c r="G1" s="3"/>
      <c r="H1" s="3"/>
      <c r="I1" s="114"/>
      <c r="J1" s="3"/>
    </row>
    <row r="2" spans="1:10" ht="15.75">
      <c r="A2" s="3"/>
      <c r="B2" s="3" t="str">
        <f>inputPrYr!D4</f>
        <v>Wyandotte County</v>
      </c>
      <c r="C2" s="3"/>
      <c r="D2" s="3"/>
      <c r="E2" s="3"/>
      <c r="F2" s="3"/>
      <c r="G2" s="3"/>
      <c r="H2" s="3"/>
      <c r="I2" s="100"/>
      <c r="J2" s="3">
        <f>inputPrYr!D6</f>
        <v>2012</v>
      </c>
    </row>
    <row r="3" spans="1:10" ht="15.75">
      <c r="A3" s="3"/>
      <c r="B3" s="3"/>
      <c r="C3" s="115"/>
      <c r="D3" s="115"/>
      <c r="E3" s="115"/>
      <c r="F3" s="115"/>
      <c r="G3" s="115"/>
      <c r="H3" s="115"/>
      <c r="I3" s="115"/>
      <c r="J3" s="3"/>
    </row>
    <row r="4" spans="1:10" ht="15.75">
      <c r="A4" s="39"/>
      <c r="B4" s="3"/>
      <c r="C4" s="3"/>
      <c r="D4" s="3"/>
      <c r="E4" s="3"/>
      <c r="F4" s="3"/>
      <c r="G4" s="3"/>
      <c r="H4" s="3"/>
      <c r="I4" s="115"/>
      <c r="J4" s="3"/>
    </row>
    <row r="5" spans="1:10" ht="15.75">
      <c r="A5" s="39"/>
      <c r="B5" s="3"/>
      <c r="C5" s="11"/>
      <c r="D5" s="11"/>
      <c r="E5" s="11"/>
      <c r="F5" s="3"/>
      <c r="G5" s="3"/>
      <c r="H5" s="3"/>
      <c r="I5" s="3"/>
      <c r="J5" s="3"/>
    </row>
    <row r="6" spans="1:10" ht="15.75">
      <c r="A6" s="39"/>
      <c r="B6" s="457" t="s">
        <v>263</v>
      </c>
      <c r="C6" s="457"/>
      <c r="D6" s="457"/>
      <c r="E6" s="457"/>
      <c r="F6" s="457"/>
      <c r="G6" s="3"/>
      <c r="H6" s="3"/>
      <c r="I6" s="3"/>
      <c r="J6" s="3"/>
    </row>
    <row r="7" spans="1:10" ht="15.75">
      <c r="A7" s="39"/>
      <c r="B7" s="116"/>
      <c r="C7" s="116"/>
      <c r="D7" s="116"/>
      <c r="E7" s="116"/>
      <c r="F7" s="116"/>
      <c r="G7" s="3"/>
      <c r="H7" s="3"/>
      <c r="I7" s="3"/>
      <c r="J7" s="3"/>
    </row>
    <row r="8" spans="1:10" ht="15.75">
      <c r="A8" s="3"/>
      <c r="B8" s="3"/>
      <c r="C8" s="3"/>
      <c r="D8" s="3"/>
      <c r="E8" s="3"/>
      <c r="F8" s="3"/>
      <c r="G8" s="3"/>
      <c r="H8" s="3"/>
      <c r="I8" s="3"/>
      <c r="J8" s="3"/>
    </row>
    <row r="9" spans="1:10" ht="15.75">
      <c r="A9" s="3"/>
      <c r="B9" s="460" t="str">
        <f>CONCATENATE("",J2-1,"                    Budgeted Funds")</f>
        <v>2011                    Budgeted Funds</v>
      </c>
      <c r="C9" s="458" t="str">
        <f>CONCATENATE("Tax Levy Amount in ",J2-2," Budget")</f>
        <v>Tax Levy Amount in 2010 Budget</v>
      </c>
      <c r="D9" s="454" t="str">
        <f>CONCATENATE("Allocation for Year ",J2,"")</f>
        <v>Allocation for Year 2012</v>
      </c>
      <c r="E9" s="461"/>
      <c r="F9" s="461"/>
      <c r="G9" s="455"/>
      <c r="H9" s="3"/>
      <c r="I9" s="3"/>
      <c r="J9" s="3"/>
    </row>
    <row r="10" spans="1:10" ht="15.75">
      <c r="A10" s="3"/>
      <c r="B10" s="459"/>
      <c r="C10" s="459"/>
      <c r="D10" s="92" t="s">
        <v>101</v>
      </c>
      <c r="E10" s="92" t="s">
        <v>102</v>
      </c>
      <c r="F10" s="92" t="s">
        <v>144</v>
      </c>
      <c r="G10" s="90" t="s">
        <v>211</v>
      </c>
      <c r="H10" s="3"/>
      <c r="I10" s="3"/>
      <c r="J10" s="3"/>
    </row>
    <row r="11" spans="1:10" ht="15.75">
      <c r="A11" s="3"/>
      <c r="B11" s="23" t="str">
        <f>inputPrYr!B19</f>
        <v>General</v>
      </c>
      <c r="C11" s="96">
        <f>inputPrYr!E19</f>
        <v>223060</v>
      </c>
      <c r="D11" s="96">
        <f>IF(E17=0,0,E17-D12-D13-D14)</f>
        <v>0</v>
      </c>
      <c r="E11" s="96">
        <f>IF(E19=0,0,E19-E12-E13-E14)</f>
        <v>0</v>
      </c>
      <c r="F11" s="96">
        <f>IF(E21=0,0,E21-F12-F13-F14)</f>
        <v>0</v>
      </c>
      <c r="G11" s="96">
        <f>IF(E23=0,0,E23-G12-G13-G14)</f>
        <v>0</v>
      </c>
      <c r="H11" s="3"/>
      <c r="I11" s="3"/>
      <c r="J11" s="3"/>
    </row>
    <row r="12" spans="1:10" ht="15.75">
      <c r="A12" s="3"/>
      <c r="B12" s="23" t="str">
        <f>inputPrYr!B20</f>
        <v>Debt Service</v>
      </c>
      <c r="C12" s="96">
        <f>inputPrYr!E20</f>
        <v>0</v>
      </c>
      <c r="D12" s="96">
        <f>IF($E$17=0,0,ROUND(C12*$C$25,0))</f>
        <v>0</v>
      </c>
      <c r="E12" s="96">
        <f>IF($E$19=0,0,ROUND(C12*$D$27,0))</f>
        <v>0</v>
      </c>
      <c r="F12" s="96">
        <f>IF($E21=0,0,ROUND(C12*$E$29,0))</f>
        <v>0</v>
      </c>
      <c r="G12" s="96">
        <f>IF($E23=0,0,ROUND(C12*$F$31,0))</f>
        <v>0</v>
      </c>
      <c r="H12" s="3"/>
      <c r="I12" s="3"/>
      <c r="J12" s="3"/>
    </row>
    <row r="13" spans="1:10" ht="15.75">
      <c r="A13" s="3"/>
      <c r="B13" s="23" t="str">
        <f>IF(inputPrYr!$B$22&gt;"  ",inputPrYr!$B$22,"  ")</f>
        <v>  </v>
      </c>
      <c r="C13" s="96">
        <f>inputPrYr!E22</f>
        <v>0</v>
      </c>
      <c r="D13" s="96">
        <f>IF($E$17=0,0,ROUND(C13*$C$25,0))</f>
        <v>0</v>
      </c>
      <c r="E13" s="96">
        <f>IF($E$19=0,0,ROUND(C13*$D$27,0))</f>
        <v>0</v>
      </c>
      <c r="F13" s="96">
        <f>IF($E21=0,0,ROUND(C13*$E$29,0))</f>
        <v>0</v>
      </c>
      <c r="G13" s="96">
        <f>IF($E23=0,0,ROUND(C13*$F$31,0))</f>
        <v>0</v>
      </c>
      <c r="H13" s="85"/>
      <c r="I13" s="85"/>
      <c r="J13" s="3"/>
    </row>
    <row r="14" spans="1:10" ht="15.75">
      <c r="A14" s="3"/>
      <c r="B14" s="23" t="str">
        <f>IF(inputPrYr!$B$23&gt;"  ",inputPrYr!$B$23,"  ")</f>
        <v>  </v>
      </c>
      <c r="C14" s="96">
        <f>inputPrYr!E23</f>
        <v>0</v>
      </c>
      <c r="D14" s="96">
        <f>IF($E$17=0,0,ROUND(C14*$C$25,0))</f>
        <v>0</v>
      </c>
      <c r="E14" s="96">
        <f>IF($E$19=0,0,ROUND(C14*$D$27,0))</f>
        <v>0</v>
      </c>
      <c r="F14" s="96">
        <f>IF($E21=0,0,ROUND(C14*$E$29,0))</f>
        <v>0</v>
      </c>
      <c r="G14" s="96">
        <f>IF($E23=0,0,ROUND(C14*$F$31,0))</f>
        <v>0</v>
      </c>
      <c r="H14" s="3"/>
      <c r="I14" s="3"/>
      <c r="J14" s="3"/>
    </row>
    <row r="15" spans="1:10" ht="16.5" thickBot="1">
      <c r="A15" s="3"/>
      <c r="B15" s="20" t="s">
        <v>69</v>
      </c>
      <c r="C15" s="99">
        <f>SUM(C11:C14)</f>
        <v>223060</v>
      </c>
      <c r="D15" s="99">
        <f>SUM(D11:D14)</f>
        <v>0</v>
      </c>
      <c r="E15" s="99">
        <f>SUM(E11:E14)</f>
        <v>0</v>
      </c>
      <c r="F15" s="99">
        <f>SUM(F11:F14)</f>
        <v>0</v>
      </c>
      <c r="G15" s="98">
        <f>SUM(G11:G14)</f>
        <v>0</v>
      </c>
      <c r="H15" s="3"/>
      <c r="I15" s="3"/>
      <c r="J15" s="3"/>
    </row>
    <row r="16" spans="1:10" ht="16.5" thickTop="1">
      <c r="A16" s="3"/>
      <c r="B16" s="3"/>
      <c r="C16" s="3"/>
      <c r="D16" s="3"/>
      <c r="E16" s="3"/>
      <c r="F16" s="3"/>
      <c r="G16" s="3"/>
      <c r="H16" s="3"/>
      <c r="I16" s="3"/>
      <c r="J16" s="3"/>
    </row>
    <row r="17" spans="1:10" ht="15.75">
      <c r="A17" s="3"/>
      <c r="B17" s="2" t="s">
        <v>103</v>
      </c>
      <c r="C17" s="3"/>
      <c r="D17" s="3"/>
      <c r="E17" s="118">
        <f>inputOth!E27</f>
        <v>0</v>
      </c>
      <c r="F17" s="3"/>
      <c r="G17" s="3"/>
      <c r="H17" s="3"/>
      <c r="I17" s="3"/>
      <c r="J17" s="3"/>
    </row>
    <row r="18" spans="1:10" ht="15.75">
      <c r="A18" s="3"/>
      <c r="B18" s="3"/>
      <c r="C18" s="3"/>
      <c r="D18" s="115"/>
      <c r="E18" s="115"/>
      <c r="F18" s="3"/>
      <c r="G18" s="3"/>
      <c r="H18" s="3"/>
      <c r="I18" s="3"/>
      <c r="J18" s="3"/>
    </row>
    <row r="19" spans="1:10" ht="15.75">
      <c r="A19" s="3"/>
      <c r="B19" s="2" t="s">
        <v>104</v>
      </c>
      <c r="C19" s="3"/>
      <c r="D19" s="115"/>
      <c r="E19" s="118">
        <f>inputOth!E28</f>
        <v>0</v>
      </c>
      <c r="F19" s="3"/>
      <c r="G19" s="3"/>
      <c r="H19" s="3"/>
      <c r="I19" s="3"/>
      <c r="J19" s="3"/>
    </row>
    <row r="20" spans="1:10" ht="15.75">
      <c r="A20" s="3"/>
      <c r="B20" s="3"/>
      <c r="C20" s="3"/>
      <c r="D20" s="3"/>
      <c r="E20" s="3"/>
      <c r="F20" s="3"/>
      <c r="G20" s="3"/>
      <c r="H20" s="3"/>
      <c r="I20" s="3"/>
      <c r="J20" s="3"/>
    </row>
    <row r="21" spans="1:10" ht="15.75">
      <c r="A21" s="3"/>
      <c r="B21" s="2" t="s">
        <v>145</v>
      </c>
      <c r="C21" s="3"/>
      <c r="D21" s="3"/>
      <c r="E21" s="118">
        <f>inputOth!E29</f>
        <v>0</v>
      </c>
      <c r="F21" s="3"/>
      <c r="G21" s="3"/>
      <c r="H21" s="3"/>
      <c r="I21" s="3"/>
      <c r="J21" s="3"/>
    </row>
    <row r="22" spans="1:10" ht="15.75">
      <c r="A22" s="3"/>
      <c r="B22" s="3"/>
      <c r="C22" s="3"/>
      <c r="D22" s="3"/>
      <c r="E22" s="3"/>
      <c r="F22" s="3"/>
      <c r="G22" s="3"/>
      <c r="H22" s="3"/>
      <c r="I22" s="3"/>
      <c r="J22" s="3"/>
    </row>
    <row r="23" spans="1:10" ht="15.75">
      <c r="A23" s="3"/>
      <c r="B23" s="3" t="s">
        <v>247</v>
      </c>
      <c r="C23" s="3"/>
      <c r="D23" s="3"/>
      <c r="E23" s="107">
        <f>inputOth!E31</f>
        <v>0</v>
      </c>
      <c r="F23" s="3"/>
      <c r="G23" s="3"/>
      <c r="H23" s="3"/>
      <c r="I23" s="3"/>
      <c r="J23" s="3"/>
    </row>
    <row r="24" spans="1:10" ht="15.75">
      <c r="A24" s="3"/>
      <c r="B24" s="3"/>
      <c r="C24" s="3"/>
      <c r="D24" s="3"/>
      <c r="E24" s="3"/>
      <c r="F24" s="3"/>
      <c r="G24" s="3"/>
      <c r="H24" s="3"/>
      <c r="I24" s="3"/>
      <c r="J24" s="3"/>
    </row>
    <row r="25" spans="1:10" ht="15.75">
      <c r="A25" s="3"/>
      <c r="B25" s="100" t="s">
        <v>105</v>
      </c>
      <c r="C25" s="119">
        <f>IF(C15=0,0,E17/C15)</f>
        <v>0</v>
      </c>
      <c r="D25" s="3"/>
      <c r="E25" s="3"/>
      <c r="F25" s="3"/>
      <c r="G25" s="3"/>
      <c r="H25" s="3"/>
      <c r="I25" s="3"/>
      <c r="J25" s="3"/>
    </row>
    <row r="26" spans="1:10" ht="15.75">
      <c r="A26" s="3"/>
      <c r="B26" s="2"/>
      <c r="C26" s="120"/>
      <c r="D26" s="3"/>
      <c r="E26" s="3"/>
      <c r="F26" s="3"/>
      <c r="G26" s="3"/>
      <c r="H26" s="3"/>
      <c r="I26" s="3"/>
      <c r="J26" s="3"/>
    </row>
    <row r="27" spans="1:10" ht="15.75">
      <c r="A27" s="3"/>
      <c r="B27" s="3"/>
      <c r="C27" s="100" t="s">
        <v>106</v>
      </c>
      <c r="D27" s="121">
        <f>IF(C15=0,0,E19/C15)</f>
        <v>0</v>
      </c>
      <c r="E27" s="3"/>
      <c r="F27" s="3"/>
      <c r="G27" s="3"/>
      <c r="H27" s="3"/>
      <c r="I27" s="3"/>
      <c r="J27" s="3"/>
    </row>
    <row r="28" spans="1:10" ht="15.75">
      <c r="A28" s="3"/>
      <c r="B28" s="3"/>
      <c r="C28" s="2"/>
      <c r="D28" s="122"/>
      <c r="E28" s="3"/>
      <c r="F28" s="3"/>
      <c r="G28" s="3"/>
      <c r="H28" s="3"/>
      <c r="I28" s="3"/>
      <c r="J28" s="3"/>
    </row>
    <row r="29" spans="1:10" ht="15.75">
      <c r="A29" s="3"/>
      <c r="B29" s="3"/>
      <c r="C29" s="3"/>
      <c r="D29" s="100" t="s">
        <v>146</v>
      </c>
      <c r="E29" s="121">
        <f>IF(C15=0,0,E21/C15)</f>
        <v>0</v>
      </c>
      <c r="F29" s="3"/>
      <c r="G29" s="3"/>
      <c r="H29" s="3"/>
      <c r="I29" s="3"/>
      <c r="J29" s="3"/>
    </row>
    <row r="30" spans="1:10" ht="15.75">
      <c r="A30" s="3"/>
      <c r="B30" s="3"/>
      <c r="C30" s="3"/>
      <c r="D30" s="3"/>
      <c r="E30" s="3"/>
      <c r="F30" s="3"/>
      <c r="G30" s="3"/>
      <c r="H30" s="3"/>
      <c r="I30" s="3"/>
      <c r="J30" s="3"/>
    </row>
    <row r="31" spans="1:10" ht="15.75">
      <c r="A31" s="3"/>
      <c r="B31" s="3"/>
      <c r="C31" s="39"/>
      <c r="D31" s="39"/>
      <c r="E31" s="39" t="s">
        <v>248</v>
      </c>
      <c r="F31" s="121">
        <f>IF(C15=0,0,E23/C15)</f>
        <v>0</v>
      </c>
      <c r="G31" s="39"/>
      <c r="H31" s="39"/>
      <c r="I31" s="3"/>
      <c r="J31" s="3"/>
    </row>
    <row r="32" spans="1:10" ht="15.75">
      <c r="A32" s="3"/>
      <c r="B32" s="3"/>
      <c r="C32" s="39"/>
      <c r="D32" s="39"/>
      <c r="E32" s="39"/>
      <c r="F32" s="39"/>
      <c r="G32" s="39"/>
      <c r="H32" s="39"/>
      <c r="I32" s="3"/>
      <c r="J32" s="3"/>
    </row>
    <row r="33" spans="1:10" ht="15.75">
      <c r="A33" s="3"/>
      <c r="B33" s="3"/>
      <c r="C33" s="39"/>
      <c r="D33" s="39"/>
      <c r="E33" s="39"/>
      <c r="F33" s="39"/>
      <c r="G33" s="39"/>
      <c r="H33" s="39"/>
      <c r="I33" s="3"/>
      <c r="J33" s="3"/>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 customWidth="1"/>
    <col min="3" max="6" width="12.796875" style="1" customWidth="1"/>
    <col min="7" max="16384" width="8.8984375" style="1" customWidth="1"/>
  </cols>
  <sheetData>
    <row r="1" spans="1:6" ht="15.75">
      <c r="A1" s="115"/>
      <c r="B1" s="3"/>
      <c r="C1" s="3"/>
      <c r="D1" s="3"/>
      <c r="E1" s="114"/>
      <c r="F1" s="3">
        <f>inputPrYr!D6</f>
        <v>2012</v>
      </c>
    </row>
    <row r="2" spans="1:6" ht="15.75">
      <c r="A2" s="124" t="str">
        <f>inputPrYr!D3</f>
        <v>Downtown Shareholder Self Supporting Municipal Improvement District</v>
      </c>
      <c r="B2" s="124"/>
      <c r="C2" s="3"/>
      <c r="D2" s="3"/>
      <c r="E2" s="114"/>
      <c r="F2" s="3"/>
    </row>
    <row r="3" spans="1:6" ht="15.75">
      <c r="A3" s="124" t="str">
        <f>inputPrYr!D4</f>
        <v>Wyandotte County</v>
      </c>
      <c r="B3" s="124"/>
      <c r="C3" s="3"/>
      <c r="D3" s="3"/>
      <c r="E3" s="114"/>
      <c r="F3" s="3"/>
    </row>
    <row r="4" spans="1:6" ht="15.75">
      <c r="A4" s="115"/>
      <c r="B4" s="3"/>
      <c r="C4" s="3"/>
      <c r="D4" s="3"/>
      <c r="E4" s="114"/>
      <c r="F4" s="3"/>
    </row>
    <row r="5" spans="1:6" ht="15" customHeight="1">
      <c r="A5" s="453" t="s">
        <v>197</v>
      </c>
      <c r="B5" s="453"/>
      <c r="C5" s="453"/>
      <c r="D5" s="453"/>
      <c r="E5" s="453"/>
      <c r="F5" s="453"/>
    </row>
    <row r="6" spans="1:6" ht="14.25" customHeight="1">
      <c r="A6" s="84"/>
      <c r="B6" s="125"/>
      <c r="C6" s="125"/>
      <c r="D6" s="125"/>
      <c r="E6" s="125"/>
      <c r="F6" s="125"/>
    </row>
    <row r="7" spans="1:6" ht="17.25" customHeight="1">
      <c r="A7" s="126" t="s">
        <v>80</v>
      </c>
      <c r="B7" s="126" t="s">
        <v>7</v>
      </c>
      <c r="C7" s="126" t="s">
        <v>107</v>
      </c>
      <c r="D7" s="126" t="s">
        <v>198</v>
      </c>
      <c r="E7" s="126" t="s">
        <v>199</v>
      </c>
      <c r="F7" s="126" t="s">
        <v>212</v>
      </c>
    </row>
    <row r="8" spans="1:6" ht="17.25" customHeight="1">
      <c r="A8" s="127" t="s">
        <v>8</v>
      </c>
      <c r="B8" s="127" t="s">
        <v>9</v>
      </c>
      <c r="C8" s="127" t="s">
        <v>213</v>
      </c>
      <c r="D8" s="127" t="s">
        <v>213</v>
      </c>
      <c r="E8" s="127" t="s">
        <v>213</v>
      </c>
      <c r="F8" s="127" t="s">
        <v>214</v>
      </c>
    </row>
    <row r="9" spans="1:6" s="130" customFormat="1" ht="18" customHeight="1">
      <c r="A9" s="128" t="s">
        <v>215</v>
      </c>
      <c r="B9" s="128" t="s">
        <v>216</v>
      </c>
      <c r="C9" s="129">
        <f>F1-2</f>
        <v>2010</v>
      </c>
      <c r="D9" s="129">
        <f>F1-1</f>
        <v>2011</v>
      </c>
      <c r="E9" s="129">
        <f>F1</f>
        <v>2012</v>
      </c>
      <c r="F9" s="128" t="s">
        <v>217</v>
      </c>
    </row>
    <row r="10" spans="1:6" ht="15" customHeight="1">
      <c r="A10" s="131"/>
      <c r="B10" s="131"/>
      <c r="C10" s="132"/>
      <c r="D10" s="132"/>
      <c r="E10" s="132"/>
      <c r="F10" s="131"/>
    </row>
    <row r="11" spans="1:6" ht="15" customHeight="1">
      <c r="A11" s="33"/>
      <c r="B11" s="33"/>
      <c r="C11" s="101"/>
      <c r="D11" s="101"/>
      <c r="E11" s="101"/>
      <c r="F11" s="33"/>
    </row>
    <row r="12" spans="1:6" ht="15" customHeight="1">
      <c r="A12" s="33"/>
      <c r="B12" s="33"/>
      <c r="C12" s="101"/>
      <c r="D12" s="101"/>
      <c r="E12" s="101"/>
      <c r="F12" s="33"/>
    </row>
    <row r="13" spans="1:6" ht="15" customHeight="1">
      <c r="A13" s="33"/>
      <c r="B13" s="33"/>
      <c r="C13" s="101"/>
      <c r="D13" s="101"/>
      <c r="E13" s="101"/>
      <c r="F13" s="33"/>
    </row>
    <row r="14" spans="1:6" ht="15" customHeight="1">
      <c r="A14" s="33"/>
      <c r="B14" s="33"/>
      <c r="C14" s="101"/>
      <c r="D14" s="101"/>
      <c r="E14" s="101"/>
      <c r="F14" s="33"/>
    </row>
    <row r="15" spans="1:6" ht="15" customHeight="1">
      <c r="A15" s="33"/>
      <c r="B15" s="33"/>
      <c r="C15" s="101"/>
      <c r="D15" s="101"/>
      <c r="E15" s="101"/>
      <c r="F15" s="33"/>
    </row>
    <row r="16" spans="1:6" ht="15" customHeight="1">
      <c r="A16" s="33"/>
      <c r="B16" s="133"/>
      <c r="C16" s="101"/>
      <c r="D16" s="101"/>
      <c r="E16" s="101"/>
      <c r="F16" s="33"/>
    </row>
    <row r="17" spans="1:6" ht="15" customHeight="1">
      <c r="A17" s="33"/>
      <c r="B17" s="33"/>
      <c r="C17" s="101"/>
      <c r="D17" s="101"/>
      <c r="E17" s="101"/>
      <c r="F17" s="33"/>
    </row>
    <row r="18" spans="1:6" ht="15" customHeight="1">
      <c r="A18" s="33"/>
      <c r="B18" s="33"/>
      <c r="C18" s="101"/>
      <c r="D18" s="101"/>
      <c r="E18" s="101"/>
      <c r="F18" s="33"/>
    </row>
    <row r="19" spans="1:6" ht="15" customHeight="1">
      <c r="A19" s="33"/>
      <c r="B19" s="33"/>
      <c r="C19" s="101"/>
      <c r="D19" s="101"/>
      <c r="E19" s="101"/>
      <c r="F19" s="33"/>
    </row>
    <row r="20" spans="1:6" ht="15" customHeight="1">
      <c r="A20" s="33"/>
      <c r="B20" s="33"/>
      <c r="C20" s="101"/>
      <c r="D20" s="101"/>
      <c r="E20" s="101"/>
      <c r="F20" s="33"/>
    </row>
    <row r="21" spans="1:6" ht="15" customHeight="1">
      <c r="A21" s="33"/>
      <c r="B21" s="33"/>
      <c r="C21" s="101"/>
      <c r="D21" s="101"/>
      <c r="E21" s="101"/>
      <c r="F21" s="33"/>
    </row>
    <row r="22" spans="1:6" ht="15" customHeight="1">
      <c r="A22" s="33"/>
      <c r="B22" s="33"/>
      <c r="C22" s="101"/>
      <c r="D22" s="101"/>
      <c r="E22" s="101"/>
      <c r="F22" s="33"/>
    </row>
    <row r="23" spans="1:6" ht="15" customHeight="1">
      <c r="A23" s="33"/>
      <c r="B23" s="33"/>
      <c r="C23" s="101"/>
      <c r="D23" s="101"/>
      <c r="E23" s="101"/>
      <c r="F23" s="33"/>
    </row>
    <row r="24" spans="1:7" ht="15.75">
      <c r="A24" s="17"/>
      <c r="B24" s="134" t="s">
        <v>191</v>
      </c>
      <c r="C24" s="135">
        <f>SUM(C10:C23)</f>
        <v>0</v>
      </c>
      <c r="D24" s="135">
        <f>SUM(D10:D23)</f>
        <v>0</v>
      </c>
      <c r="E24" s="135">
        <f>SUM(E10:E23)</f>
        <v>0</v>
      </c>
      <c r="F24" s="136"/>
      <c r="G24" s="48"/>
    </row>
    <row r="25" spans="1:7" ht="15.75">
      <c r="A25" s="17"/>
      <c r="B25" s="137" t="s">
        <v>6</v>
      </c>
      <c r="C25" s="138"/>
      <c r="D25" s="139"/>
      <c r="E25" s="139"/>
      <c r="F25" s="136"/>
      <c r="G25" s="48"/>
    </row>
    <row r="26" spans="1:7" ht="15.75">
      <c r="A26" s="17"/>
      <c r="B26" s="134" t="s">
        <v>218</v>
      </c>
      <c r="C26" s="135">
        <f>C24</f>
        <v>0</v>
      </c>
      <c r="D26" s="135">
        <f>SUM(D24-D25)</f>
        <v>0</v>
      </c>
      <c r="E26" s="135">
        <f>SUM(E24-E25)</f>
        <v>0</v>
      </c>
      <c r="F26" s="136"/>
      <c r="G26" s="48"/>
    </row>
    <row r="27" spans="1:7" ht="15.75">
      <c r="A27" s="3"/>
      <c r="B27" s="3"/>
      <c r="C27" s="3"/>
      <c r="D27" s="39"/>
      <c r="E27" s="39"/>
      <c r="F27" s="39"/>
      <c r="G27" s="48"/>
    </row>
    <row r="28" spans="1:7" ht="15.75">
      <c r="A28" s="3"/>
      <c r="B28" s="3"/>
      <c r="C28" s="3"/>
      <c r="D28" s="39"/>
      <c r="E28" s="39"/>
      <c r="F28" s="39"/>
      <c r="G28" s="48"/>
    </row>
    <row r="29" spans="1:7" ht="15.75">
      <c r="A29" s="301" t="s">
        <v>10</v>
      </c>
      <c r="B29" s="302" t="str">
        <f>CONCATENATE("Adjustments are required only if the transfer is being made in ",D9," and/or ",E9," from a non-budgeted fund.")</f>
        <v>Adjustments are required only if the transfer is being made in 2011 and/or 2012 from a non-budgeted fund.</v>
      </c>
      <c r="C29" s="39"/>
      <c r="D29" s="39"/>
      <c r="E29" s="39"/>
      <c r="F29" s="39"/>
      <c r="G29" s="48"/>
    </row>
    <row r="30" spans="1:7" ht="15.75">
      <c r="A30" s="48"/>
      <c r="B30" s="48"/>
      <c r="C30" s="48"/>
      <c r="D30" s="48"/>
      <c r="E30" s="48"/>
      <c r="F30" s="48"/>
      <c r="G30" s="48"/>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 customWidth="1"/>
    <col min="2" max="2" width="9.796875" style="1" customWidth="1"/>
    <col min="3" max="3" width="10.796875" style="1" customWidth="1"/>
    <col min="4" max="4" width="9.796875" style="1" customWidth="1"/>
    <col min="5" max="5" width="17.19921875" style="1" customWidth="1"/>
    <col min="6" max="11" width="9.796875" style="1" customWidth="1"/>
    <col min="12" max="16384" width="8.8984375" style="1" customWidth="1"/>
  </cols>
  <sheetData>
    <row r="1" spans="1:11" ht="15.75">
      <c r="A1" s="3" t="str">
        <f>inputPrYr!$D$3</f>
        <v>Downtown Shareholder Self Supporting Municipal Improvement District</v>
      </c>
      <c r="B1" s="3"/>
      <c r="C1" s="3"/>
      <c r="D1" s="3"/>
      <c r="E1" s="3"/>
      <c r="F1" s="3"/>
      <c r="G1" s="3"/>
      <c r="H1" s="3"/>
      <c r="I1" s="3"/>
      <c r="J1" s="3"/>
      <c r="K1" s="141">
        <f>inputPrYr!D6</f>
        <v>2012</v>
      </c>
    </row>
    <row r="2" spans="1:11" ht="15.75">
      <c r="A2" s="3" t="str">
        <f>inputPrYr!$D$4</f>
        <v>Wyandotte County</v>
      </c>
      <c r="B2" s="3"/>
      <c r="C2" s="3"/>
      <c r="D2" s="3"/>
      <c r="E2" s="3"/>
      <c r="F2" s="3"/>
      <c r="G2" s="3"/>
      <c r="H2" s="3"/>
      <c r="I2" s="3"/>
      <c r="J2" s="3"/>
      <c r="K2" s="100"/>
    </row>
    <row r="3" spans="1:11" ht="15.75">
      <c r="A3" s="3"/>
      <c r="B3" s="3"/>
      <c r="C3" s="3"/>
      <c r="D3" s="3"/>
      <c r="E3" s="3"/>
      <c r="F3" s="3"/>
      <c r="G3" s="3"/>
      <c r="H3" s="3"/>
      <c r="I3" s="3"/>
      <c r="J3" s="3"/>
      <c r="K3" s="100"/>
    </row>
    <row r="4" spans="1:11" s="144" customFormat="1" ht="15.75">
      <c r="A4" s="142" t="s">
        <v>142</v>
      </c>
      <c r="B4" s="143"/>
      <c r="C4" s="143"/>
      <c r="D4" s="11"/>
      <c r="E4" s="143"/>
      <c r="F4" s="143"/>
      <c r="G4" s="143"/>
      <c r="H4" s="143"/>
      <c r="I4" s="143"/>
      <c r="J4" s="143"/>
      <c r="K4" s="143"/>
    </row>
    <row r="5" spans="1:11" s="144" customFormat="1" ht="15.75">
      <c r="A5" s="145"/>
      <c r="B5" s="145"/>
      <c r="C5" s="145"/>
      <c r="D5" s="145"/>
      <c r="E5" s="145"/>
      <c r="F5" s="145"/>
      <c r="G5" s="145"/>
      <c r="H5" s="145"/>
      <c r="I5" s="145"/>
      <c r="J5" s="145"/>
      <c r="K5" s="145"/>
    </row>
    <row r="6" spans="1:11" s="144" customFormat="1" ht="15.75">
      <c r="A6" s="3"/>
      <c r="B6" s="87" t="s">
        <v>116</v>
      </c>
      <c r="C6" s="87" t="s">
        <v>125</v>
      </c>
      <c r="D6" s="87"/>
      <c r="E6" s="87" t="s">
        <v>87</v>
      </c>
      <c r="F6" s="146"/>
      <c r="G6" s="147"/>
      <c r="H6" s="146" t="s">
        <v>117</v>
      </c>
      <c r="I6" s="147"/>
      <c r="J6" s="146" t="s">
        <v>117</v>
      </c>
      <c r="K6" s="147"/>
    </row>
    <row r="7" spans="1:11" s="144" customFormat="1" ht="15.75">
      <c r="A7" s="3"/>
      <c r="B7" s="88" t="s">
        <v>118</v>
      </c>
      <c r="C7" s="88" t="s">
        <v>119</v>
      </c>
      <c r="D7" s="88" t="s">
        <v>87</v>
      </c>
      <c r="E7" s="88" t="s">
        <v>189</v>
      </c>
      <c r="F7" s="148" t="s">
        <v>120</v>
      </c>
      <c r="G7" s="149"/>
      <c r="H7" s="148">
        <f>K1-1</f>
        <v>2011</v>
      </c>
      <c r="I7" s="149"/>
      <c r="J7" s="148">
        <f>K1</f>
        <v>2012</v>
      </c>
      <c r="K7" s="149"/>
    </row>
    <row r="8" spans="1:11" s="144" customFormat="1" ht="15.75">
      <c r="A8" s="150" t="s">
        <v>121</v>
      </c>
      <c r="B8" s="92" t="s">
        <v>122</v>
      </c>
      <c r="C8" s="92" t="s">
        <v>99</v>
      </c>
      <c r="D8" s="92" t="s">
        <v>123</v>
      </c>
      <c r="E8" s="151" t="str">
        <f>CONCATENATE("Jan 1,",K1-1,"")</f>
        <v>Jan 1,2011</v>
      </c>
      <c r="F8" s="90" t="s">
        <v>125</v>
      </c>
      <c r="G8" s="90" t="s">
        <v>126</v>
      </c>
      <c r="H8" s="90" t="s">
        <v>125</v>
      </c>
      <c r="I8" s="90" t="s">
        <v>126</v>
      </c>
      <c r="J8" s="90" t="s">
        <v>125</v>
      </c>
      <c r="K8" s="90" t="s">
        <v>126</v>
      </c>
    </row>
    <row r="9" spans="1:11" s="144" customFormat="1" ht="15.75">
      <c r="A9" s="20" t="s">
        <v>229</v>
      </c>
      <c r="B9" s="152"/>
      <c r="C9" s="20"/>
      <c r="D9" s="20"/>
      <c r="E9" s="20"/>
      <c r="F9" s="153"/>
      <c r="G9" s="153"/>
      <c r="H9" s="20"/>
      <c r="I9" s="20"/>
      <c r="J9" s="20"/>
      <c r="K9" s="20"/>
    </row>
    <row r="10" spans="1:11" s="144" customFormat="1" ht="15.75">
      <c r="A10" s="154"/>
      <c r="B10" s="317"/>
      <c r="C10" s="154"/>
      <c r="D10" s="154"/>
      <c r="E10" s="43"/>
      <c r="F10" s="155"/>
      <c r="G10" s="155"/>
      <c r="H10" s="154"/>
      <c r="I10" s="154"/>
      <c r="J10" s="154"/>
      <c r="K10" s="154"/>
    </row>
    <row r="11" spans="1:11" s="144" customFormat="1" ht="15.75">
      <c r="A11" s="21"/>
      <c r="B11" s="318"/>
      <c r="C11" s="156"/>
      <c r="D11" s="22"/>
      <c r="E11" s="22"/>
      <c r="F11" s="157"/>
      <c r="G11" s="157"/>
      <c r="H11" s="158"/>
      <c r="I11" s="158"/>
      <c r="J11" s="158"/>
      <c r="K11" s="158"/>
    </row>
    <row r="12" spans="1:11" s="144" customFormat="1" ht="15.75">
      <c r="A12" s="159" t="s">
        <v>230</v>
      </c>
      <c r="B12" s="160"/>
      <c r="C12" s="161"/>
      <c r="D12" s="162"/>
      <c r="E12" s="163">
        <f>SUM(E10:E11)</f>
        <v>0</v>
      </c>
      <c r="F12" s="164"/>
      <c r="G12" s="164"/>
      <c r="H12" s="163">
        <f>SUM(H10:H11)</f>
        <v>0</v>
      </c>
      <c r="I12" s="163">
        <f>SUM(I10:I11)</f>
        <v>0</v>
      </c>
      <c r="J12" s="163">
        <f>SUM(J10:J11)</f>
        <v>0</v>
      </c>
      <c r="K12" s="163">
        <f>SUM(K10:K11)</f>
        <v>0</v>
      </c>
    </row>
    <row r="13" spans="1:11" s="144" customFormat="1" ht="15.75">
      <c r="A13" s="159" t="s">
        <v>231</v>
      </c>
      <c r="B13" s="160"/>
      <c r="C13" s="161"/>
      <c r="D13" s="162"/>
      <c r="E13" s="96"/>
      <c r="F13" s="164"/>
      <c r="G13" s="164"/>
      <c r="H13" s="96"/>
      <c r="I13" s="96"/>
      <c r="J13" s="96"/>
      <c r="K13" s="96"/>
    </row>
    <row r="14" spans="1:11" s="144" customFormat="1" ht="15.75">
      <c r="A14" s="21"/>
      <c r="B14" s="318"/>
      <c r="C14" s="156"/>
      <c r="D14" s="22"/>
      <c r="E14" s="158"/>
      <c r="F14" s="157"/>
      <c r="G14" s="157"/>
      <c r="H14" s="158"/>
      <c r="I14" s="158"/>
      <c r="J14" s="158"/>
      <c r="K14" s="158"/>
    </row>
    <row r="15" spans="1:11" s="144" customFormat="1" ht="15.75">
      <c r="A15" s="21"/>
      <c r="B15" s="318"/>
      <c r="C15" s="156"/>
      <c r="D15" s="22"/>
      <c r="E15" s="158"/>
      <c r="F15" s="157"/>
      <c r="G15" s="157"/>
      <c r="H15" s="158"/>
      <c r="I15" s="158"/>
      <c r="J15" s="158"/>
      <c r="K15" s="158"/>
    </row>
    <row r="16" spans="1:11" s="144" customFormat="1" ht="15.75">
      <c r="A16" s="159" t="s">
        <v>232</v>
      </c>
      <c r="B16" s="160"/>
      <c r="C16" s="161"/>
      <c r="D16" s="162"/>
      <c r="E16" s="96">
        <f>SUM(E14:E15)</f>
        <v>0</v>
      </c>
      <c r="F16" s="164"/>
      <c r="G16" s="164"/>
      <c r="H16" s="163">
        <f>SUM(H14:H15)</f>
        <v>0</v>
      </c>
      <c r="I16" s="163">
        <f>SUM(I14:I15)</f>
        <v>0</v>
      </c>
      <c r="J16" s="163">
        <f>SUM(J14:J15)</f>
        <v>0</v>
      </c>
      <c r="K16" s="163">
        <f>SUM(K14:K15)</f>
        <v>0</v>
      </c>
    </row>
    <row r="17" spans="1:11" s="144" customFormat="1" ht="15.75">
      <c r="A17" s="159" t="s">
        <v>233</v>
      </c>
      <c r="B17" s="160"/>
      <c r="C17" s="161"/>
      <c r="D17" s="162"/>
      <c r="E17" s="96"/>
      <c r="F17" s="164"/>
      <c r="G17" s="164"/>
      <c r="H17" s="96"/>
      <c r="I17" s="96"/>
      <c r="J17" s="96"/>
      <c r="K17" s="96"/>
    </row>
    <row r="18" spans="1:11" s="144" customFormat="1" ht="15.75">
      <c r="A18" s="21"/>
      <c r="B18" s="318"/>
      <c r="C18" s="156"/>
      <c r="D18" s="22"/>
      <c r="E18" s="158"/>
      <c r="F18" s="157"/>
      <c r="G18" s="157"/>
      <c r="H18" s="158"/>
      <c r="I18" s="158"/>
      <c r="J18" s="158"/>
      <c r="K18" s="158"/>
    </row>
    <row r="19" spans="1:11" s="144" customFormat="1" ht="15.75">
      <c r="A19" s="21"/>
      <c r="B19" s="318"/>
      <c r="C19" s="156"/>
      <c r="D19" s="22"/>
      <c r="E19" s="158"/>
      <c r="F19" s="157"/>
      <c r="G19" s="157"/>
      <c r="H19" s="158"/>
      <c r="I19" s="158"/>
      <c r="J19" s="158"/>
      <c r="K19" s="158"/>
    </row>
    <row r="20" spans="1:11" s="144" customFormat="1" ht="15.75">
      <c r="A20" s="23" t="s">
        <v>234</v>
      </c>
      <c r="B20" s="165"/>
      <c r="C20" s="166"/>
      <c r="D20" s="32"/>
      <c r="E20" s="163">
        <f>SUM(E18:E19)</f>
        <v>0</v>
      </c>
      <c r="F20" s="164"/>
      <c r="G20" s="164"/>
      <c r="H20" s="163">
        <f>SUM(H18:H19)</f>
        <v>0</v>
      </c>
      <c r="I20" s="163">
        <f>SUM(I18:I19)</f>
        <v>0</v>
      </c>
      <c r="J20" s="163">
        <f>SUM(J18:J19)</f>
        <v>0</v>
      </c>
      <c r="K20" s="163">
        <f>SUM(K18:K19)</f>
        <v>0</v>
      </c>
    </row>
    <row r="21" spans="1:11" s="144" customFormat="1" ht="15.75">
      <c r="A21" s="167" t="s">
        <v>143</v>
      </c>
      <c r="B21" s="168"/>
      <c r="C21" s="169"/>
      <c r="D21" s="170"/>
      <c r="E21" s="171">
        <f>SUM(E12+E16+E20)</f>
        <v>0</v>
      </c>
      <c r="F21" s="168"/>
      <c r="G21" s="172"/>
      <c r="H21" s="171">
        <f>SUM(H12+H16+H20)</f>
        <v>0</v>
      </c>
      <c r="I21" s="171">
        <f>SUM(I12+I16+I20)</f>
        <v>0</v>
      </c>
      <c r="J21" s="171">
        <f>SUM(J12+J16+J20)</f>
        <v>0</v>
      </c>
      <c r="K21" s="171">
        <f>SUM(K12+K16+K20)</f>
        <v>0</v>
      </c>
    </row>
    <row r="22" spans="1:24" s="144" customFormat="1" ht="15.75">
      <c r="A22" s="3"/>
      <c r="B22" s="3"/>
      <c r="C22" s="56"/>
      <c r="D22" s="56"/>
      <c r="E22" s="56"/>
      <c r="F22" s="56"/>
      <c r="G22" s="56"/>
      <c r="H22" s="56"/>
      <c r="I22" s="56"/>
      <c r="J22" s="56"/>
      <c r="K22" s="56"/>
      <c r="L22" s="83"/>
      <c r="M22" s="83"/>
      <c r="N22" s="83"/>
      <c r="O22" s="83"/>
      <c r="P22" s="83"/>
      <c r="Q22" s="83"/>
      <c r="R22" s="83"/>
      <c r="S22" s="83"/>
      <c r="T22" s="83"/>
      <c r="U22" s="83"/>
      <c r="V22" s="83"/>
      <c r="W22" s="83"/>
      <c r="X22" s="83"/>
    </row>
    <row r="23" spans="1:11" s="175" customFormat="1" ht="15.75">
      <c r="A23" s="142" t="s">
        <v>138</v>
      </c>
      <c r="B23" s="173"/>
      <c r="C23" s="173"/>
      <c r="D23" s="173"/>
      <c r="E23" s="11"/>
      <c r="F23" s="173"/>
      <c r="G23" s="173"/>
      <c r="H23" s="173"/>
      <c r="I23" s="173"/>
      <c r="J23" s="173"/>
      <c r="K23" s="174"/>
    </row>
    <row r="24" spans="1:11" s="175" customFormat="1" ht="15.75">
      <c r="A24" s="56"/>
      <c r="B24" s="89"/>
      <c r="C24" s="89"/>
      <c r="D24" s="89"/>
      <c r="E24" s="89"/>
      <c r="F24" s="89"/>
      <c r="G24" s="89"/>
      <c r="H24" s="89"/>
      <c r="I24" s="86"/>
      <c r="J24" s="86"/>
      <c r="K24" s="174"/>
    </row>
    <row r="25" spans="1:11" s="175" customFormat="1" ht="15.75">
      <c r="A25" s="176"/>
      <c r="B25" s="176"/>
      <c r="C25" s="87" t="s">
        <v>124</v>
      </c>
      <c r="D25" s="176"/>
      <c r="E25" s="87" t="s">
        <v>69</v>
      </c>
      <c r="F25" s="176"/>
      <c r="G25" s="176"/>
      <c r="H25" s="176"/>
      <c r="I25" s="177"/>
      <c r="J25" s="178"/>
      <c r="K25" s="174"/>
    </row>
    <row r="26" spans="1:11" s="175" customFormat="1" ht="15.75">
      <c r="A26" s="179"/>
      <c r="B26" s="88"/>
      <c r="C26" s="88" t="s">
        <v>118</v>
      </c>
      <c r="D26" s="88" t="s">
        <v>125</v>
      </c>
      <c r="E26" s="88" t="s">
        <v>87</v>
      </c>
      <c r="F26" s="88" t="s">
        <v>126</v>
      </c>
      <c r="G26" s="88" t="s">
        <v>127</v>
      </c>
      <c r="H26" s="88" t="s">
        <v>127</v>
      </c>
      <c r="I26" s="174"/>
      <c r="J26" s="174"/>
      <c r="K26" s="174"/>
    </row>
    <row r="27" spans="1:11" s="175" customFormat="1" ht="15.75">
      <c r="A27" s="179"/>
      <c r="B27" s="88" t="s">
        <v>128</v>
      </c>
      <c r="C27" s="88" t="s">
        <v>129</v>
      </c>
      <c r="D27" s="88" t="s">
        <v>119</v>
      </c>
      <c r="E27" s="88" t="s">
        <v>130</v>
      </c>
      <c r="F27" s="88" t="s">
        <v>169</v>
      </c>
      <c r="G27" s="88" t="s">
        <v>131</v>
      </c>
      <c r="H27" s="88" t="s">
        <v>131</v>
      </c>
      <c r="I27" s="174"/>
      <c r="J27" s="174"/>
      <c r="K27" s="174"/>
    </row>
    <row r="28" spans="1:11" s="175" customFormat="1" ht="15.75">
      <c r="A28" s="180" t="s">
        <v>132</v>
      </c>
      <c r="B28" s="92" t="s">
        <v>116</v>
      </c>
      <c r="C28" s="181" t="s">
        <v>133</v>
      </c>
      <c r="D28" s="92" t="s">
        <v>99</v>
      </c>
      <c r="E28" s="181" t="s">
        <v>190</v>
      </c>
      <c r="F28" s="151" t="str">
        <f>E8</f>
        <v>Jan 1,2011</v>
      </c>
      <c r="G28" s="92">
        <f>K1-1</f>
        <v>2011</v>
      </c>
      <c r="H28" s="92">
        <f>K1</f>
        <v>2012</v>
      </c>
      <c r="I28" s="174"/>
      <c r="J28" s="174"/>
      <c r="K28" s="174"/>
    </row>
    <row r="29" spans="1:11" s="175" customFormat="1" ht="15.75">
      <c r="A29" s="21"/>
      <c r="B29" s="318"/>
      <c r="C29" s="182"/>
      <c r="D29" s="156"/>
      <c r="E29" s="22"/>
      <c r="F29" s="22"/>
      <c r="G29" s="22"/>
      <c r="H29" s="22"/>
      <c r="I29" s="174"/>
      <c r="J29" s="174"/>
      <c r="K29" s="174"/>
    </row>
    <row r="30" spans="1:11" s="175" customFormat="1" ht="15.75">
      <c r="A30" s="21"/>
      <c r="B30" s="318"/>
      <c r="C30" s="182"/>
      <c r="D30" s="156"/>
      <c r="E30" s="22"/>
      <c r="F30" s="22"/>
      <c r="G30" s="22"/>
      <c r="H30" s="22"/>
      <c r="I30" s="174"/>
      <c r="J30" s="174"/>
      <c r="K30" s="174"/>
    </row>
    <row r="31" spans="1:11" s="175" customFormat="1" ht="15.75">
      <c r="A31" s="21"/>
      <c r="B31" s="318"/>
      <c r="C31" s="182"/>
      <c r="D31" s="156"/>
      <c r="E31" s="22"/>
      <c r="F31" s="22"/>
      <c r="G31" s="22"/>
      <c r="H31" s="22"/>
      <c r="I31" s="174"/>
      <c r="J31" s="174"/>
      <c r="K31" s="174"/>
    </row>
    <row r="32" spans="1:11" s="175" customFormat="1" ht="15.75">
      <c r="A32" s="21"/>
      <c r="B32" s="318"/>
      <c r="C32" s="182"/>
      <c r="D32" s="156"/>
      <c r="E32" s="22"/>
      <c r="F32" s="22"/>
      <c r="G32" s="22"/>
      <c r="H32" s="22"/>
      <c r="I32" s="174"/>
      <c r="J32" s="174"/>
      <c r="K32" s="174"/>
    </row>
    <row r="33" spans="1:11" s="175" customFormat="1" ht="15.75">
      <c r="A33" s="21"/>
      <c r="B33" s="318"/>
      <c r="C33" s="182"/>
      <c r="D33" s="156"/>
      <c r="E33" s="22"/>
      <c r="F33" s="22"/>
      <c r="G33" s="22"/>
      <c r="H33" s="22"/>
      <c r="I33" s="174"/>
      <c r="J33" s="174"/>
      <c r="K33" s="174"/>
    </row>
    <row r="34" spans="1:11" s="175" customFormat="1" ht="15.75">
      <c r="A34" s="21"/>
      <c r="B34" s="318"/>
      <c r="C34" s="182"/>
      <c r="D34" s="156"/>
      <c r="E34" s="22"/>
      <c r="F34" s="22"/>
      <c r="G34" s="22"/>
      <c r="H34" s="22"/>
      <c r="I34" s="174"/>
      <c r="J34" s="174"/>
      <c r="K34" s="174"/>
    </row>
    <row r="35" spans="1:11" s="175" customFormat="1" ht="15.75">
      <c r="A35" s="21"/>
      <c r="B35" s="318"/>
      <c r="C35" s="182"/>
      <c r="D35" s="156"/>
      <c r="E35" s="22"/>
      <c r="F35" s="22"/>
      <c r="G35" s="22"/>
      <c r="H35" s="22"/>
      <c r="I35" s="174"/>
      <c r="J35" s="174"/>
      <c r="K35" s="174"/>
    </row>
    <row r="36" spans="1:11" s="175" customFormat="1" ht="15.75">
      <c r="A36" s="21"/>
      <c r="B36" s="318"/>
      <c r="C36" s="182"/>
      <c r="D36" s="156"/>
      <c r="E36" s="22"/>
      <c r="F36" s="22"/>
      <c r="G36" s="22"/>
      <c r="H36" s="22"/>
      <c r="I36" s="174"/>
      <c r="J36" s="174"/>
      <c r="K36" s="174"/>
    </row>
    <row r="37" spans="1:11" s="175" customFormat="1" ht="15.75">
      <c r="A37" s="21"/>
      <c r="B37" s="318"/>
      <c r="C37" s="182"/>
      <c r="D37" s="156"/>
      <c r="E37" s="22"/>
      <c r="F37" s="22"/>
      <c r="G37" s="22"/>
      <c r="H37" s="22"/>
      <c r="I37" s="174"/>
      <c r="J37" s="174"/>
      <c r="K37" s="174"/>
    </row>
    <row r="38" spans="1:11" s="175" customFormat="1" ht="15.75">
      <c r="A38" s="21"/>
      <c r="B38" s="318"/>
      <c r="C38" s="182"/>
      <c r="D38" s="156"/>
      <c r="E38" s="22"/>
      <c r="F38" s="22"/>
      <c r="G38" s="22"/>
      <c r="H38" s="22"/>
      <c r="I38" s="174"/>
      <c r="J38" s="174"/>
      <c r="K38" s="174"/>
    </row>
    <row r="39" spans="1:11" s="175" customFormat="1" ht="15.75">
      <c r="A39" s="21"/>
      <c r="B39" s="318"/>
      <c r="C39" s="182"/>
      <c r="D39" s="156"/>
      <c r="E39" s="22"/>
      <c r="F39" s="22"/>
      <c r="G39" s="22"/>
      <c r="H39" s="22"/>
      <c r="I39" s="174"/>
      <c r="J39" s="174"/>
      <c r="K39" s="174"/>
    </row>
    <row r="40" spans="1:11" s="175" customFormat="1" ht="15.75">
      <c r="A40" s="21"/>
      <c r="B40" s="318"/>
      <c r="C40" s="182"/>
      <c r="D40" s="156"/>
      <c r="E40" s="22"/>
      <c r="F40" s="22"/>
      <c r="G40" s="22"/>
      <c r="H40" s="22"/>
      <c r="I40" s="174"/>
      <c r="J40" s="174"/>
      <c r="K40" s="174"/>
    </row>
    <row r="41" spans="1:11" s="144" customFormat="1" ht="15.75">
      <c r="A41" s="183" t="s">
        <v>143</v>
      </c>
      <c r="B41" s="184"/>
      <c r="C41" s="185"/>
      <c r="D41" s="186"/>
      <c r="E41" s="187">
        <f>SUM(E29:E40)</f>
        <v>0</v>
      </c>
      <c r="F41" s="188">
        <f>SUM(F29:F40)</f>
        <v>0</v>
      </c>
      <c r="G41" s="188">
        <f>SUM(G29:G40)</f>
        <v>0</v>
      </c>
      <c r="H41" s="188">
        <f>SUM(H29:H40)</f>
        <v>0</v>
      </c>
      <c r="I41" s="145"/>
      <c r="J41" s="145"/>
      <c r="K41" s="64"/>
    </row>
    <row r="42" spans="1:11" ht="15.75">
      <c r="A42" s="39"/>
      <c r="B42" s="39"/>
      <c r="C42" s="39"/>
      <c r="D42" s="39"/>
      <c r="E42" s="39"/>
      <c r="F42" s="39"/>
      <c r="G42" s="39"/>
      <c r="H42" s="39"/>
      <c r="I42" s="3"/>
      <c r="J42" s="3"/>
      <c r="K42" s="3"/>
    </row>
    <row r="43" spans="1:11" ht="15.75">
      <c r="A43" s="189" t="s">
        <v>264</v>
      </c>
      <c r="B43" s="140"/>
      <c r="C43" s="140"/>
      <c r="D43" s="140"/>
      <c r="E43" s="140"/>
      <c r="F43" s="140"/>
      <c r="G43" s="140"/>
      <c r="H43" s="39"/>
      <c r="I43" s="3"/>
      <c r="J43" s="3"/>
      <c r="K43" s="3"/>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J68"/>
  <sheetViews>
    <sheetView zoomScalePageLayoutView="0" workbookViewId="0" topLeftCell="A1">
      <selection activeCell="C29" sqref="C29"/>
    </sheetView>
  </sheetViews>
  <sheetFormatPr defaultColWidth="8.796875" defaultRowHeight="15"/>
  <cols>
    <col min="1" max="1" width="2.3984375" style="83" customWidth="1"/>
    <col min="2" max="2" width="31.09765625" style="83" customWidth="1"/>
    <col min="3" max="5" width="15.796875" style="83" customWidth="1"/>
    <col min="6" max="16384" width="8.8984375" style="83" customWidth="1"/>
  </cols>
  <sheetData>
    <row r="1" spans="2:5" ht="15.75">
      <c r="B1" s="3" t="str">
        <f>inputPrYr!D3</f>
        <v>Downtown Shareholder Self Supporting Municipal Improvement District</v>
      </c>
      <c r="C1" s="190"/>
      <c r="D1" s="3"/>
      <c r="E1" s="141"/>
    </row>
    <row r="2" spans="2:5" ht="15.75">
      <c r="B2" s="3" t="str">
        <f>inputPrYr!D4</f>
        <v>Wyandotte County</v>
      </c>
      <c r="C2" s="190"/>
      <c r="D2" s="3"/>
      <c r="E2" s="100"/>
    </row>
    <row r="3" spans="2:6" ht="15.75">
      <c r="B3" s="350" t="s">
        <v>139</v>
      </c>
      <c r="C3" s="190"/>
      <c r="D3" s="3"/>
      <c r="E3" s="191"/>
      <c r="F3" s="141">
        <f>inputPrYr!$D$6</f>
        <v>2012</v>
      </c>
    </row>
    <row r="4" spans="2:5" ht="15.75">
      <c r="B4" s="3"/>
      <c r="C4" s="86"/>
      <c r="D4" s="86"/>
      <c r="E4" s="86"/>
    </row>
    <row r="5" spans="2:5" ht="15.75">
      <c r="B5" s="2" t="s">
        <v>88</v>
      </c>
      <c r="C5" s="307" t="s">
        <v>280</v>
      </c>
      <c r="D5" s="308" t="s">
        <v>279</v>
      </c>
      <c r="E5" s="192" t="s">
        <v>278</v>
      </c>
    </row>
    <row r="6" spans="2:5" ht="15.75">
      <c r="B6" s="323" t="str">
        <f>inputPrYr!B19</f>
        <v>General</v>
      </c>
      <c r="C6" s="309" t="str">
        <f>CONCATENATE("Actual ",F3-2,"")</f>
        <v>Actual 2010</v>
      </c>
      <c r="D6" s="309" t="str">
        <f>CONCATENATE("Estimate ",F3-1,"")</f>
        <v>Estimate 2011</v>
      </c>
      <c r="E6" s="193" t="str">
        <f>CONCATENATE("Year ",F3,"")</f>
        <v>Year 2012</v>
      </c>
    </row>
    <row r="7" spans="2:5" ht="15.75">
      <c r="B7" s="93" t="s">
        <v>182</v>
      </c>
      <c r="C7" s="303">
        <v>123106</v>
      </c>
      <c r="D7" s="310">
        <f>C48</f>
        <v>21165</v>
      </c>
      <c r="E7" s="32">
        <f>D48</f>
        <v>584</v>
      </c>
    </row>
    <row r="8" spans="2:5" ht="15.75">
      <c r="B8" s="194" t="s">
        <v>184</v>
      </c>
      <c r="C8" s="195"/>
      <c r="D8" s="195"/>
      <c r="E8" s="96"/>
    </row>
    <row r="9" spans="2:5" ht="15.75">
      <c r="B9" s="93" t="s">
        <v>89</v>
      </c>
      <c r="C9" s="303">
        <v>195486</v>
      </c>
      <c r="D9" s="310">
        <v>175000</v>
      </c>
      <c r="E9" s="97" t="s">
        <v>84</v>
      </c>
    </row>
    <row r="10" spans="2:5" ht="15.75">
      <c r="B10" s="93" t="s">
        <v>90</v>
      </c>
      <c r="C10" s="303">
        <v>4172</v>
      </c>
      <c r="D10" s="303">
        <v>15000</v>
      </c>
      <c r="E10" s="158">
        <v>15000</v>
      </c>
    </row>
    <row r="11" spans="2:5" ht="15.75">
      <c r="B11" s="93" t="s">
        <v>91</v>
      </c>
      <c r="C11" s="303"/>
      <c r="D11" s="303"/>
      <c r="E11" s="32">
        <f>mvalloc!D11</f>
        <v>0</v>
      </c>
    </row>
    <row r="12" spans="2:5" ht="15.75">
      <c r="B12" s="93" t="s">
        <v>92</v>
      </c>
      <c r="C12" s="303"/>
      <c r="D12" s="303"/>
      <c r="E12" s="32">
        <f>mvalloc!E11</f>
        <v>0</v>
      </c>
    </row>
    <row r="13" spans="2:5" ht="15.75">
      <c r="B13" s="195" t="s">
        <v>166</v>
      </c>
      <c r="C13" s="303"/>
      <c r="D13" s="303"/>
      <c r="E13" s="32">
        <f>mvalloc!F11</f>
        <v>0</v>
      </c>
    </row>
    <row r="14" spans="2:5" ht="15.75">
      <c r="B14" s="195" t="s">
        <v>210</v>
      </c>
      <c r="C14" s="303"/>
      <c r="D14" s="303"/>
      <c r="E14" s="32">
        <f>inputOth!E30</f>
        <v>0</v>
      </c>
    </row>
    <row r="15" spans="2:5" ht="15.75">
      <c r="B15" s="195" t="s">
        <v>211</v>
      </c>
      <c r="C15" s="303"/>
      <c r="D15" s="303"/>
      <c r="E15" s="32">
        <f>mvalloc!G11</f>
        <v>0</v>
      </c>
    </row>
    <row r="16" spans="2:5" ht="15.75">
      <c r="B16" s="196" t="s">
        <v>93</v>
      </c>
      <c r="C16" s="303"/>
      <c r="D16" s="303"/>
      <c r="E16" s="158"/>
    </row>
    <row r="17" spans="2:5" ht="15.75">
      <c r="B17" s="196" t="s">
        <v>58</v>
      </c>
      <c r="C17" s="303">
        <v>0</v>
      </c>
      <c r="D17" s="303">
        <v>50000</v>
      </c>
      <c r="E17" s="158">
        <v>50000</v>
      </c>
    </row>
    <row r="18" spans="2:5" ht="15.75">
      <c r="B18" s="196" t="s">
        <v>59</v>
      </c>
      <c r="C18" s="303">
        <v>1984</v>
      </c>
      <c r="D18" s="303">
        <v>1984</v>
      </c>
      <c r="E18" s="158">
        <v>1984</v>
      </c>
    </row>
    <row r="19" spans="2:5" ht="15.75">
      <c r="B19" s="196" t="s">
        <v>304</v>
      </c>
      <c r="C19" s="303">
        <v>0</v>
      </c>
      <c r="D19" s="303">
        <v>18485</v>
      </c>
      <c r="E19" s="158">
        <v>18485</v>
      </c>
    </row>
    <row r="20" spans="2:5" ht="15.75">
      <c r="B20" s="196"/>
      <c r="C20" s="303"/>
      <c r="D20" s="303"/>
      <c r="E20" s="158"/>
    </row>
    <row r="21" spans="2:5" ht="15.75">
      <c r="B21" s="197"/>
      <c r="C21" s="303"/>
      <c r="D21" s="303"/>
      <c r="E21" s="158"/>
    </row>
    <row r="22" spans="2:5" ht="15.75">
      <c r="B22" s="197" t="s">
        <v>94</v>
      </c>
      <c r="C22" s="303"/>
      <c r="D22" s="303"/>
      <c r="E22" s="158"/>
    </row>
    <row r="23" spans="2:5" ht="15.75">
      <c r="B23" s="198" t="s">
        <v>254</v>
      </c>
      <c r="C23" s="196"/>
      <c r="D23" s="196"/>
      <c r="E23" s="158"/>
    </row>
    <row r="24" spans="2:5" ht="15.75">
      <c r="B24" s="198" t="s">
        <v>13</v>
      </c>
      <c r="C24" s="304">
        <f>IF(C25*0.1&lt;C23,"Exceed 10% Rule","")</f>
      </c>
      <c r="D24" s="304">
        <f>IF(D25*0.1&lt;D23,"Exceed 10% Rule","")</f>
      </c>
      <c r="E24" s="321">
        <f>IF(E25*0.1+E54&lt;E23,"Exceed 10% Rule","")</f>
      </c>
    </row>
    <row r="25" spans="2:5" ht="15.75">
      <c r="B25" s="199" t="s">
        <v>95</v>
      </c>
      <c r="C25" s="305">
        <f>SUM(C9:C23)</f>
        <v>201642</v>
      </c>
      <c r="D25" s="305">
        <f>SUM(D9:D23)</f>
        <v>260469</v>
      </c>
      <c r="E25" s="200">
        <f>SUM(E9:E23)</f>
        <v>85469</v>
      </c>
    </row>
    <row r="26" spans="2:5" ht="15.75">
      <c r="B26" s="199" t="s">
        <v>96</v>
      </c>
      <c r="C26" s="305">
        <f>C7+C25</f>
        <v>324748</v>
      </c>
      <c r="D26" s="305">
        <f>D7+D25</f>
        <v>281634</v>
      </c>
      <c r="E26" s="200">
        <f>E7+E25</f>
        <v>86053</v>
      </c>
    </row>
    <row r="27" spans="2:5" ht="15.75">
      <c r="B27" s="93" t="s">
        <v>97</v>
      </c>
      <c r="C27" s="95"/>
      <c r="D27" s="95"/>
      <c r="E27" s="23"/>
    </row>
    <row r="28" spans="2:5" ht="15.75">
      <c r="B28" s="196"/>
      <c r="C28" s="303"/>
      <c r="D28" s="303"/>
      <c r="E28" s="158"/>
    </row>
    <row r="29" spans="2:5" ht="15.75">
      <c r="B29" s="196" t="s">
        <v>306</v>
      </c>
      <c r="C29" s="303">
        <f>200697-48271</f>
        <v>152426</v>
      </c>
      <c r="D29" s="366">
        <f>180000-92000</f>
        <v>88000</v>
      </c>
      <c r="E29" s="367">
        <f>180000-100000</f>
        <v>80000</v>
      </c>
    </row>
    <row r="30" spans="2:5" ht="15.75">
      <c r="B30" s="196" t="s">
        <v>307</v>
      </c>
      <c r="C30" s="303">
        <f>114480-40000</f>
        <v>74480</v>
      </c>
      <c r="D30" s="366">
        <v>93600</v>
      </c>
      <c r="E30" s="367">
        <v>93600</v>
      </c>
    </row>
    <row r="31" spans="2:5" ht="15.75">
      <c r="B31" s="196" t="s">
        <v>308</v>
      </c>
      <c r="C31" s="303">
        <v>0</v>
      </c>
      <c r="D31" s="303">
        <v>4000</v>
      </c>
      <c r="E31" s="158">
        <v>4000</v>
      </c>
    </row>
    <row r="32" spans="2:5" ht="15.75">
      <c r="B32" s="196" t="s">
        <v>310</v>
      </c>
      <c r="C32" s="303">
        <v>1053</v>
      </c>
      <c r="D32" s="303">
        <v>800</v>
      </c>
      <c r="E32" s="158">
        <v>500</v>
      </c>
    </row>
    <row r="33" spans="2:5" ht="15.75">
      <c r="B33" s="196" t="s">
        <v>311</v>
      </c>
      <c r="C33" s="303">
        <v>50506</v>
      </c>
      <c r="D33" s="303">
        <v>52500</v>
      </c>
      <c r="E33" s="158">
        <v>52500</v>
      </c>
    </row>
    <row r="34" spans="2:5" ht="15.75">
      <c r="B34" s="196" t="s">
        <v>309</v>
      </c>
      <c r="C34" s="303">
        <v>6338</v>
      </c>
      <c r="D34" s="303">
        <v>6600</v>
      </c>
      <c r="E34" s="158">
        <v>1500</v>
      </c>
    </row>
    <row r="35" spans="2:5" ht="15.75">
      <c r="B35" s="196" t="s">
        <v>312</v>
      </c>
      <c r="C35" s="303">
        <v>10841</v>
      </c>
      <c r="D35" s="303">
        <v>26000</v>
      </c>
      <c r="E35" s="158">
        <v>20000</v>
      </c>
    </row>
    <row r="36" spans="2:5" ht="15.75">
      <c r="B36" s="196"/>
      <c r="C36" s="303"/>
      <c r="D36" s="303"/>
      <c r="E36" s="158"/>
    </row>
    <row r="37" spans="2:5" ht="15.75">
      <c r="B37" s="196" t="s">
        <v>194</v>
      </c>
      <c r="C37" s="303">
        <v>3057</v>
      </c>
      <c r="D37" s="303">
        <v>5200</v>
      </c>
      <c r="E37" s="158">
        <v>5200</v>
      </c>
    </row>
    <row r="38" spans="2:5" ht="15.75">
      <c r="B38" s="196" t="s">
        <v>195</v>
      </c>
      <c r="C38" s="303">
        <v>4882</v>
      </c>
      <c r="D38" s="303">
        <v>4350</v>
      </c>
      <c r="E38" s="158">
        <v>4350</v>
      </c>
    </row>
    <row r="39" spans="2:5" ht="15.75">
      <c r="B39" s="196"/>
      <c r="C39" s="303"/>
      <c r="D39" s="303"/>
      <c r="E39" s="158"/>
    </row>
    <row r="40" spans="2:10" ht="15.75">
      <c r="B40" s="196"/>
      <c r="C40" s="303"/>
      <c r="D40" s="303"/>
      <c r="E40" s="158"/>
      <c r="G40" s="468" t="str">
        <f>CONCATENATE("Projected Carryover Into ",F3+1,"")</f>
        <v>Projected Carryover Into 2013</v>
      </c>
      <c r="H40" s="469"/>
      <c r="I40" s="469"/>
      <c r="J40" s="470"/>
    </row>
    <row r="41" spans="2:10" ht="15.75">
      <c r="B41" s="196"/>
      <c r="C41" s="303"/>
      <c r="D41" s="303"/>
      <c r="E41" s="158"/>
      <c r="G41" s="355"/>
      <c r="H41" s="56"/>
      <c r="I41" s="56"/>
      <c r="J41" s="346"/>
    </row>
    <row r="42" spans="2:10" ht="15.75">
      <c r="B42" s="196"/>
      <c r="C42" s="303"/>
      <c r="D42" s="303"/>
      <c r="E42" s="158"/>
      <c r="G42" s="349">
        <f>D48</f>
        <v>584</v>
      </c>
      <c r="H42" s="348" t="str">
        <f>CONCATENATE("",F3-1," Ending Cash Balance (est.)")</f>
        <v>2011 Ending Cash Balance (est.)</v>
      </c>
      <c r="I42" s="345"/>
      <c r="J42" s="346"/>
    </row>
    <row r="43" spans="2:10" ht="15.75">
      <c r="B43" s="196"/>
      <c r="C43" s="303"/>
      <c r="D43" s="303"/>
      <c r="E43" s="158"/>
      <c r="G43" s="349">
        <f>E25</f>
        <v>85469</v>
      </c>
      <c r="H43" s="345" t="str">
        <f>CONCATENATE("",F3," Non-AV Receipts (est.)")</f>
        <v>2012 Non-AV Receipts (est.)</v>
      </c>
      <c r="I43" s="345"/>
      <c r="J43" s="346"/>
    </row>
    <row r="44" spans="2:10" ht="15.75">
      <c r="B44" s="95" t="s">
        <v>255</v>
      </c>
      <c r="C44" s="303"/>
      <c r="D44" s="303"/>
      <c r="E44" s="163">
        <f>Nhood!E7</f>
      </c>
      <c r="G44" s="344">
        <f>E54</f>
        <v>212756.84561085975</v>
      </c>
      <c r="H44" s="345" t="str">
        <f>CONCATENATE("",F3," Ad Valorem Tax (est.)")</f>
        <v>2012 Ad Valorem Tax (est.)</v>
      </c>
      <c r="I44" s="345"/>
      <c r="J44" s="346"/>
    </row>
    <row r="45" spans="2:10" ht="15.75">
      <c r="B45" s="95" t="s">
        <v>254</v>
      </c>
      <c r="C45" s="303"/>
      <c r="D45" s="303"/>
      <c r="E45" s="22"/>
      <c r="G45" s="349">
        <f>SUM(G42:G44)</f>
        <v>298809.84561085975</v>
      </c>
      <c r="H45" s="345" t="str">
        <f>CONCATENATE("Total ",E4," Resources Available")</f>
        <v>Total  Resources Available</v>
      </c>
      <c r="I45" s="345"/>
      <c r="J45" s="346"/>
    </row>
    <row r="46" spans="2:10" ht="15.75">
      <c r="B46" s="95" t="s">
        <v>12</v>
      </c>
      <c r="C46" s="304">
        <f>IF(C47*0.1&lt;C45,"Exceed 10% Rule","")</f>
      </c>
      <c r="D46" s="304">
        <f>IF(D47*0.1&lt;D45,"Exceed 10% Rule","")</f>
      </c>
      <c r="E46" s="321">
        <f>IF(E47*0.1&lt;E45,"Exceed 10% Rule","")</f>
      </c>
      <c r="G46" s="343"/>
      <c r="H46" s="345"/>
      <c r="I46" s="345"/>
      <c r="J46" s="346"/>
    </row>
    <row r="47" spans="2:10" ht="15.75">
      <c r="B47" s="199" t="s">
        <v>98</v>
      </c>
      <c r="C47" s="305">
        <f>SUM(C28:C45)</f>
        <v>303583</v>
      </c>
      <c r="D47" s="305">
        <f>SUM(D28:D45)</f>
        <v>281050</v>
      </c>
      <c r="E47" s="200">
        <f>SUM(E28:E45)</f>
        <v>261650</v>
      </c>
      <c r="G47" s="344">
        <f>C47*0.05+C47</f>
        <v>318762.15</v>
      </c>
      <c r="H47" s="345" t="str">
        <f>CONCATENATE("Less ",F3-2," Expenditures + 5%")</f>
        <v>Less 2010 Expenditures + 5%</v>
      </c>
      <c r="I47" s="345"/>
      <c r="J47" s="346"/>
    </row>
    <row r="48" spans="2:10" ht="15.75">
      <c r="B48" s="93" t="s">
        <v>183</v>
      </c>
      <c r="C48" s="306">
        <f>C26-C47</f>
        <v>21165</v>
      </c>
      <c r="D48" s="306">
        <f>D26-D47</f>
        <v>584</v>
      </c>
      <c r="E48" s="97" t="s">
        <v>84</v>
      </c>
      <c r="G48" s="342">
        <f>G45-G47</f>
        <v>-19952.304389140278</v>
      </c>
      <c r="H48" s="341" t="str">
        <f>CONCATENATE("Projected ",F3+1," Carryover (est.)")</f>
        <v>Projected 2013 Carryover (est.)</v>
      </c>
      <c r="I48" s="327"/>
      <c r="J48" s="340"/>
    </row>
    <row r="49" spans="2:10" ht="15.75">
      <c r="B49" s="100" t="str">
        <f>CONCATENATE("",F3-2,"/",F3-1," Budget Authority Amount:")</f>
        <v>2010/2011 Budget Authority Amount:</v>
      </c>
      <c r="C49" s="94">
        <f>inputOth!B42</f>
        <v>364079</v>
      </c>
      <c r="D49" s="322">
        <f>inputPrYr!D19</f>
        <v>383500</v>
      </c>
      <c r="E49" s="97" t="s">
        <v>84</v>
      </c>
      <c r="F49" s="201"/>
      <c r="G49" s="1"/>
      <c r="H49" s="1"/>
      <c r="I49" s="1"/>
      <c r="J49" s="1"/>
    </row>
    <row r="50" spans="2:10" ht="15.75">
      <c r="B50" s="100"/>
      <c r="C50" s="464" t="s">
        <v>17</v>
      </c>
      <c r="D50" s="465"/>
      <c r="E50" s="365">
        <v>9408.845610859726</v>
      </c>
      <c r="F50" s="201">
        <f>IF(E47/0.95-E47&lt;E50,"Exceeds 5%","")</f>
      </c>
      <c r="G50" s="339">
        <f>IF(inputOth!E7=0,"",ROUND(gen!E54/inputOth!E7*1000,3))</f>
        <v>12.5</v>
      </c>
      <c r="H50" s="338" t="str">
        <f>CONCATENATE("Projected ",F3-1," Mill Rate (est.)")</f>
        <v>Projected 2011 Mill Rate (est.)</v>
      </c>
      <c r="I50" s="337"/>
      <c r="J50" s="336"/>
    </row>
    <row r="51" spans="2:10" ht="15.75">
      <c r="B51" s="320" t="str">
        <f>CONCATENATE(C67,"     ",D67)</f>
        <v>     </v>
      </c>
      <c r="C51" s="466" t="s">
        <v>18</v>
      </c>
      <c r="D51" s="467"/>
      <c r="E51" s="32">
        <f>E47+E50</f>
        <v>271058.84561085975</v>
      </c>
      <c r="G51" s="335"/>
      <c r="H51" s="335"/>
      <c r="I51" s="335"/>
      <c r="J51" s="335"/>
    </row>
    <row r="52" spans="2:10" ht="15.75">
      <c r="B52" s="320" t="str">
        <f>CONCATENATE(C68,"     ",D68)</f>
        <v>     </v>
      </c>
      <c r="C52" s="354"/>
      <c r="D52" s="353" t="s">
        <v>19</v>
      </c>
      <c r="E52" s="29">
        <f>IF(E51-E26&gt;0,E51-E26,0)</f>
        <v>185005.84561085975</v>
      </c>
      <c r="G52" s="468" t="str">
        <f>CONCATENATE("Desired Carryover Into ",F3+1,"")</f>
        <v>Desired Carryover Into 2013</v>
      </c>
      <c r="H52" s="471"/>
      <c r="I52" s="471"/>
      <c r="J52" s="470"/>
    </row>
    <row r="53" spans="2:10" ht="15.75">
      <c r="B53" s="114"/>
      <c r="C53" s="351" t="s">
        <v>20</v>
      </c>
      <c r="D53" s="352">
        <f>inputOth!$E$36</f>
        <v>0.15</v>
      </c>
      <c r="E53" s="32">
        <f>ROUND(IF(D53&gt;0,(E52*D53),0),0)</f>
        <v>27751</v>
      </c>
      <c r="G53" s="334"/>
      <c r="H53" s="56"/>
      <c r="I53" s="345"/>
      <c r="J53" s="333"/>
    </row>
    <row r="54" spans="2:10" ht="15.75">
      <c r="B54" s="3"/>
      <c r="C54" s="462" t="str">
        <f>CONCATENATE("Amount of  ",$F$3-1," Ad Valorem Tax")</f>
        <v>Amount of  2011 Ad Valorem Tax</v>
      </c>
      <c r="D54" s="463"/>
      <c r="E54" s="29">
        <f>E52+E53</f>
        <v>212756.84561085975</v>
      </c>
      <c r="G54" s="332" t="s">
        <v>23</v>
      </c>
      <c r="H54" s="345"/>
      <c r="I54" s="345"/>
      <c r="J54" s="331"/>
    </row>
    <row r="55" spans="2:10" ht="15.75">
      <c r="B55" s="3"/>
      <c r="C55" s="3"/>
      <c r="D55" s="3"/>
      <c r="E55" s="3"/>
      <c r="G55" s="334" t="s">
        <v>24</v>
      </c>
      <c r="H55" s="56"/>
      <c r="I55" s="56"/>
      <c r="J55" s="330">
        <f>IF(gen!J54=0,"",ROUND((J54+E54-G48)/inputOth!E7*1000,3)-G50)</f>
      </c>
    </row>
    <row r="56" spans="2:10" ht="15.75">
      <c r="B56" s="3"/>
      <c r="C56" s="3"/>
      <c r="D56" s="3"/>
      <c r="E56" s="3"/>
      <c r="G56" s="329" t="str">
        <f>CONCATENATE("",F3," Total Expenditures Must Be:")</f>
        <v>2012 Total Expenditures Must Be:</v>
      </c>
      <c r="H56" s="328"/>
      <c r="I56" s="327"/>
      <c r="J56" s="326">
        <f>IF((J54&gt;0),(E47+J54-G48),0)</f>
        <v>0</v>
      </c>
    </row>
    <row r="57" spans="2:5" ht="15.75">
      <c r="B57" s="3"/>
      <c r="C57" s="3"/>
      <c r="D57" s="3"/>
      <c r="E57" s="3"/>
    </row>
    <row r="58" spans="2:5" ht="15.75">
      <c r="B58" s="3"/>
      <c r="C58" s="3"/>
      <c r="D58" s="3"/>
      <c r="E58" s="3"/>
    </row>
    <row r="59" spans="2:5" ht="15.75">
      <c r="B59" s="3"/>
      <c r="C59" s="190"/>
      <c r="D59" s="190"/>
      <c r="E59" s="190"/>
    </row>
    <row r="60" spans="2:5" ht="15.75">
      <c r="B60" s="100"/>
      <c r="C60" s="3" t="s">
        <v>261</v>
      </c>
      <c r="D60" s="3"/>
      <c r="E60" s="3"/>
    </row>
    <row r="62" ht="15.75">
      <c r="B62" s="48"/>
    </row>
    <row r="67" spans="3:4" ht="15.75" hidden="1">
      <c r="C67" s="83">
        <f>IF(C47&gt;C49,"See Tab A","")</f>
      </c>
      <c r="D67" s="83">
        <f>IF(D47&gt;D49,"See Tab C","")</f>
      </c>
    </row>
    <row r="68" spans="3:4" ht="15.75" hidden="1">
      <c r="C68" s="83">
        <f>IF(C48&lt;0,"See Tab B","")</f>
      </c>
      <c r="D68" s="83">
        <f>IF(D48&lt;0,"See Tab D","")</f>
      </c>
    </row>
  </sheetData>
  <sheetProtection/>
  <mergeCells count="5">
    <mergeCell ref="C54:D54"/>
    <mergeCell ref="C50:D50"/>
    <mergeCell ref="C51:D51"/>
    <mergeCell ref="G40:J40"/>
    <mergeCell ref="G52:J52"/>
  </mergeCells>
  <conditionalFormatting sqref="E50">
    <cfRule type="cellIs" priority="2" dxfId="22" operator="greaterThan" stopIfTrue="1">
      <formula>$E$47/0.95-$E$47</formula>
    </cfRule>
  </conditionalFormatting>
  <conditionalFormatting sqref="C45">
    <cfRule type="cellIs" priority="3" dxfId="22" operator="greaterThan" stopIfTrue="1">
      <formula>$C$47*0.1</formula>
    </cfRule>
  </conditionalFormatting>
  <conditionalFormatting sqref="D45">
    <cfRule type="cellIs" priority="4" dxfId="22" operator="greaterThan" stopIfTrue="1">
      <formula>$D$47*0.1</formula>
    </cfRule>
  </conditionalFormatting>
  <conditionalFormatting sqref="E45">
    <cfRule type="cellIs" priority="5" dxfId="22" operator="greaterThan" stopIfTrue="1">
      <formula>$E$47*0.1</formula>
    </cfRule>
  </conditionalFormatting>
  <conditionalFormatting sqref="C23">
    <cfRule type="cellIs" priority="6" dxfId="22" operator="greaterThan" stopIfTrue="1">
      <formula>$C$25*0.1</formula>
    </cfRule>
  </conditionalFormatting>
  <conditionalFormatting sqref="D23">
    <cfRule type="cellIs" priority="7" dxfId="22" operator="greaterThan" stopIfTrue="1">
      <formula>$D$25*0.1</formula>
    </cfRule>
  </conditionalFormatting>
  <conditionalFormatting sqref="C48">
    <cfRule type="cellIs" priority="8" dxfId="22" operator="lessThan" stopIfTrue="1">
      <formula>0</formula>
    </cfRule>
  </conditionalFormatting>
  <conditionalFormatting sqref="E23">
    <cfRule type="cellIs" priority="11" dxfId="22" operator="greaterThan" stopIfTrue="1">
      <formula>$E$25*0.1+$E$54</formula>
    </cfRule>
  </conditionalFormatting>
  <conditionalFormatting sqref="D48">
    <cfRule type="cellIs" priority="1" dxfId="2" operator="lessThan" stopIfTrue="1">
      <formula>0</formula>
    </cfRule>
  </conditionalFormatting>
  <conditionalFormatting sqref="D47">
    <cfRule type="cellIs" priority="20" dxfId="0" operator="greaterThan" stopIfTrue="1">
      <formula>$D$49</formula>
    </cfRule>
  </conditionalFormatting>
  <conditionalFormatting sqref="C47">
    <cfRule type="cellIs" priority="28" dxfId="22" operator="greaterThan" stopIfTrue="1">
      <formula>$C$49</formula>
    </cfRule>
  </conditionalFormatting>
  <printOptions/>
  <pageMargins left="1" right="1" top="0.5" bottom="0.5" header="0.5" footer="0.5"/>
  <pageSetup blackAndWhite="1" fitToHeight="1" fitToWidth="1" horizontalDpi="120" verticalDpi="120" orientation="portrait" scale="77" r:id="rId1"/>
  <headerFooter alignWithMargins="0">
    <oddHeader>&amp;RState of Kansas
Special District
</oddHeader>
  </headerFooter>
</worksheet>
</file>

<file path=xl/worksheets/sheet7.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 customWidth="1"/>
    <col min="2" max="2" width="31.09765625" style="1" customWidth="1"/>
    <col min="3" max="5" width="15.796875" style="1" customWidth="1"/>
    <col min="6" max="16384" width="8.8984375" style="1" customWidth="1"/>
  </cols>
  <sheetData>
    <row r="1" spans="2:5" ht="15.75">
      <c r="B1" s="115" t="str">
        <f>inputPrYr!D3</f>
        <v>Downtown Shareholder Self Supporting Municipal Improvement District</v>
      </c>
      <c r="C1" s="3"/>
      <c r="D1" s="3"/>
      <c r="E1" s="202">
        <f>inputPrYr!$D$6</f>
        <v>2012</v>
      </c>
    </row>
    <row r="2" spans="2:5" ht="15.75">
      <c r="B2" s="3"/>
      <c r="C2" s="3"/>
      <c r="D2" s="3"/>
      <c r="E2" s="114"/>
    </row>
    <row r="3" spans="2:5" ht="15.75">
      <c r="B3" s="350" t="s">
        <v>139</v>
      </c>
      <c r="C3" s="190"/>
      <c r="D3" s="190"/>
      <c r="E3" s="203"/>
    </row>
    <row r="4" spans="2:5" ht="15.75">
      <c r="B4" s="3"/>
      <c r="C4" s="204"/>
      <c r="D4" s="204"/>
      <c r="E4" s="204"/>
    </row>
    <row r="5" spans="2:5" ht="15.75">
      <c r="B5" s="30" t="s">
        <v>88</v>
      </c>
      <c r="C5" s="307" t="s">
        <v>208</v>
      </c>
      <c r="D5" s="308" t="s">
        <v>279</v>
      </c>
      <c r="E5" s="192" t="s">
        <v>278</v>
      </c>
    </row>
    <row r="6" spans="2:5" ht="15.75">
      <c r="B6" s="324" t="s">
        <v>283</v>
      </c>
      <c r="C6" s="315">
        <f>E1-2</f>
        <v>2010</v>
      </c>
      <c r="D6" s="315" t="str">
        <f>CONCATENATE("Estimate ",E1-1,"")</f>
        <v>Estimate 2011</v>
      </c>
      <c r="E6" s="129" t="str">
        <f>CONCATENATE("Year ",E1,"")</f>
        <v>Year 2012</v>
      </c>
    </row>
    <row r="7" spans="2:5" ht="15.75">
      <c r="B7" s="91" t="s">
        <v>182</v>
      </c>
      <c r="C7" s="312"/>
      <c r="D7" s="316">
        <f>C55</f>
        <v>0</v>
      </c>
      <c r="E7" s="205">
        <f>D55</f>
        <v>0</v>
      </c>
    </row>
    <row r="8" spans="2:5" ht="15.75">
      <c r="B8" s="206" t="s">
        <v>184</v>
      </c>
      <c r="C8" s="314"/>
      <c r="D8" s="316"/>
      <c r="E8" s="205"/>
    </row>
    <row r="9" spans="2:5" ht="15.75">
      <c r="B9" s="91" t="s">
        <v>89</v>
      </c>
      <c r="C9" s="303"/>
      <c r="D9" s="314">
        <f>inputPrYr!E20</f>
        <v>0</v>
      </c>
      <c r="E9" s="207" t="s">
        <v>84</v>
      </c>
    </row>
    <row r="10" spans="2:5" ht="15.75">
      <c r="B10" s="91" t="s">
        <v>90</v>
      </c>
      <c r="C10" s="303"/>
      <c r="D10" s="303"/>
      <c r="E10" s="208"/>
    </row>
    <row r="11" spans="2:5" ht="15.75">
      <c r="B11" s="91" t="s">
        <v>91</v>
      </c>
      <c r="C11" s="303"/>
      <c r="D11" s="303"/>
      <c r="E11" s="209">
        <f>mvalloc!D12</f>
        <v>0</v>
      </c>
    </row>
    <row r="12" spans="2:5" ht="15.75">
      <c r="B12" s="91" t="s">
        <v>92</v>
      </c>
      <c r="C12" s="303"/>
      <c r="D12" s="303"/>
      <c r="E12" s="209">
        <f>mvalloc!E12</f>
        <v>0</v>
      </c>
    </row>
    <row r="13" spans="2:5" ht="15.75">
      <c r="B13" s="210" t="s">
        <v>166</v>
      </c>
      <c r="C13" s="303"/>
      <c r="D13" s="303"/>
      <c r="E13" s="209">
        <f>mvalloc!F12</f>
        <v>0</v>
      </c>
    </row>
    <row r="14" spans="2:5" ht="15.75">
      <c r="B14" s="210" t="s">
        <v>211</v>
      </c>
      <c r="C14" s="303"/>
      <c r="D14" s="303"/>
      <c r="E14" s="209">
        <f>mvalloc!G12</f>
        <v>0</v>
      </c>
    </row>
    <row r="15" spans="2:5" ht="15.75">
      <c r="B15" s="210"/>
      <c r="C15" s="303"/>
      <c r="D15" s="303"/>
      <c r="E15" s="209"/>
    </row>
    <row r="16" spans="2:5" ht="15.75">
      <c r="B16" s="347"/>
      <c r="C16" s="303"/>
      <c r="D16" s="303"/>
      <c r="E16" s="212"/>
    </row>
    <row r="17" spans="2:5" ht="15.75">
      <c r="B17" s="211"/>
      <c r="C17" s="303"/>
      <c r="D17" s="303"/>
      <c r="E17" s="208"/>
    </row>
    <row r="18" spans="2:5" ht="15.75">
      <c r="B18" s="211"/>
      <c r="C18" s="303"/>
      <c r="D18" s="303"/>
      <c r="E18" s="212"/>
    </row>
    <row r="19" spans="2:5" ht="15.75">
      <c r="B19" s="211"/>
      <c r="C19" s="303"/>
      <c r="D19" s="303"/>
      <c r="E19" s="208"/>
    </row>
    <row r="20" spans="2:5" ht="15.75">
      <c r="B20" s="211"/>
      <c r="C20" s="303"/>
      <c r="D20" s="303"/>
      <c r="E20" s="208"/>
    </row>
    <row r="21" spans="2:5" ht="15.75">
      <c r="B21" s="211"/>
      <c r="C21" s="303"/>
      <c r="D21" s="303"/>
      <c r="E21" s="208"/>
    </row>
    <row r="22" spans="2:5" ht="15.75">
      <c r="B22" s="211"/>
      <c r="C22" s="303"/>
      <c r="D22" s="303"/>
      <c r="E22" s="208"/>
    </row>
    <row r="23" spans="2:5" ht="15.75">
      <c r="B23" s="211"/>
      <c r="C23" s="303"/>
      <c r="D23" s="303"/>
      <c r="E23" s="208"/>
    </row>
    <row r="24" spans="2:5" ht="15.75">
      <c r="B24" s="211"/>
      <c r="C24" s="303"/>
      <c r="D24" s="303"/>
      <c r="E24" s="208"/>
    </row>
    <row r="25" spans="2:5" ht="15.75">
      <c r="B25" s="211"/>
      <c r="C25" s="303"/>
      <c r="D25" s="303"/>
      <c r="E25" s="208"/>
    </row>
    <row r="26" spans="2:5" ht="15.75">
      <c r="B26" s="211" t="s">
        <v>209</v>
      </c>
      <c r="C26" s="303"/>
      <c r="D26" s="303"/>
      <c r="E26" s="208"/>
    </row>
    <row r="27" spans="2:5" ht="15.75">
      <c r="B27" s="213" t="s">
        <v>94</v>
      </c>
      <c r="C27" s="303"/>
      <c r="D27" s="303"/>
      <c r="E27" s="208"/>
    </row>
    <row r="28" spans="2:5" ht="15.75">
      <c r="B28" s="198" t="s">
        <v>254</v>
      </c>
      <c r="C28" s="312"/>
      <c r="D28" s="312"/>
      <c r="E28" s="208"/>
    </row>
    <row r="29" spans="2:5" ht="15.75">
      <c r="B29" s="198" t="s">
        <v>13</v>
      </c>
      <c r="C29" s="304">
        <f>IF(C30*0.1&lt;C28,"Exceed 10% Rule","")</f>
      </c>
      <c r="D29" s="304">
        <f>IF(D30*0.1&lt;D28,"Exceed 10% Rule","")</f>
      </c>
      <c r="E29" s="321">
        <f>IF(E30*0.1+E61&lt;E28,"Exceed 10% Rule","")</f>
      </c>
    </row>
    <row r="30" spans="2:5" ht="15.75">
      <c r="B30" s="199" t="s">
        <v>95</v>
      </c>
      <c r="C30" s="313">
        <f>SUM(C9:C28)</f>
        <v>0</v>
      </c>
      <c r="D30" s="313">
        <f>SUM(D9:D28)</f>
        <v>0</v>
      </c>
      <c r="E30" s="214">
        <f>SUM(E9:E28)</f>
        <v>0</v>
      </c>
    </row>
    <row r="31" spans="2:5" ht="15.75">
      <c r="B31" s="199" t="s">
        <v>96</v>
      </c>
      <c r="C31" s="313">
        <f>C7+C30</f>
        <v>0</v>
      </c>
      <c r="D31" s="313">
        <f>D7+D30</f>
        <v>0</v>
      </c>
      <c r="E31" s="215">
        <f>E7+E30</f>
        <v>0</v>
      </c>
    </row>
    <row r="32" spans="2:5" ht="15.75">
      <c r="B32" s="206" t="s">
        <v>97</v>
      </c>
      <c r="C32" s="314"/>
      <c r="D32" s="314"/>
      <c r="E32" s="209"/>
    </row>
    <row r="33" spans="2:5" ht="15.75">
      <c r="B33" s="216"/>
      <c r="C33" s="303"/>
      <c r="D33" s="303"/>
      <c r="E33" s="208"/>
    </row>
    <row r="34" spans="2:5" ht="15.75">
      <c r="B34" s="216"/>
      <c r="C34" s="303"/>
      <c r="D34" s="303"/>
      <c r="E34" s="208"/>
    </row>
    <row r="35" spans="2:5" ht="15.75">
      <c r="B35" s="216"/>
      <c r="C35" s="303"/>
      <c r="D35" s="303"/>
      <c r="E35" s="208"/>
    </row>
    <row r="36" spans="2:5" ht="15.75">
      <c r="B36" s="216"/>
      <c r="C36" s="303"/>
      <c r="D36" s="303"/>
      <c r="E36" s="208"/>
    </row>
    <row r="37" spans="2:5" ht="15.75">
      <c r="B37" s="216"/>
      <c r="C37" s="303"/>
      <c r="D37" s="303"/>
      <c r="E37" s="208"/>
    </row>
    <row r="38" spans="2:5" ht="15.75">
      <c r="B38" s="216"/>
      <c r="C38" s="303"/>
      <c r="D38" s="303"/>
      <c r="E38" s="208"/>
    </row>
    <row r="39" spans="2:5" ht="15.75">
      <c r="B39" s="216"/>
      <c r="C39" s="303"/>
      <c r="D39" s="303"/>
      <c r="E39" s="208"/>
    </row>
    <row r="40" spans="2:5" ht="15.75">
      <c r="B40" s="216"/>
      <c r="C40" s="303"/>
      <c r="D40" s="303"/>
      <c r="E40" s="208"/>
    </row>
    <row r="41" spans="2:5" ht="15.75">
      <c r="B41" s="216"/>
      <c r="C41" s="303"/>
      <c r="D41" s="303"/>
      <c r="E41" s="208"/>
    </row>
    <row r="42" spans="2:5" ht="15.75">
      <c r="B42" s="216"/>
      <c r="C42" s="303"/>
      <c r="D42" s="303"/>
      <c r="E42" s="208"/>
    </row>
    <row r="43" spans="2:5" ht="15.75">
      <c r="B43" s="216"/>
      <c r="C43" s="303"/>
      <c r="D43" s="303"/>
      <c r="E43" s="208"/>
    </row>
    <row r="44" spans="2:5" ht="15.75">
      <c r="B44" s="216"/>
      <c r="C44" s="303"/>
      <c r="D44" s="303"/>
      <c r="E44" s="208"/>
    </row>
    <row r="45" spans="2:5" ht="15.75">
      <c r="B45" s="216"/>
      <c r="C45" s="303"/>
      <c r="D45" s="303"/>
      <c r="E45" s="208"/>
    </row>
    <row r="46" spans="2:5" ht="15.75">
      <c r="B46" s="216"/>
      <c r="C46" s="303"/>
      <c r="D46" s="303"/>
      <c r="E46" s="208"/>
    </row>
    <row r="47" spans="2:5" ht="15.75">
      <c r="B47" s="216"/>
      <c r="C47" s="303"/>
      <c r="D47" s="303"/>
      <c r="E47" s="208"/>
    </row>
    <row r="48" spans="2:5" ht="15.75">
      <c r="B48" s="216"/>
      <c r="C48" s="303"/>
      <c r="D48" s="303"/>
      <c r="E48" s="208"/>
    </row>
    <row r="49" spans="2:5" ht="15.75">
      <c r="B49" s="216"/>
      <c r="C49" s="303"/>
      <c r="D49" s="303"/>
      <c r="E49" s="208"/>
    </row>
    <row r="50" spans="2:5" ht="15.75">
      <c r="B50" s="216"/>
      <c r="C50" s="303"/>
      <c r="D50" s="303"/>
      <c r="E50" s="208"/>
    </row>
    <row r="51" spans="2:5" ht="15.75">
      <c r="B51" s="95" t="s">
        <v>255</v>
      </c>
      <c r="C51" s="312"/>
      <c r="D51" s="312"/>
      <c r="E51" s="135">
        <f>Nhood!E8</f>
      </c>
    </row>
    <row r="52" spans="2:9" ht="15.75">
      <c r="B52" s="95" t="s">
        <v>254</v>
      </c>
      <c r="C52" s="312"/>
      <c r="D52" s="312"/>
      <c r="E52" s="208"/>
      <c r="G52" s="472" t="str">
        <f>CONCATENATE("Projected Carryover Into ",E1+1,"")</f>
        <v>Projected Carryover Into 2013</v>
      </c>
      <c r="H52" s="473"/>
      <c r="I52" s="474"/>
    </row>
    <row r="53" spans="2:9" ht="15.75">
      <c r="B53" s="95" t="s">
        <v>12</v>
      </c>
      <c r="C53" s="304">
        <f>IF(C54*0.1&lt;C52,"Exceed 10% Rule","")</f>
      </c>
      <c r="D53" s="304">
        <f>IF(D54*0.1&lt;D52,"Exceed 10% Rule","")</f>
      </c>
      <c r="E53" s="321">
        <f>IF(E54*0.1&lt;E52,"Exceed 10% Rule","")</f>
      </c>
      <c r="G53" s="355"/>
      <c r="H53" s="56"/>
      <c r="I53" s="346"/>
    </row>
    <row r="54" spans="2:9" ht="15.75">
      <c r="B54" s="199" t="s">
        <v>98</v>
      </c>
      <c r="C54" s="313">
        <f>SUM(C33:C52)</f>
        <v>0</v>
      </c>
      <c r="D54" s="313">
        <f>SUM(D33:D52)</f>
        <v>0</v>
      </c>
      <c r="E54" s="214">
        <f>SUM(E33:E52)</f>
        <v>0</v>
      </c>
      <c r="G54" s="349">
        <f>D54</f>
        <v>0</v>
      </c>
      <c r="H54" s="356" t="str">
        <f>CONCATENATE("",E1-1," Ending Cash Balance (est.)")</f>
        <v>2011 Ending Cash Balance (est.)</v>
      </c>
      <c r="I54" s="346"/>
    </row>
    <row r="55" spans="2:9" ht="15.75">
      <c r="B55" s="91" t="s">
        <v>183</v>
      </c>
      <c r="C55" s="311">
        <f>C31-C54</f>
        <v>0</v>
      </c>
      <c r="D55" s="311">
        <f>D31-D54</f>
        <v>0</v>
      </c>
      <c r="E55" s="207" t="s">
        <v>84</v>
      </c>
      <c r="G55" s="349">
        <f>E30</f>
        <v>0</v>
      </c>
      <c r="H55" s="357" t="str">
        <f>CONCATENATE("",E1," Non-AV Receipts (est.)")</f>
        <v>2012 Non-AV Receipts (est.)</v>
      </c>
      <c r="I55" s="346"/>
    </row>
    <row r="56" spans="2:9" ht="15.75">
      <c r="B56" s="100" t="str">
        <f>CONCATENATE("",E1-2,"/",E1-1," Budget Authority Amount:")</f>
        <v>2010/2011 Budget Authority Amount:</v>
      </c>
      <c r="C56" s="94">
        <f>inputOth!B43</f>
        <v>0</v>
      </c>
      <c r="D56" s="322">
        <f>inputPrYr!D20</f>
        <v>0</v>
      </c>
      <c r="E56" s="207" t="s">
        <v>84</v>
      </c>
      <c r="F56" s="217"/>
      <c r="G56" s="344">
        <f>E61</f>
        <v>0</v>
      </c>
      <c r="H56" s="357" t="str">
        <f>CONCATENATE("",E1," Ad Valorem Tax (est.)")</f>
        <v>2012 Ad Valorem Tax (est.)</v>
      </c>
      <c r="I56" s="346"/>
    </row>
    <row r="57" spans="2:9" ht="15.75">
      <c r="B57" s="100"/>
      <c r="C57" s="464" t="s">
        <v>17</v>
      </c>
      <c r="D57" s="465"/>
      <c r="E57" s="22"/>
      <c r="F57" s="217">
        <f>IF(E54/0.95-E54&lt;E57,"Exceeds 5%","")</f>
      </c>
      <c r="G57" s="349">
        <f>SUM(G54:G56)</f>
        <v>0</v>
      </c>
      <c r="H57" s="357" t="str">
        <f>CONCATENATE("Total ",E1," Resources Available")</f>
        <v>Total 2012 Resources Available</v>
      </c>
      <c r="I57" s="346"/>
    </row>
    <row r="58" spans="2:9" ht="15.75">
      <c r="B58" s="320" t="str">
        <f>CONCATENATE(C69,"     ",D69)</f>
        <v>     </v>
      </c>
      <c r="C58" s="466" t="s">
        <v>18</v>
      </c>
      <c r="D58" s="467"/>
      <c r="E58" s="32">
        <f>E54+E57</f>
        <v>0</v>
      </c>
      <c r="G58" s="343"/>
      <c r="H58" s="357"/>
      <c r="I58" s="346"/>
    </row>
    <row r="59" spans="2:9" ht="15.75">
      <c r="B59" s="320" t="str">
        <f>CONCATENATE(C70,"     ",D70)</f>
        <v>     </v>
      </c>
      <c r="C59" s="354"/>
      <c r="D59" s="353" t="s">
        <v>19</v>
      </c>
      <c r="E59" s="29">
        <f>IF(E58-E31&gt;0,E58-E31,0)</f>
        <v>0</v>
      </c>
      <c r="G59" s="344">
        <f>C54</f>
        <v>0</v>
      </c>
      <c r="H59" s="357" t="str">
        <f>CONCATENATE("Less ",E1-2," Expenditures")</f>
        <v>Less 2010 Expenditures</v>
      </c>
      <c r="I59" s="346"/>
    </row>
    <row r="60" spans="2:9" ht="15.75">
      <c r="B60" s="114"/>
      <c r="C60" s="351" t="s">
        <v>20</v>
      </c>
      <c r="D60" s="352">
        <f>inputOth!$E$36</f>
        <v>0.15</v>
      </c>
      <c r="E60" s="32">
        <f>ROUND(IF(D60&gt;0,(E59*D60),0),0)</f>
        <v>0</v>
      </c>
      <c r="G60" s="359">
        <f>G57-G59</f>
        <v>0</v>
      </c>
      <c r="H60" s="358" t="str">
        <f>CONCATENATE("Projected ",E1+1," carryover (est.)")</f>
        <v>Projected 2013 carryover (est.)</v>
      </c>
      <c r="I60" s="340"/>
    </row>
    <row r="61" spans="2:5" ht="15.75">
      <c r="B61" s="3"/>
      <c r="C61" s="462" t="str">
        <f>CONCATENATE("Amount of  ",$E$1-1," Ad Valorem Tax")</f>
        <v>Amount of  2011 Ad Valorem Tax</v>
      </c>
      <c r="D61" s="463"/>
      <c r="E61" s="29">
        <f>E59+E60</f>
        <v>0</v>
      </c>
    </row>
    <row r="62" spans="2:9" ht="15.75">
      <c r="B62" s="114"/>
      <c r="C62" s="3"/>
      <c r="D62" s="3"/>
      <c r="E62" s="3"/>
      <c r="G62" s="360">
        <f>IF(inputOth!E7&gt;0,ROUND(DebtService!E61/inputOth!E7*1000,3),0)</f>
        <v>0</v>
      </c>
      <c r="H62" s="361" t="str">
        <f>CONCATENATE("",E1," Mill Rate")</f>
        <v>2012 Mill Rate</v>
      </c>
      <c r="I62" s="362"/>
    </row>
    <row r="63" spans="2:5" ht="15.75">
      <c r="B63" s="100" t="s">
        <v>100</v>
      </c>
      <c r="C63" s="218"/>
      <c r="D63" s="3"/>
      <c r="E63" s="3"/>
    </row>
    <row r="69" spans="3:4" ht="15.75" hidden="1">
      <c r="C69" s="1">
        <f>IF(C54&gt;C56,"See Tab A","")</f>
      </c>
      <c r="D69" s="1">
        <f>IF(D54&gt;D56,"See Tab C","")</f>
      </c>
    </row>
    <row r="70" spans="3:4" ht="15.75" hidden="1">
      <c r="C70" s="1">
        <f>IF(C55&lt;0,"See Tab B","")</f>
      </c>
      <c r="D70" s="1">
        <f>IF(D55&lt;0,"See Tab D","")</f>
      </c>
    </row>
  </sheetData>
  <sheetProtection/>
  <mergeCells count="4">
    <mergeCell ref="C61:D61"/>
    <mergeCell ref="C57:D57"/>
    <mergeCell ref="C58:D58"/>
    <mergeCell ref="G52:I52"/>
  </mergeCells>
  <conditionalFormatting sqref="C52">
    <cfRule type="cellIs" priority="2" dxfId="22" operator="greaterThan" stopIfTrue="1">
      <formula>$C$54*0.1</formula>
    </cfRule>
  </conditionalFormatting>
  <conditionalFormatting sqref="D52">
    <cfRule type="cellIs" priority="3" dxfId="22" operator="greaterThan" stopIfTrue="1">
      <formula>$D$54*0.1</formula>
    </cfRule>
  </conditionalFormatting>
  <conditionalFormatting sqref="E52">
    <cfRule type="cellIs" priority="4" dxfId="22" operator="greaterThan" stopIfTrue="1">
      <formula>$E$54*0.1</formula>
    </cfRule>
  </conditionalFormatting>
  <conditionalFormatting sqref="E57">
    <cfRule type="cellIs" priority="5" dxfId="22" operator="greaterThan" stopIfTrue="1">
      <formula>$E$54/0.95-$E$54</formula>
    </cfRule>
  </conditionalFormatting>
  <conditionalFormatting sqref="C28">
    <cfRule type="cellIs" priority="6" dxfId="22" operator="greaterThan" stopIfTrue="1">
      <formula>$C$30*0.1</formula>
    </cfRule>
  </conditionalFormatting>
  <conditionalFormatting sqref="D28">
    <cfRule type="cellIs" priority="7" dxfId="22" operator="greaterThan" stopIfTrue="1">
      <formula>$D$30*0.1</formula>
    </cfRule>
  </conditionalFormatting>
  <conditionalFormatting sqref="C55">
    <cfRule type="cellIs" priority="8" dxfId="22" operator="lessThan" stopIfTrue="1">
      <formula>0</formula>
    </cfRule>
  </conditionalFormatting>
  <conditionalFormatting sqref="E28">
    <cfRule type="cellIs" priority="11" dxfId="22" operator="greaterThan" stopIfTrue="1">
      <formula>$E$30*0.1+$E$61</formula>
    </cfRule>
  </conditionalFormatting>
  <conditionalFormatting sqref="D55">
    <cfRule type="cellIs" priority="1" dxfId="2" operator="lessThan" stopIfTrue="1">
      <formula>0</formula>
    </cfRule>
  </conditionalFormatting>
  <conditionalFormatting sqref="D54">
    <cfRule type="cellIs" priority="20" dxfId="0" operator="greaterThan" stopIfTrue="1">
      <formula>$D$56</formula>
    </cfRule>
  </conditionalFormatting>
  <conditionalFormatting sqref="C54">
    <cfRule type="cellIs" priority="28" dxfId="0"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oddFooter>&amp;CPage No.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
      <selection activeCell="G7" sqref="G7"/>
    </sheetView>
  </sheetViews>
  <sheetFormatPr defaultColWidth="8.796875" defaultRowHeight="15"/>
  <cols>
    <col min="1" max="1" width="11.59765625" style="83" customWidth="1"/>
    <col min="2" max="2" width="7.3984375" style="83" customWidth="1"/>
    <col min="3" max="3" width="11.59765625" style="83" customWidth="1"/>
    <col min="4" max="4" width="7.3984375" style="83" customWidth="1"/>
    <col min="5" max="5" width="11.59765625" style="83" customWidth="1"/>
    <col min="6" max="6" width="7.3984375" style="83" customWidth="1"/>
    <col min="7" max="7" width="11.59765625" style="83" customWidth="1"/>
    <col min="8" max="8" width="7.3984375" style="83" customWidth="1"/>
    <col min="9" max="9" width="11.59765625" style="83" customWidth="1"/>
    <col min="10" max="16384" width="8.8984375" style="83" customWidth="1"/>
  </cols>
  <sheetData>
    <row r="1" spans="1:11" ht="15.75">
      <c r="A1" s="124" t="str">
        <f>inputPrYr!$D$3</f>
        <v>Downtown Shareholder Self Supporting Municipal Improvement District</v>
      </c>
      <c r="B1" s="124"/>
      <c r="C1" s="124"/>
      <c r="D1" s="124"/>
      <c r="E1" s="124"/>
      <c r="F1" s="124"/>
      <c r="G1" s="124"/>
      <c r="H1" s="124"/>
      <c r="I1" s="124"/>
      <c r="J1" s="124"/>
      <c r="K1" s="124"/>
    </row>
    <row r="2" spans="1:11" ht="15.75">
      <c r="A2" s="47"/>
      <c r="B2" s="219"/>
      <c r="C2" s="47"/>
      <c r="D2" s="47"/>
      <c r="E2" s="47"/>
      <c r="F2" s="220" t="s">
        <v>265</v>
      </c>
      <c r="G2" s="47"/>
      <c r="H2" s="47"/>
      <c r="I2" s="47"/>
      <c r="J2" s="47"/>
      <c r="K2" s="47">
        <f>inputPrYr!$D$6</f>
        <v>2012</v>
      </c>
    </row>
    <row r="3" spans="1:11" ht="15.75">
      <c r="A3" s="47"/>
      <c r="B3" s="47"/>
      <c r="C3" s="47"/>
      <c r="D3" s="47"/>
      <c r="E3" s="47"/>
      <c r="F3" s="221" t="str">
        <f>CONCATENATE("(Only the actual budget year for ",K2-2," is to be shown)")</f>
        <v>(Only the actual budget year for 2010 is to be shown)</v>
      </c>
      <c r="G3" s="47"/>
      <c r="H3" s="47"/>
      <c r="I3" s="47"/>
      <c r="J3" s="47"/>
      <c r="K3" s="47"/>
    </row>
    <row r="4" spans="1:11" ht="15.75">
      <c r="A4" s="47" t="s">
        <v>266</v>
      </c>
      <c r="B4" s="47"/>
      <c r="C4" s="47"/>
      <c r="D4" s="47"/>
      <c r="E4" s="47"/>
      <c r="F4" s="219"/>
      <c r="G4" s="47"/>
      <c r="H4" s="47"/>
      <c r="I4" s="47"/>
      <c r="J4" s="47"/>
      <c r="K4" s="47"/>
    </row>
    <row r="5" spans="1:11" ht="15.75">
      <c r="A5" s="47" t="s">
        <v>267</v>
      </c>
      <c r="B5" s="47"/>
      <c r="C5" s="47" t="s">
        <v>268</v>
      </c>
      <c r="D5" s="47"/>
      <c r="E5" s="47" t="s">
        <v>269</v>
      </c>
      <c r="F5" s="219"/>
      <c r="G5" s="47" t="s">
        <v>270</v>
      </c>
      <c r="H5" s="47"/>
      <c r="I5" s="47" t="s">
        <v>271</v>
      </c>
      <c r="J5" s="47"/>
      <c r="K5" s="47"/>
    </row>
    <row r="6" spans="1:11" ht="15.75">
      <c r="A6" s="475" t="str">
        <f>inputPrYr!B30</f>
        <v>ReEntry DOJ</v>
      </c>
      <c r="B6" s="476"/>
      <c r="C6" s="475" t="str">
        <f>inputPrYr!B31</f>
        <v>GSA</v>
      </c>
      <c r="D6" s="476"/>
      <c r="E6" s="475" t="str">
        <f>inputPrYr!B32</f>
        <v>LISC</v>
      </c>
      <c r="F6" s="476"/>
      <c r="G6" s="475">
        <f>inputPrYr!B33</f>
        <v>0</v>
      </c>
      <c r="H6" s="476"/>
      <c r="I6" s="475">
        <f>inputPrYr!B34</f>
        <v>0</v>
      </c>
      <c r="J6" s="476"/>
      <c r="K6" s="223"/>
    </row>
    <row r="7" spans="1:11" ht="15.75">
      <c r="A7" s="224" t="s">
        <v>272</v>
      </c>
      <c r="B7" s="225"/>
      <c r="C7" s="226" t="s">
        <v>272</v>
      </c>
      <c r="D7" s="227"/>
      <c r="E7" s="226" t="s">
        <v>272</v>
      </c>
      <c r="F7" s="228"/>
      <c r="G7" s="226" t="s">
        <v>272</v>
      </c>
      <c r="H7" s="222"/>
      <c r="I7" s="226" t="s">
        <v>272</v>
      </c>
      <c r="J7" s="47"/>
      <c r="K7" s="229" t="s">
        <v>69</v>
      </c>
    </row>
    <row r="8" spans="1:11" ht="15.75">
      <c r="A8" s="230" t="s">
        <v>273</v>
      </c>
      <c r="B8" s="231">
        <v>0</v>
      </c>
      <c r="C8" s="232" t="s">
        <v>273</v>
      </c>
      <c r="D8" s="231">
        <v>0</v>
      </c>
      <c r="E8" s="232" t="s">
        <v>273</v>
      </c>
      <c r="F8" s="231">
        <v>0</v>
      </c>
      <c r="G8" s="232" t="s">
        <v>273</v>
      </c>
      <c r="H8" s="231"/>
      <c r="I8" s="232" t="s">
        <v>273</v>
      </c>
      <c r="J8" s="231"/>
      <c r="K8" s="233">
        <f>SUM(B8+D8+F8+H8+J8)</f>
        <v>0</v>
      </c>
    </row>
    <row r="9" spans="1:11" ht="15.75">
      <c r="A9" s="234" t="s">
        <v>184</v>
      </c>
      <c r="B9" s="235"/>
      <c r="C9" s="234" t="s">
        <v>184</v>
      </c>
      <c r="D9" s="236"/>
      <c r="E9" s="234" t="s">
        <v>184</v>
      </c>
      <c r="F9" s="219"/>
      <c r="G9" s="234" t="s">
        <v>184</v>
      </c>
      <c r="H9" s="47"/>
      <c r="I9" s="234" t="s">
        <v>184</v>
      </c>
      <c r="J9" s="47"/>
      <c r="K9" s="219"/>
    </row>
    <row r="10" spans="1:11" ht="15.75">
      <c r="A10" s="237" t="s">
        <v>331</v>
      </c>
      <c r="B10" s="231">
        <v>4952</v>
      </c>
      <c r="C10" s="237" t="s">
        <v>331</v>
      </c>
      <c r="D10" s="231">
        <v>35960</v>
      </c>
      <c r="E10" s="237" t="s">
        <v>331</v>
      </c>
      <c r="F10" s="231">
        <v>14921</v>
      </c>
      <c r="G10" s="237"/>
      <c r="H10" s="231"/>
      <c r="I10" s="237"/>
      <c r="J10" s="231"/>
      <c r="K10" s="219"/>
    </row>
    <row r="11" spans="1:11" ht="15.75">
      <c r="A11" s="237"/>
      <c r="B11" s="231"/>
      <c r="C11" s="237"/>
      <c r="D11" s="231"/>
      <c r="E11" s="237"/>
      <c r="F11" s="231"/>
      <c r="G11" s="237"/>
      <c r="H11" s="231"/>
      <c r="I11" s="237"/>
      <c r="J11" s="231"/>
      <c r="K11" s="219"/>
    </row>
    <row r="12" spans="1:11" ht="15.75">
      <c r="A12" s="237"/>
      <c r="B12" s="231"/>
      <c r="C12" s="238"/>
      <c r="D12" s="239"/>
      <c r="E12" s="238"/>
      <c r="F12" s="231"/>
      <c r="G12" s="238"/>
      <c r="H12" s="231"/>
      <c r="I12" s="240"/>
      <c r="J12" s="231"/>
      <c r="K12" s="219"/>
    </row>
    <row r="13" spans="1:11" ht="15.75">
      <c r="A13" s="237"/>
      <c r="B13" s="241"/>
      <c r="C13" s="237"/>
      <c r="D13" s="242"/>
      <c r="E13" s="243"/>
      <c r="F13" s="231"/>
      <c r="G13" s="243"/>
      <c r="H13" s="231"/>
      <c r="I13" s="243"/>
      <c r="J13" s="231"/>
      <c r="K13" s="219"/>
    </row>
    <row r="14" spans="1:11" ht="15.75">
      <c r="A14" s="244"/>
      <c r="B14" s="245"/>
      <c r="C14" s="246"/>
      <c r="D14" s="242"/>
      <c r="E14" s="246"/>
      <c r="F14" s="231"/>
      <c r="G14" s="246"/>
      <c r="H14" s="231"/>
      <c r="I14" s="240"/>
      <c r="J14" s="231"/>
      <c r="K14" s="219"/>
    </row>
    <row r="15" spans="1:11" ht="15.75">
      <c r="A15" s="237"/>
      <c r="B15" s="231"/>
      <c r="C15" s="243"/>
      <c r="D15" s="242"/>
      <c r="E15" s="243"/>
      <c r="F15" s="231"/>
      <c r="G15" s="243"/>
      <c r="H15" s="231"/>
      <c r="I15" s="243"/>
      <c r="J15" s="231"/>
      <c r="K15" s="219"/>
    </row>
    <row r="16" spans="1:11" ht="15.75">
      <c r="A16" s="237"/>
      <c r="B16" s="231"/>
      <c r="C16" s="243"/>
      <c r="D16" s="242"/>
      <c r="E16" s="243"/>
      <c r="F16" s="231"/>
      <c r="G16" s="243"/>
      <c r="H16" s="231"/>
      <c r="I16" s="243"/>
      <c r="J16" s="231"/>
      <c r="K16" s="219"/>
    </row>
    <row r="17" spans="1:11" ht="15.75">
      <c r="A17" s="237"/>
      <c r="B17" s="245"/>
      <c r="C17" s="237"/>
      <c r="D17" s="242"/>
      <c r="E17" s="237"/>
      <c r="F17" s="231"/>
      <c r="G17" s="243"/>
      <c r="H17" s="231"/>
      <c r="I17" s="237"/>
      <c r="J17" s="231"/>
      <c r="K17" s="219"/>
    </row>
    <row r="18" spans="1:11" ht="15.75">
      <c r="A18" s="234" t="s">
        <v>95</v>
      </c>
      <c r="B18" s="233">
        <f>SUM(B10:B17)</f>
        <v>4952</v>
      </c>
      <c r="C18" s="234" t="s">
        <v>95</v>
      </c>
      <c r="D18" s="233">
        <f>SUM(D10:D17)</f>
        <v>35960</v>
      </c>
      <c r="E18" s="234" t="s">
        <v>95</v>
      </c>
      <c r="F18" s="247">
        <f>SUM(F10:F17)</f>
        <v>14921</v>
      </c>
      <c r="G18" s="234" t="s">
        <v>95</v>
      </c>
      <c r="H18" s="233">
        <f>SUM(H10:H17)</f>
        <v>0</v>
      </c>
      <c r="I18" s="234" t="s">
        <v>95</v>
      </c>
      <c r="J18" s="233">
        <f>SUM(J10:J17)</f>
        <v>0</v>
      </c>
      <c r="K18" s="233">
        <f>SUM(B18+D18+F18+H18+J18)</f>
        <v>55833</v>
      </c>
    </row>
    <row r="19" spans="1:11" ht="15.75">
      <c r="A19" s="234" t="s">
        <v>96</v>
      </c>
      <c r="B19" s="233">
        <f>SUM(B8+B18)</f>
        <v>4952</v>
      </c>
      <c r="C19" s="234" t="s">
        <v>96</v>
      </c>
      <c r="D19" s="233">
        <f>SUM(D8+D18)</f>
        <v>35960</v>
      </c>
      <c r="E19" s="234" t="s">
        <v>96</v>
      </c>
      <c r="F19" s="233">
        <f>SUM(F8+F18)</f>
        <v>14921</v>
      </c>
      <c r="G19" s="234" t="s">
        <v>96</v>
      </c>
      <c r="H19" s="233">
        <f>SUM(H8+H18)</f>
        <v>0</v>
      </c>
      <c r="I19" s="234" t="s">
        <v>96</v>
      </c>
      <c r="J19" s="233">
        <f>SUM(J8+J18)</f>
        <v>0</v>
      </c>
      <c r="K19" s="233">
        <f>SUM(B19+D19+F19+H19+J19)</f>
        <v>55833</v>
      </c>
    </row>
    <row r="20" spans="1:11" ht="15.75">
      <c r="A20" s="234" t="s">
        <v>97</v>
      </c>
      <c r="B20" s="235"/>
      <c r="C20" s="234" t="s">
        <v>97</v>
      </c>
      <c r="D20" s="236"/>
      <c r="E20" s="234" t="s">
        <v>97</v>
      </c>
      <c r="F20" s="219"/>
      <c r="G20" s="234" t="s">
        <v>97</v>
      </c>
      <c r="H20" s="47"/>
      <c r="I20" s="234" t="s">
        <v>97</v>
      </c>
      <c r="J20" s="47"/>
      <c r="K20" s="219"/>
    </row>
    <row r="21" spans="1:11" ht="15.75">
      <c r="A21" s="237" t="s">
        <v>332</v>
      </c>
      <c r="B21" s="231">
        <f>37660-270</f>
        <v>37390</v>
      </c>
      <c r="C21" s="237" t="s">
        <v>332</v>
      </c>
      <c r="D21" s="231">
        <v>35960</v>
      </c>
      <c r="E21" s="237" t="s">
        <v>332</v>
      </c>
      <c r="F21" s="231">
        <v>14921</v>
      </c>
      <c r="G21" s="243"/>
      <c r="H21" s="231"/>
      <c r="I21" s="243"/>
      <c r="J21" s="231"/>
      <c r="K21" s="219"/>
    </row>
    <row r="22" spans="1:11" ht="15.75">
      <c r="A22" s="237"/>
      <c r="B22" s="231"/>
      <c r="C22" s="243"/>
      <c r="D22" s="231"/>
      <c r="E22" s="243"/>
      <c r="F22" s="231"/>
      <c r="G22" s="243"/>
      <c r="H22" s="231"/>
      <c r="I22" s="243"/>
      <c r="J22" s="231"/>
      <c r="K22" s="219"/>
    </row>
    <row r="23" spans="1:11" ht="15.75">
      <c r="A23" s="237"/>
      <c r="B23" s="231"/>
      <c r="C23" s="246"/>
      <c r="D23" s="231"/>
      <c r="E23" s="246"/>
      <c r="F23" s="231"/>
      <c r="G23" s="246"/>
      <c r="H23" s="231"/>
      <c r="I23" s="240"/>
      <c r="J23" s="231"/>
      <c r="K23" s="219"/>
    </row>
    <row r="24" spans="1:11" ht="15.75">
      <c r="A24" s="237"/>
      <c r="B24" s="231"/>
      <c r="C24" s="243"/>
      <c r="D24" s="231"/>
      <c r="E24" s="243"/>
      <c r="F24" s="231"/>
      <c r="G24" s="243"/>
      <c r="H24" s="231"/>
      <c r="I24" s="243"/>
      <c r="J24" s="231"/>
      <c r="K24" s="219"/>
    </row>
    <row r="25" spans="1:11" ht="15.75">
      <c r="A25" s="237"/>
      <c r="B25" s="231"/>
      <c r="C25" s="246"/>
      <c r="D25" s="231"/>
      <c r="E25" s="246"/>
      <c r="F25" s="231"/>
      <c r="G25" s="246"/>
      <c r="H25" s="231"/>
      <c r="I25" s="240"/>
      <c r="J25" s="231"/>
      <c r="K25" s="219"/>
    </row>
    <row r="26" spans="1:11" ht="15.75">
      <c r="A26" s="237"/>
      <c r="B26" s="231"/>
      <c r="C26" s="243"/>
      <c r="D26" s="231"/>
      <c r="E26" s="243"/>
      <c r="F26" s="231"/>
      <c r="G26" s="243"/>
      <c r="H26" s="231"/>
      <c r="I26" s="243"/>
      <c r="J26" s="231"/>
      <c r="K26" s="219"/>
    </row>
    <row r="27" spans="1:11" ht="15.75">
      <c r="A27" s="237"/>
      <c r="B27" s="231"/>
      <c r="C27" s="243"/>
      <c r="D27" s="231"/>
      <c r="E27" s="243"/>
      <c r="F27" s="231"/>
      <c r="G27" s="243"/>
      <c r="H27" s="231"/>
      <c r="I27" s="243"/>
      <c r="J27" s="231"/>
      <c r="K27" s="219"/>
    </row>
    <row r="28" spans="1:11" ht="15.75">
      <c r="A28" s="237"/>
      <c r="B28" s="231"/>
      <c r="C28" s="237"/>
      <c r="D28" s="231"/>
      <c r="E28" s="237"/>
      <c r="F28" s="231"/>
      <c r="G28" s="243"/>
      <c r="H28" s="231"/>
      <c r="I28" s="243"/>
      <c r="J28" s="231"/>
      <c r="K28" s="219"/>
    </row>
    <row r="29" spans="1:11" ht="15.75">
      <c r="A29" s="234" t="s">
        <v>98</v>
      </c>
      <c r="B29" s="233">
        <f>SUM(B21:B28)</f>
        <v>37390</v>
      </c>
      <c r="C29" s="234" t="s">
        <v>98</v>
      </c>
      <c r="D29" s="233">
        <f>SUM(D21:D28)</f>
        <v>35960</v>
      </c>
      <c r="E29" s="234" t="s">
        <v>98</v>
      </c>
      <c r="F29" s="247">
        <f>SUM(F21:F28)</f>
        <v>14921</v>
      </c>
      <c r="G29" s="234" t="s">
        <v>98</v>
      </c>
      <c r="H29" s="247">
        <f>SUM(H21:H28)</f>
        <v>0</v>
      </c>
      <c r="I29" s="234" t="s">
        <v>98</v>
      </c>
      <c r="J29" s="233">
        <f>SUM(J21:J28)</f>
        <v>0</v>
      </c>
      <c r="K29" s="233">
        <f>SUM(B29+D29+F29+H29+J29)</f>
        <v>88271</v>
      </c>
    </row>
    <row r="30" spans="1:12" ht="15.75">
      <c r="A30" s="234" t="s">
        <v>274</v>
      </c>
      <c r="B30" s="233">
        <f>SUM(B19-B29)</f>
        <v>-32438</v>
      </c>
      <c r="C30" s="234" t="s">
        <v>274</v>
      </c>
      <c r="D30" s="233">
        <f>SUM(D19-D29)</f>
        <v>0</v>
      </c>
      <c r="E30" s="234" t="s">
        <v>274</v>
      </c>
      <c r="F30" s="233">
        <f>SUM(F19-F29)</f>
        <v>0</v>
      </c>
      <c r="G30" s="234" t="s">
        <v>274</v>
      </c>
      <c r="H30" s="233">
        <f>SUM(H19-H29)</f>
        <v>0</v>
      </c>
      <c r="I30" s="234" t="s">
        <v>274</v>
      </c>
      <c r="J30" s="233">
        <f>SUM(J19-J29)</f>
        <v>0</v>
      </c>
      <c r="K30" s="248">
        <f>SUM(B30+D30+F30+H30+J30)</f>
        <v>-32438</v>
      </c>
      <c r="L30" s="83" t="s">
        <v>275</v>
      </c>
    </row>
    <row r="31" spans="1:12" ht="15.75">
      <c r="A31" s="234"/>
      <c r="B31" s="268" t="str">
        <f>IF(B30&lt;0,"See Tab B","")</f>
        <v>See Tab B</v>
      </c>
      <c r="C31" s="234"/>
      <c r="D31" s="268">
        <f>IF(D30&lt;0,"See Tab B","")</f>
      </c>
      <c r="E31" s="234"/>
      <c r="F31" s="268">
        <f>IF(F30&lt;0,"See Tab B","")</f>
      </c>
      <c r="G31" s="47"/>
      <c r="H31" s="268">
        <f>IF(H30&lt;0,"See Tab B","")</f>
      </c>
      <c r="I31" s="47"/>
      <c r="J31" s="268">
        <f>IF(J30&lt;0,"See Tab B","")</f>
      </c>
      <c r="K31" s="248">
        <f>SUM(K8+K18-K29)</f>
        <v>-32438</v>
      </c>
      <c r="L31" s="83" t="s">
        <v>275</v>
      </c>
    </row>
    <row r="32" spans="1:11" ht="15.75">
      <c r="A32" s="47"/>
      <c r="B32" s="249"/>
      <c r="C32" s="47"/>
      <c r="D32" s="219"/>
      <c r="E32" s="47"/>
      <c r="F32" s="47"/>
      <c r="G32" s="250" t="s">
        <v>276</v>
      </c>
      <c r="H32" s="250"/>
      <c r="I32" s="250"/>
      <c r="J32" s="250"/>
      <c r="K32" s="47"/>
    </row>
    <row r="33" spans="1:11" ht="15.75">
      <c r="A33" s="47"/>
      <c r="B33" s="249"/>
      <c r="C33" s="47"/>
      <c r="D33" s="47"/>
      <c r="E33" s="47"/>
      <c r="F33" s="47"/>
      <c r="G33" s="47"/>
      <c r="H33" s="47"/>
      <c r="I33" s="47"/>
      <c r="J33" s="47"/>
      <c r="K33" s="47"/>
    </row>
    <row r="34" spans="1:11" ht="15.75">
      <c r="A34" s="47"/>
      <c r="B34" s="249"/>
      <c r="C34" s="47"/>
      <c r="D34" s="47"/>
      <c r="E34" s="251" t="s">
        <v>100</v>
      </c>
      <c r="F34" s="218"/>
      <c r="G34" s="47"/>
      <c r="H34" s="47"/>
      <c r="I34" s="47"/>
      <c r="J34" s="47"/>
      <c r="K34" s="47"/>
    </row>
    <row r="35" ht="15.75">
      <c r="B35" s="252"/>
    </row>
    <row r="36" ht="15.75">
      <c r="B36" s="252"/>
    </row>
    <row r="37" ht="15.75">
      <c r="B37" s="252"/>
    </row>
    <row r="38" ht="15.75">
      <c r="B38" s="252"/>
    </row>
    <row r="39" ht="15.75">
      <c r="B39" s="252"/>
    </row>
    <row r="40" ht="15.75">
      <c r="B40" s="252"/>
    </row>
    <row r="41" ht="15.75">
      <c r="B41" s="252"/>
    </row>
    <row r="42" ht="15.75">
      <c r="B42" s="252"/>
    </row>
  </sheetData>
  <sheetProtection/>
  <mergeCells count="5">
    <mergeCell ref="I6:J6"/>
    <mergeCell ref="A6:B6"/>
    <mergeCell ref="C6:D6"/>
    <mergeCell ref="E6:F6"/>
    <mergeCell ref="G6:H6"/>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oddFooter>&amp;CPage No. 8</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0">
      <selection activeCell="A18" sqref="A18:IV21"/>
    </sheetView>
  </sheetViews>
  <sheetFormatPr defaultColWidth="8.796875" defaultRowHeight="15"/>
  <cols>
    <col min="1" max="1" width="23" style="368" customWidth="1"/>
    <col min="2" max="2" width="12.796875" style="368" customWidth="1"/>
    <col min="3" max="3" width="8.796875" style="368" customWidth="1"/>
    <col min="4" max="4" width="12.796875" style="368" customWidth="1"/>
    <col min="5" max="5" width="9.19921875" style="368" customWidth="1"/>
    <col min="6" max="6" width="12.796875" style="368" customWidth="1"/>
    <col min="7" max="7" width="10.796875" style="368" customWidth="1"/>
    <col min="8" max="8" width="13.796875" style="368" customWidth="1"/>
    <col min="9" max="9" width="8.8984375" style="368" customWidth="1"/>
    <col min="10" max="10" width="12.3984375" style="368" customWidth="1"/>
    <col min="11" max="11" width="12.296875" style="368" customWidth="1"/>
    <col min="12" max="12" width="5.796875" style="368" customWidth="1"/>
    <col min="13" max="13" width="12" style="368" customWidth="1"/>
    <col min="14" max="16384" width="8.8984375" style="368" customWidth="1"/>
  </cols>
  <sheetData>
    <row r="1" spans="1:8" ht="15">
      <c r="A1" s="486" t="s">
        <v>140</v>
      </c>
      <c r="B1" s="486"/>
      <c r="C1" s="486"/>
      <c r="D1" s="486"/>
      <c r="E1" s="486"/>
      <c r="F1" s="486"/>
      <c r="G1" s="486"/>
      <c r="H1" s="487"/>
    </row>
    <row r="2" spans="1:8" ht="14.25">
      <c r="A2" s="369"/>
      <c r="B2" s="369"/>
      <c r="C2" s="369"/>
      <c r="D2" s="369"/>
      <c r="E2" s="369"/>
      <c r="F2" s="369"/>
      <c r="G2" s="369"/>
      <c r="H2" s="369"/>
    </row>
    <row r="3" spans="1:9" ht="14.25">
      <c r="A3" s="490" t="s">
        <v>167</v>
      </c>
      <c r="B3" s="490"/>
      <c r="C3" s="490"/>
      <c r="D3" s="490"/>
      <c r="E3" s="490"/>
      <c r="F3" s="490"/>
      <c r="G3" s="490"/>
      <c r="H3" s="490"/>
      <c r="I3" s="370">
        <f>inputPrYr!D6</f>
        <v>2012</v>
      </c>
    </row>
    <row r="4" spans="1:8" ht="15">
      <c r="A4" s="491" t="str">
        <f>inputPrYr!D3</f>
        <v>Downtown Shareholder Self Supporting Municipal Improvement District</v>
      </c>
      <c r="B4" s="491"/>
      <c r="C4" s="491"/>
      <c r="D4" s="491"/>
      <c r="E4" s="491"/>
      <c r="F4" s="491"/>
      <c r="G4" s="491"/>
      <c r="H4" s="491"/>
    </row>
    <row r="5" spans="1:8" ht="14.25">
      <c r="A5" s="492" t="str">
        <f>inputPrYr!D4</f>
        <v>Wyandotte County</v>
      </c>
      <c r="B5" s="492"/>
      <c r="C5" s="492"/>
      <c r="D5" s="492"/>
      <c r="E5" s="492"/>
      <c r="F5" s="492"/>
      <c r="G5" s="492"/>
      <c r="H5" s="492"/>
    </row>
    <row r="6" spans="1:8" ht="14.25">
      <c r="A6" s="493" t="str">
        <f>CONCATENATE("will meet on ",inputBudSum!B5," at ",inputBudSum!B7," at ",inputBudSum!B9," for the purpose of hearing and")</f>
        <v>will meet on July 28, 2011 at 5:00 PM at in the Commission Chambers of the Municipal Office Building for the purpose of hearing and</v>
      </c>
      <c r="B6" s="493"/>
      <c r="C6" s="493"/>
      <c r="D6" s="493"/>
      <c r="E6" s="493"/>
      <c r="F6" s="493"/>
      <c r="G6" s="493"/>
      <c r="H6" s="493"/>
    </row>
    <row r="7" spans="1:8" ht="14.25">
      <c r="A7" s="372" t="s">
        <v>299</v>
      </c>
      <c r="B7" s="373"/>
      <c r="C7" s="373"/>
      <c r="D7" s="373"/>
      <c r="E7" s="373"/>
      <c r="F7" s="373"/>
      <c r="G7" s="373"/>
      <c r="H7" s="373"/>
    </row>
    <row r="8" spans="1:8" ht="14.25">
      <c r="A8" s="372" t="str">
        <f>CONCATENATE("Detailed budget information is available at ",inputBudSum!B12," and will be available at this hearing.")</f>
        <v>Detailed budget information is available at Unified Government Budget Office, 701 N 7th Street, Room 510 and will be available at this hearing.</v>
      </c>
      <c r="B8" s="373"/>
      <c r="C8" s="373"/>
      <c r="D8" s="373"/>
      <c r="E8" s="373"/>
      <c r="F8" s="373"/>
      <c r="G8" s="373"/>
      <c r="H8" s="373"/>
    </row>
    <row r="9" spans="1:8" ht="15">
      <c r="A9" s="374" t="s">
        <v>141</v>
      </c>
      <c r="B9" s="373"/>
      <c r="C9" s="373"/>
      <c r="D9" s="373"/>
      <c r="E9" s="373"/>
      <c r="F9" s="373"/>
      <c r="G9" s="373"/>
      <c r="H9" s="373"/>
    </row>
    <row r="10" spans="1:8" ht="14.25">
      <c r="A10" s="372" t="str">
        <f>CONCATENATE("Proposed Budget ",I3," Expenditures and Amount of ",I3-1," Ad Valorem Tax establish the maximum limits")</f>
        <v>Proposed Budget 2012 Expenditures and Amount of 2011 Ad Valorem Tax establish the maximum limits</v>
      </c>
      <c r="B10" s="373"/>
      <c r="C10" s="373"/>
      <c r="D10" s="373"/>
      <c r="E10" s="373"/>
      <c r="F10" s="373"/>
      <c r="G10" s="373"/>
      <c r="H10" s="373"/>
    </row>
    <row r="11" spans="1:8" ht="14.25">
      <c r="A11" s="372" t="str">
        <f>CONCATENATE("of the ",I3," budget.  Estimated Tax Rate is subject to change depending on the final assessed valuation.")</f>
        <v>of the 2012 budget.  Estimated Tax Rate is subject to change depending on the final assessed valuation.</v>
      </c>
      <c r="B11" s="373"/>
      <c r="C11" s="373"/>
      <c r="D11" s="373"/>
      <c r="E11" s="373"/>
      <c r="F11" s="373"/>
      <c r="G11" s="373"/>
      <c r="H11" s="373"/>
    </row>
    <row r="12" spans="1:13" ht="15">
      <c r="A12" s="369"/>
      <c r="B12" s="375"/>
      <c r="C12" s="375"/>
      <c r="D12" s="375"/>
      <c r="E12" s="375"/>
      <c r="F12" s="375"/>
      <c r="G12" s="375"/>
      <c r="H12" s="375"/>
      <c r="J12" s="479" t="str">
        <f>CONCATENATE("Estimated Value Of One Mill For ",I3,"")</f>
        <v>Estimated Value Of One Mill For 2012</v>
      </c>
      <c r="K12" s="480"/>
      <c r="L12" s="480"/>
      <c r="M12" s="481"/>
    </row>
    <row r="13" spans="1:13" ht="14.25">
      <c r="A13" s="376"/>
      <c r="B13" s="377" t="str">
        <f>CONCATENATE("Prior Year Actual ",I3-2,"")</f>
        <v>Prior Year Actual 2010</v>
      </c>
      <c r="C13" s="378"/>
      <c r="D13" s="379" t="str">
        <f>CONCATENATE("Current Year Estimate for ",I3-1,"")</f>
        <v>Current Year Estimate for 2011</v>
      </c>
      <c r="E13" s="378"/>
      <c r="F13" s="377" t="str">
        <f>CONCATENATE("Proposed Budget Year for ",I3,"")</f>
        <v>Proposed Budget Year for 2012</v>
      </c>
      <c r="G13" s="380"/>
      <c r="H13" s="378"/>
      <c r="J13" s="381"/>
      <c r="K13" s="382"/>
      <c r="L13" s="382"/>
      <c r="M13" s="383"/>
    </row>
    <row r="14" spans="1:13" ht="14.25">
      <c r="A14" s="384"/>
      <c r="B14" s="385"/>
      <c r="C14" s="386" t="s">
        <v>107</v>
      </c>
      <c r="D14" s="385"/>
      <c r="E14" s="386" t="s">
        <v>107</v>
      </c>
      <c r="F14" s="384" t="s">
        <v>250</v>
      </c>
      <c r="G14" s="488" t="str">
        <f>CONCATENATE("Amount of ",I3-1," Ad Valorem Tax")</f>
        <v>Amount of 2011 Ad Valorem Tax</v>
      </c>
      <c r="H14" s="386" t="s">
        <v>16</v>
      </c>
      <c r="J14" s="387" t="s">
        <v>25</v>
      </c>
      <c r="K14" s="388"/>
      <c r="L14" s="388"/>
      <c r="M14" s="389">
        <f>ROUND(F23/1000,0)</f>
        <v>17020</v>
      </c>
    </row>
    <row r="15" spans="1:13" ht="15">
      <c r="A15" s="390" t="s">
        <v>108</v>
      </c>
      <c r="B15" s="391" t="s">
        <v>109</v>
      </c>
      <c r="C15" s="392" t="s">
        <v>237</v>
      </c>
      <c r="D15" s="391" t="s">
        <v>109</v>
      </c>
      <c r="E15" s="392" t="s">
        <v>237</v>
      </c>
      <c r="F15" s="391" t="s">
        <v>11</v>
      </c>
      <c r="G15" s="489"/>
      <c r="H15" s="392" t="s">
        <v>237</v>
      </c>
      <c r="J15" s="393"/>
      <c r="K15" s="393"/>
      <c r="L15" s="393"/>
      <c r="M15" s="393"/>
    </row>
    <row r="16" spans="1:13" ht="15">
      <c r="A16" s="394" t="str">
        <f>inputPrYr!B19</f>
        <v>General</v>
      </c>
      <c r="B16" s="395">
        <f>IF(gen!$C$47&lt;&gt;0,gen!$C$47,"  ")</f>
        <v>303583</v>
      </c>
      <c r="C16" s="396">
        <f>IF(inputPrYr!D38&gt;0,inputPrYr!D38,"  ")</f>
        <v>10.497</v>
      </c>
      <c r="D16" s="395">
        <f>IF(gen!$D$47&lt;&gt;0,gen!$D$47,"  ")</f>
        <v>281050</v>
      </c>
      <c r="E16" s="396">
        <f>IF(inputOth!D16&gt;0,inputOth!D16,"  ")</f>
        <v>12.378</v>
      </c>
      <c r="F16" s="395">
        <f>IF(gen!$E$47&lt;&gt;0,gen!$E$47,"  ")</f>
        <v>261650</v>
      </c>
      <c r="G16" s="395">
        <f>IF(gen!$E$54&lt;&gt;0,gen!$E$54,"  ")</f>
        <v>212756.84561085975</v>
      </c>
      <c r="H16" s="396">
        <f>IF(gen!E54&gt;0,ROUND(G16/$F$23*1000,3)," ")</f>
        <v>12.5</v>
      </c>
      <c r="J16" s="479" t="str">
        <f>CONCATENATE("Want The Mill Rate The Same As For ",I3-1,"?")</f>
        <v>Want The Mill Rate The Same As For 2011?</v>
      </c>
      <c r="K16" s="482"/>
      <c r="L16" s="482"/>
      <c r="M16" s="483"/>
    </row>
    <row r="17" spans="1:13" ht="14.25">
      <c r="A17" s="394" t="s">
        <v>283</v>
      </c>
      <c r="B17" s="395" t="str">
        <f>IF(DebtService!$C$54&lt;&gt;0,DebtService!$C$54,"  ")</f>
        <v>  </v>
      </c>
      <c r="C17" s="396" t="str">
        <f>IF(inputPrYr!D39&gt;0,inputPrYr!D39,"  ")</f>
        <v>  </v>
      </c>
      <c r="D17" s="395" t="str">
        <f>IF(DebtService!$D$54&lt;&gt;0,DebtService!$D$54,"  ")</f>
        <v>  </v>
      </c>
      <c r="E17" s="396" t="str">
        <f>IF(inputOth!D17&gt;0,inputOth!D17,"  ")</f>
        <v>  </v>
      </c>
      <c r="F17" s="395" t="str">
        <f>IF(DebtService!$E$54&lt;&gt;0,DebtService!$E$54,"  ")</f>
        <v>  </v>
      </c>
      <c r="G17" s="395" t="str">
        <f>IF(DebtService!$E$61&lt;&gt;0,DebtService!$E$61,"  ")</f>
        <v>  </v>
      </c>
      <c r="H17" s="396" t="str">
        <f>IF(DebtService!E61&gt;0,ROUND(G17/$F$23*1000,3)," ")</f>
        <v> </v>
      </c>
      <c r="J17" s="381"/>
      <c r="K17" s="382"/>
      <c r="L17" s="382"/>
      <c r="M17" s="397"/>
    </row>
    <row r="18" spans="1:13" ht="15" thickBot="1">
      <c r="A18" s="399" t="str">
        <f>IF((inputPrYr!$B$30&gt;" "),(NonBud!$A$4),"")</f>
        <v>Non-Budgeted Funds</v>
      </c>
      <c r="B18" s="400">
        <f>IF(NonBud!K29&gt;0,NonBud!K29,"")</f>
        <v>88271</v>
      </c>
      <c r="C18" s="401"/>
      <c r="D18" s="400"/>
      <c r="E18" s="401"/>
      <c r="F18" s="400"/>
      <c r="G18" s="400"/>
      <c r="H18" s="401"/>
      <c r="J18" s="402"/>
      <c r="K18" s="402"/>
      <c r="L18" s="402"/>
      <c r="M18" s="402"/>
    </row>
    <row r="19" spans="1:13" ht="15">
      <c r="A19" s="403" t="s">
        <v>191</v>
      </c>
      <c r="B19" s="404">
        <f>SUM(B16:B18)</f>
        <v>391854</v>
      </c>
      <c r="C19" s="405">
        <f>SUM(C16:C17)</f>
        <v>10.497</v>
      </c>
      <c r="D19" s="404">
        <f>SUM(D16:D17)</f>
        <v>281050</v>
      </c>
      <c r="E19" s="405">
        <f>SUM(E16:E17)</f>
        <v>12.378</v>
      </c>
      <c r="F19" s="404">
        <f>SUM(F16:F17)</f>
        <v>261650</v>
      </c>
      <c r="G19" s="404">
        <f>SUM(G16:G17)</f>
        <v>212756.84561085975</v>
      </c>
      <c r="H19" s="405">
        <f>SUM(H16:H17)</f>
        <v>12.5</v>
      </c>
      <c r="J19" s="479" t="str">
        <f>CONCATENATE("Impact On Keeping The Same Mill Rate As For ",I3-1,"")</f>
        <v>Impact On Keeping The Same Mill Rate As For 2011</v>
      </c>
      <c r="K19" s="484"/>
      <c r="L19" s="484"/>
      <c r="M19" s="485"/>
    </row>
    <row r="20" spans="1:13" ht="14.25">
      <c r="A20" s="403" t="s">
        <v>220</v>
      </c>
      <c r="B20" s="406">
        <f>transfers!C26</f>
        <v>0</v>
      </c>
      <c r="C20" s="407"/>
      <c r="D20" s="406">
        <f>transfers!D26</f>
        <v>0</v>
      </c>
      <c r="E20" s="407"/>
      <c r="F20" s="408">
        <f>transfers!E26</f>
        <v>0</v>
      </c>
      <c r="G20" s="409"/>
      <c r="H20" s="410"/>
      <c r="J20" s="381"/>
      <c r="K20" s="382"/>
      <c r="L20" s="382"/>
      <c r="M20" s="397"/>
    </row>
    <row r="21" spans="1:13" ht="15" thickBot="1">
      <c r="A21" s="403" t="s">
        <v>221</v>
      </c>
      <c r="B21" s="411">
        <f>SUM(B19-B20)</f>
        <v>391854</v>
      </c>
      <c r="C21" s="412"/>
      <c r="D21" s="411">
        <f>SUM(D19-D20)</f>
        <v>281050</v>
      </c>
      <c r="E21" s="412"/>
      <c r="F21" s="413">
        <f>SUM(F19-F20)</f>
        <v>261650</v>
      </c>
      <c r="G21" s="409"/>
      <c r="H21" s="410"/>
      <c r="J21" s="381" t="str">
        <f>CONCATENATE("",I3," Ad Valorem Tax Revenue:")</f>
        <v>2012 Ad Valorem Tax Revenue:</v>
      </c>
      <c r="K21" s="382"/>
      <c r="L21" s="382"/>
      <c r="M21" s="383">
        <f>G19</f>
        <v>212756.84561085975</v>
      </c>
    </row>
    <row r="22" spans="1:13" ht="15" thickTop="1">
      <c r="A22" s="403" t="s">
        <v>110</v>
      </c>
      <c r="B22" s="404">
        <f>inputPrYr!E44</f>
        <v>231275</v>
      </c>
      <c r="C22" s="384"/>
      <c r="D22" s="404">
        <f>inputPrYr!E24</f>
        <v>223060</v>
      </c>
      <c r="E22" s="384"/>
      <c r="F22" s="414" t="s">
        <v>226</v>
      </c>
      <c r="G22" s="369"/>
      <c r="H22" s="369"/>
      <c r="J22" s="381" t="str">
        <f>CONCATENATE("",I3-1," Ad Valorem Tax Revenue:")</f>
        <v>2011 Ad Valorem Tax Revenue:</v>
      </c>
      <c r="K22" s="382"/>
      <c r="L22" s="382"/>
      <c r="M22" s="415" t="e">
        <f>ROUND(F23*#REF!/1000,0)</f>
        <v>#REF!</v>
      </c>
    </row>
    <row r="23" spans="1:13" ht="14.25">
      <c r="A23" s="403" t="s">
        <v>222</v>
      </c>
      <c r="B23" s="406">
        <f>inputPrYr!E45</f>
        <v>17841623</v>
      </c>
      <c r="C23" s="384"/>
      <c r="D23" s="406">
        <f>inputOth!E24</f>
        <v>18020993</v>
      </c>
      <c r="E23" s="384"/>
      <c r="F23" s="406">
        <f>inputOth!E7</f>
        <v>17019876</v>
      </c>
      <c r="G23" s="369"/>
      <c r="H23" s="369"/>
      <c r="J23" s="416" t="s">
        <v>26</v>
      </c>
      <c r="K23" s="417"/>
      <c r="L23" s="417"/>
      <c r="M23" s="389" t="e">
        <f>M21-M22</f>
        <v>#REF!</v>
      </c>
    </row>
    <row r="24" spans="1:13" ht="14.25">
      <c r="A24" s="418"/>
      <c r="B24" s="409"/>
      <c r="C24" s="419"/>
      <c r="D24" s="409"/>
      <c r="E24" s="419"/>
      <c r="F24" s="409"/>
      <c r="G24" s="369"/>
      <c r="H24" s="369"/>
      <c r="J24" s="420"/>
      <c r="K24" s="420"/>
      <c r="L24" s="420"/>
      <c r="M24" s="402"/>
    </row>
    <row r="25" spans="1:13" ht="15">
      <c r="A25" s="421" t="s">
        <v>111</v>
      </c>
      <c r="B25" s="369"/>
      <c r="C25" s="369"/>
      <c r="D25" s="369"/>
      <c r="E25" s="369"/>
      <c r="F25" s="369"/>
      <c r="G25" s="369"/>
      <c r="H25" s="369"/>
      <c r="J25" s="479" t="s">
        <v>27</v>
      </c>
      <c r="K25" s="482"/>
      <c r="L25" s="482"/>
      <c r="M25" s="483"/>
    </row>
    <row r="26" spans="1:13" ht="14.25">
      <c r="A26" s="421" t="s">
        <v>219</v>
      </c>
      <c r="B26" s="371">
        <f>I3-3</f>
        <v>2009</v>
      </c>
      <c r="C26" s="369"/>
      <c r="D26" s="371">
        <f>I3-2</f>
        <v>2010</v>
      </c>
      <c r="E26" s="369"/>
      <c r="F26" s="371">
        <f>I3-1</f>
        <v>2011</v>
      </c>
      <c r="G26" s="369"/>
      <c r="H26" s="369"/>
      <c r="J26" s="381"/>
      <c r="K26" s="382"/>
      <c r="L26" s="382"/>
      <c r="M26" s="397"/>
    </row>
    <row r="27" spans="1:13" ht="14.25">
      <c r="A27" s="421" t="s">
        <v>112</v>
      </c>
      <c r="B27" s="422">
        <f>inputPrYr!D48</f>
        <v>0</v>
      </c>
      <c r="C27" s="423"/>
      <c r="D27" s="422">
        <f>inputPrYr!E48</f>
        <v>0</v>
      </c>
      <c r="E27" s="369"/>
      <c r="F27" s="422">
        <f>debt!E12</f>
        <v>0</v>
      </c>
      <c r="G27" s="369"/>
      <c r="H27" s="370"/>
      <c r="J27" s="381" t="str">
        <f>CONCATENATE("Current ",I3," Estimated Mill Rate:")</f>
        <v>Current 2012 Estimated Mill Rate:</v>
      </c>
      <c r="K27" s="382"/>
      <c r="L27" s="382"/>
      <c r="M27" s="398">
        <f>H19</f>
        <v>12.5</v>
      </c>
    </row>
    <row r="28" spans="1:13" ht="14.25">
      <c r="A28" s="369" t="s">
        <v>113</v>
      </c>
      <c r="B28" s="422">
        <f>inputPrYr!D49</f>
        <v>0</v>
      </c>
      <c r="C28" s="369"/>
      <c r="D28" s="422">
        <f>inputPrYr!E49</f>
        <v>0</v>
      </c>
      <c r="E28" s="369"/>
      <c r="F28" s="422">
        <f>debt!E16</f>
        <v>0</v>
      </c>
      <c r="G28" s="369"/>
      <c r="H28" s="370"/>
      <c r="J28" s="381" t="str">
        <f>CONCATENATE("Desired ",I3," Mill Rate:")</f>
        <v>Desired 2012 Mill Rate:</v>
      </c>
      <c r="K28" s="382"/>
      <c r="L28" s="382"/>
      <c r="M28" s="424">
        <v>0</v>
      </c>
    </row>
    <row r="29" spans="1:13" ht="14.25">
      <c r="A29" s="421" t="s">
        <v>21</v>
      </c>
      <c r="B29" s="422">
        <f>inputPrYr!D50</f>
        <v>0</v>
      </c>
      <c r="C29" s="423"/>
      <c r="D29" s="422">
        <f>inputPrYr!E50</f>
        <v>0</v>
      </c>
      <c r="E29" s="369"/>
      <c r="F29" s="422">
        <f>debt!E20</f>
        <v>0</v>
      </c>
      <c r="G29" s="369"/>
      <c r="H29" s="370"/>
      <c r="J29" s="381" t="str">
        <f>CONCATENATE("",I3," Ad Valorem Tax:")</f>
        <v>2012 Ad Valorem Tax:</v>
      </c>
      <c r="K29" s="382"/>
      <c r="L29" s="382"/>
      <c r="M29" s="415">
        <f>ROUND(F23*M28/1000,0)</f>
        <v>0</v>
      </c>
    </row>
    <row r="30" spans="1:13" ht="14.25">
      <c r="A30" s="421" t="s">
        <v>192</v>
      </c>
      <c r="B30" s="422">
        <f>inputPrYr!D51</f>
        <v>0</v>
      </c>
      <c r="C30" s="369"/>
      <c r="D30" s="422">
        <f>inputPrYr!E51</f>
        <v>0</v>
      </c>
      <c r="E30" s="369"/>
      <c r="F30" s="422">
        <f>debt!F41</f>
        <v>0</v>
      </c>
      <c r="G30" s="369"/>
      <c r="H30" s="370"/>
      <c r="J30" s="416" t="str">
        <f>CONCATENATE("",I3," Tax Levy Fund Exp. Changed By:")</f>
        <v>2012 Tax Levy Fund Exp. Changed By:</v>
      </c>
      <c r="K30" s="417"/>
      <c r="L30" s="417"/>
      <c r="M30" s="389">
        <f>IF(M28=0,0,(M29-G19))</f>
        <v>0</v>
      </c>
    </row>
    <row r="31" spans="1:8" ht="15" thickBot="1">
      <c r="A31" s="425" t="s">
        <v>114</v>
      </c>
      <c r="B31" s="426">
        <f>SUM(B27:B30)</f>
        <v>0</v>
      </c>
      <c r="C31" s="369"/>
      <c r="D31" s="426">
        <f>SUM(D27:D30)</f>
        <v>0</v>
      </c>
      <c r="E31" s="369"/>
      <c r="F31" s="426">
        <f>SUM(F27:F30)</f>
        <v>0</v>
      </c>
      <c r="G31" s="427"/>
      <c r="H31" s="370"/>
    </row>
    <row r="32" spans="1:8" ht="15" thickTop="1">
      <c r="A32" s="370"/>
      <c r="B32" s="369"/>
      <c r="C32" s="369"/>
      <c r="D32" s="369"/>
      <c r="E32" s="369"/>
      <c r="F32" s="369"/>
      <c r="G32" s="369"/>
      <c r="H32" s="370"/>
    </row>
    <row r="33" spans="1:8" ht="14.25">
      <c r="A33" s="425" t="s">
        <v>115</v>
      </c>
      <c r="B33" s="369"/>
      <c r="C33" s="369"/>
      <c r="D33" s="369"/>
      <c r="E33" s="428"/>
      <c r="F33" s="428"/>
      <c r="G33" s="369"/>
      <c r="H33" s="370"/>
    </row>
    <row r="34" spans="1:8" ht="14.25">
      <c r="A34" s="370"/>
      <c r="B34" s="369"/>
      <c r="C34" s="369"/>
      <c r="D34" s="369"/>
      <c r="E34" s="369"/>
      <c r="F34" s="369"/>
      <c r="G34" s="369"/>
      <c r="H34" s="370"/>
    </row>
    <row r="35" spans="1:8" ht="14.25">
      <c r="A35" s="429"/>
      <c r="B35" s="369"/>
      <c r="C35" s="369"/>
      <c r="D35" s="369"/>
      <c r="E35" s="369"/>
      <c r="F35" s="369"/>
      <c r="G35" s="369"/>
      <c r="H35" s="429"/>
    </row>
    <row r="36" spans="1:8" ht="14.25">
      <c r="A36" s="477"/>
      <c r="B36" s="478"/>
      <c r="C36" s="375"/>
      <c r="D36" s="369"/>
      <c r="E36" s="369"/>
      <c r="F36" s="369"/>
      <c r="G36" s="369"/>
      <c r="H36" s="370"/>
    </row>
    <row r="37" spans="1:8" ht="14.25">
      <c r="A37" s="430" t="s">
        <v>333</v>
      </c>
      <c r="B37" s="373"/>
      <c r="C37" s="369"/>
      <c r="D37" s="431"/>
      <c r="E37" s="369"/>
      <c r="F37" s="369"/>
      <c r="G37" s="369"/>
      <c r="H37" s="370"/>
    </row>
    <row r="39" spans="1:8" ht="14.25">
      <c r="A39" s="393"/>
      <c r="B39" s="393"/>
      <c r="C39" s="393"/>
      <c r="D39" s="393"/>
      <c r="E39" s="393"/>
      <c r="F39" s="393"/>
      <c r="G39" s="393"/>
      <c r="H39" s="393"/>
    </row>
    <row r="41" spans="1:8" ht="14.25">
      <c r="A41" s="393"/>
      <c r="B41" s="393"/>
      <c r="C41" s="393"/>
      <c r="D41" s="393"/>
      <c r="E41" s="393"/>
      <c r="F41" s="393"/>
      <c r="G41" s="393"/>
      <c r="H41" s="393"/>
    </row>
    <row r="42" spans="1:8" ht="14.25">
      <c r="A42" s="393"/>
      <c r="B42" s="393"/>
      <c r="C42" s="393"/>
      <c r="D42" s="393"/>
      <c r="E42" s="393"/>
      <c r="F42" s="393"/>
      <c r="G42" s="393"/>
      <c r="H42" s="393"/>
    </row>
    <row r="43" spans="1:8" ht="14.25">
      <c r="A43" s="393"/>
      <c r="B43" s="393"/>
      <c r="C43" s="393"/>
      <c r="D43" s="393"/>
      <c r="E43" s="393"/>
      <c r="F43" s="393"/>
      <c r="G43" s="393"/>
      <c r="H43" s="393"/>
    </row>
    <row r="44" spans="1:8" ht="14.25">
      <c r="A44" s="393"/>
      <c r="B44" s="393"/>
      <c r="C44" s="393"/>
      <c r="D44" s="393"/>
      <c r="E44" s="393"/>
      <c r="F44" s="393"/>
      <c r="G44" s="393"/>
      <c r="H44" s="393"/>
    </row>
    <row r="45" spans="1:8" ht="14.25">
      <c r="A45" s="393"/>
      <c r="B45" s="393"/>
      <c r="C45" s="393"/>
      <c r="D45" s="393"/>
      <c r="E45" s="393"/>
      <c r="F45" s="393"/>
      <c r="G45" s="393"/>
      <c r="H45" s="393"/>
    </row>
    <row r="46" spans="1:8" ht="14.25">
      <c r="A46" s="393"/>
      <c r="B46" s="393"/>
      <c r="C46" s="393"/>
      <c r="D46" s="393"/>
      <c r="E46" s="393"/>
      <c r="F46" s="393"/>
      <c r="G46" s="393"/>
      <c r="H46" s="393"/>
    </row>
    <row r="47" spans="1:8" ht="14.25">
      <c r="A47" s="393"/>
      <c r="B47" s="393"/>
      <c r="C47" s="393"/>
      <c r="D47" s="393"/>
      <c r="E47" s="393"/>
      <c r="F47" s="393"/>
      <c r="G47" s="393"/>
      <c r="H47" s="393"/>
    </row>
    <row r="48" spans="1:8" ht="14.25">
      <c r="A48" s="393"/>
      <c r="B48" s="393"/>
      <c r="C48" s="393"/>
      <c r="D48" s="393"/>
      <c r="E48" s="393"/>
      <c r="F48" s="393"/>
      <c r="G48" s="393"/>
      <c r="H48" s="393"/>
    </row>
    <row r="49" spans="1:8" ht="14.25">
      <c r="A49" s="393"/>
      <c r="B49" s="393"/>
      <c r="C49" s="393"/>
      <c r="D49" s="393"/>
      <c r="E49" s="393"/>
      <c r="F49" s="393"/>
      <c r="G49" s="393"/>
      <c r="H49" s="393"/>
    </row>
  </sheetData>
  <sheetProtection/>
  <mergeCells count="11">
    <mergeCell ref="A6:H6"/>
    <mergeCell ref="A36:B36"/>
    <mergeCell ref="J12:M12"/>
    <mergeCell ref="J16:M16"/>
    <mergeCell ref="J19:M19"/>
    <mergeCell ref="J25:M25"/>
    <mergeCell ref="A1:H1"/>
    <mergeCell ref="G14:G15"/>
    <mergeCell ref="A3:H3"/>
    <mergeCell ref="A4:H4"/>
    <mergeCell ref="A5:H5"/>
  </mergeCells>
  <printOptions/>
  <pageMargins left="0.5" right="0.5" top="0.5" bottom="0.5" header="0.5" footer="0.5"/>
  <pageSetup blackAndWhite="1" fitToHeight="1" fitToWidth="1" horizontalDpi="120" verticalDpi="120" orientation="portrait" scale="77" r:id="rId1"/>
  <headerFooter alignWithMargins="0">
    <oddHeader>&amp;RState of Kansas
Special District
</oddHeader>
    <oddFooter>&amp;CPage No.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ug</cp:lastModifiedBy>
  <cp:lastPrinted>2011-08-15T22:17:30Z</cp:lastPrinted>
  <dcterms:created xsi:type="dcterms:W3CDTF">1999-08-06T13:59:57Z</dcterms:created>
  <dcterms:modified xsi:type="dcterms:W3CDTF">2011-08-15T22:23:47Z</dcterms:modified>
  <cp:category/>
  <cp:version/>
  <cp:contentType/>
  <cp:contentStatus/>
</cp:coreProperties>
</file>