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<sst xmlns="http://schemas.openxmlformats.org/spreadsheetml/2006/main" count="1117" uniqueCount="752">
  <si>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</si>
  <si>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</si>
  <si>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</si>
  <si>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</si>
  <si>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</si>
  <si>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</si>
  <si>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</si>
  <si>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</si>
  <si>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</si>
  <si>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</si>
  <si>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</si>
  <si>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</si>
  <si>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</si>
  <si>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</si>
  <si>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</si>
  <si>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</si>
  <si>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</si>
  <si>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</si>
  <si>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</si>
  <si>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</si>
  <si>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</si>
  <si>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</si>
  <si>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</si>
  <si>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</si>
  <si>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</si>
  <si>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</si>
  <si>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</si>
  <si>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</si>
  <si>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</si>
  <si>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</si>
  <si>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</si>
  <si>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</si>
  <si>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</si>
  <si>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</si>
  <si>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</si>
  <si>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</si>
  <si>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</si>
  <si>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</si>
  <si>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</si>
  <si>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</si>
  <si>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</si>
  <si>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</si>
  <si>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</si>
  <si>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</si>
  <si>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</si>
  <si>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</si>
  <si>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</si>
  <si>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</si>
  <si>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</si>
  <si>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</si>
  <si>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</si>
  <si>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</si>
  <si>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</si>
  <si>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</si>
  <si>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</si>
  <si>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</si>
  <si>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</si>
  <si>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</si>
  <si>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</si>
  <si>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</si>
  <si>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</si>
  <si>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</si>
  <si>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</si>
  <si>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</si>
  <si>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</si>
  <si>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</si>
  <si>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</si>
  <si>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</si>
  <si>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</si>
  <si>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</si>
  <si>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</si>
  <si>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</si>
  <si>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</si>
  <si>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</si>
  <si>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</si>
  <si>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</si>
  <si>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</si>
  <si>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</si>
  <si>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</si>
  <si>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</si>
  <si>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</si>
  <si>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</si>
  <si>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</si>
  <si>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</si>
  <si>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</si>
  <si>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</si>
  <si>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</si>
  <si>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</si>
  <si>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</si>
  <si>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</si>
  <si>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</si>
  <si>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</si>
  <si>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</si>
  <si>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</si>
  <si>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</si>
  <si>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</si>
  <si>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</si>
  <si>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</si>
  <si>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</si>
  <si>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</si>
  <si>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</si>
  <si>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</si>
  <si>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</si>
  <si>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</si>
  <si>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</si>
  <si>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</si>
  <si>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</si>
  <si>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</si>
  <si>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</si>
  <si>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</si>
  <si>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</si>
  <si>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</si>
  <si>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</si>
  <si>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</si>
  <si>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</si>
  <si>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</si>
  <si>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</si>
  <si>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</si>
  <si>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</si>
  <si>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</si>
  <si>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</si>
  <si>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</si>
  <si>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</si>
  <si>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</si>
  <si>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</si>
  <si>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</si>
  <si>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</si>
  <si>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</si>
  <si>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</si>
  <si>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</si>
  <si>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</si>
  <si>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</si>
  <si>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</si>
  <si>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</si>
  <si>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</si>
  <si>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</si>
  <si>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</si>
  <si>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</si>
  <si>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</si>
  <si>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</si>
  <si>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</si>
  <si>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</si>
  <si>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</si>
  <si>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</si>
  <si>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</si>
  <si>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</si>
  <si>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</si>
  <si>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</si>
  <si>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</si>
  <si>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</si>
  <si>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</si>
  <si>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</si>
  <si>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</si>
  <si>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</si>
  <si>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</si>
  <si>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</si>
  <si>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</si>
  <si>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</si>
  <si>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</si>
  <si>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</si>
  <si>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</si>
  <si>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</si>
  <si>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</si>
  <si>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</si>
  <si>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</si>
  <si>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</si>
  <si>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</si>
  <si>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</si>
  <si>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</si>
  <si>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</si>
  <si>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</si>
  <si>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</si>
  <si>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</si>
  <si>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</si>
  <si>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</si>
  <si>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</si>
  <si>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</si>
  <si>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</si>
  <si>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</si>
  <si>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</si>
  <si>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</si>
  <si>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</si>
  <si>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</si>
  <si>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</si>
  <si>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</si>
  <si>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</si>
  <si>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</si>
  <si>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</si>
  <si>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</si>
  <si>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</si>
  <si>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</si>
  <si>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</si>
  <si>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</si>
  <si>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</si>
  <si>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</si>
  <si>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</si>
  <si>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</si>
  <si>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</si>
  <si>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</si>
  <si>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</si>
  <si>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</si>
  <si>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</si>
  <si>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</si>
  <si>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</si>
  <si>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</si>
  <si>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</si>
  <si>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</si>
  <si>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</si>
  <si>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</si>
  <si>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</si>
  <si>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</si>
  <si>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</si>
  <si>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</si>
  <si>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</si>
  <si>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</si>
  <si>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</si>
  <si>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</si>
  <si>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</si>
  <si>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</si>
  <si>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</si>
  <si>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</si>
  <si>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</si>
  <si>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</si>
  <si>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</si>
  <si>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</si>
  <si>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</si>
  <si>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</si>
  <si>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</si>
  <si>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</si>
  <si>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</si>
  <si>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</si>
  <si>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</si>
  <si>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</si>
  <si>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</si>
  <si>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</si>
  <si>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</si>
  <si>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</si>
  <si>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</si>
  <si>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</si>
  <si>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</si>
  <si>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</si>
  <si>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</si>
  <si>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</si>
  <si>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</si>
  <si>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</si>
  <si>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</si>
  <si>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</si>
  <si>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</si>
  <si>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</si>
  <si>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</si>
  <si>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</si>
  <si>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</si>
  <si>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</si>
  <si>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</si>
  <si>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</si>
  <si>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</si>
  <si>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</si>
  <si>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</si>
  <si>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</si>
  <si>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</si>
  <si>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</si>
  <si>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</si>
  <si>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</si>
  <si>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</si>
  <si>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</si>
  <si>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</si>
  <si>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</si>
  <si>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</si>
  <si>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</si>
  <si>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</si>
  <si>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</si>
  <si>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</si>
  <si>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</si>
  <si>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</si>
  <si>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</si>
  <si>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</si>
  <si>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</si>
  <si>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</si>
  <si>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</si>
  <si>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</si>
  <si>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</si>
  <si>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</si>
  <si>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</si>
  <si>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</si>
  <si>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</si>
  <si>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</si>
  <si>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</si>
  <si>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</si>
  <si>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</si>
  <si>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</si>
  <si>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</si>
  <si>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</si>
  <si>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</si>
  <si>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</si>
  <si>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</si>
  <si>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</si>
  <si>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</si>
  <si>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</si>
  <si>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</si>
  <si>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</si>
  <si>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</si>
  <si>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</si>
  <si>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</si>
  <si>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</si>
  <si>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</si>
  <si>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</si>
  <si>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</si>
  <si>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</si>
  <si>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</si>
  <si>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</si>
  <si>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</si>
  <si>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</si>
  <si>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</si>
  <si>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</si>
  <si>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</si>
  <si>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</si>
  <si>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</si>
  <si>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</si>
  <si>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</si>
  <si>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</si>
  <si>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</si>
  <si>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</si>
  <si>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</si>
  <si>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</si>
  <si>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</si>
  <si>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</si>
  <si>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</si>
  <si>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</si>
  <si>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</si>
  <si>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</si>
  <si>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</si>
  <si>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</si>
  <si>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</si>
  <si>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</si>
  <si>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</si>
  <si>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</si>
  <si>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</si>
  <si>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</si>
  <si>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</si>
  <si>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</si>
  <si>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</si>
  <si>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</si>
  <si>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</si>
  <si>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</si>
  <si>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</si>
  <si>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</si>
  <si>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</si>
  <si>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</si>
  <si>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</si>
  <si>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</si>
  <si>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</si>
  <si>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</si>
  <si>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</si>
  <si>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</si>
  <si>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</si>
  <si>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</si>
  <si>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</si>
  <si>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</si>
  <si>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</si>
  <si>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</si>
  <si>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</si>
  <si>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</si>
  <si>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</si>
  <si>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</si>
  <si>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</si>
  <si>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</si>
  <si>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</si>
  <si>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</si>
  <si>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</si>
  <si>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</si>
  <si>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</si>
  <si>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</si>
  <si>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</si>
  <si>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</si>
  <si>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</si>
  <si>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</si>
  <si>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</si>
  <si>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</si>
  <si>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</si>
  <si>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</si>
  <si>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</si>
  <si>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</si>
  <si>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</si>
  <si>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</si>
  <si>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</si>
  <si>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</si>
  <si>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</si>
  <si>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</si>
  <si>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</si>
  <si>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</si>
  <si>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</si>
  <si>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</si>
  <si>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</si>
  <si>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</si>
  <si>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</si>
  <si>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</si>
  <si>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</si>
  <si>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</si>
  <si>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</si>
  <si>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</si>
  <si>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</si>
  <si>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</si>
  <si>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</si>
  <si>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</si>
  <si>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</si>
  <si>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</si>
  <si>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</si>
  <si>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</si>
  <si>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</si>
  <si>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</si>
  <si>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</si>
  <si>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</si>
  <si>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</si>
  <si>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</si>
  <si>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</si>
  <si>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</si>
  <si>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</si>
  <si>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</si>
  <si>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</si>
  <si>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</si>
  <si>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</si>
  <si>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</si>
  <si>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</si>
  <si>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</si>
  <si>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</si>
  <si>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</si>
  <si>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</si>
  <si>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</si>
  <si>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</si>
  <si>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</si>
  <si>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</si>
  <si>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</si>
  <si>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</si>
  <si>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</si>
  <si>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</si>
  <si>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</si>
  <si>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</si>
  <si>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</si>
  <si>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</si>
  <si>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</si>
  <si>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</si>
  <si>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</si>
  <si>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</si>
  <si>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</si>
  <si>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</si>
  <si>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</si>
  <si>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</si>
  <si>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</si>
  <si>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</si>
  <si>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</si>
  <si>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</si>
  <si>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</si>
  <si>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</si>
  <si>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</si>
  <si>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</si>
  <si>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</si>
  <si>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</si>
  <si>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</si>
  <si>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</si>
  <si>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</si>
  <si>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</si>
  <si>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</si>
  <si>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</si>
  <si>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</si>
  <si>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</si>
  <si>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</si>
  <si>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</si>
  <si>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</si>
  <si>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</si>
  <si>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</si>
  <si>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</si>
  <si>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</si>
  <si>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</si>
  <si>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</si>
  <si>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</si>
  <si>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</si>
  <si>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</si>
  <si>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</si>
  <si>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</si>
  <si>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</si>
  <si>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</si>
  <si>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</si>
  <si>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</si>
  <si>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</si>
  <si>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</si>
  <si>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</si>
  <si>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</si>
  <si>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</si>
  <si>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</si>
  <si>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</si>
  <si>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</si>
  <si>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</si>
  <si>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</si>
  <si>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</si>
  <si>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</si>
  <si>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</si>
  <si>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</si>
  <si>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</si>
  <si>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</si>
  <si>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</si>
  <si>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</si>
  <si>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</si>
  <si>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</si>
  <si>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</si>
  <si>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</si>
  <si>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</si>
  <si>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</si>
  <si>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</si>
  <si>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</si>
  <si>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</si>
  <si>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</si>
  <si>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</si>
  <si>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</si>
  <si>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</si>
  <si>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</si>
  <si>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</si>
  <si>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</si>
  <si>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</si>
  <si>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</si>
  <si>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</si>
  <si>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</si>
  <si>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</si>
  <si>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</si>
  <si>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</si>
  <si>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</si>
  <si>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</si>
  <si>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</si>
  <si>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</si>
  <si>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</si>
  <si>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</si>
  <si>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</si>
  <si>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</si>
  <si>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</si>
  <si>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</si>
  <si>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</si>
  <si>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</si>
  <si>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</si>
  <si>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</si>
  <si>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</si>
  <si>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</si>
  <si>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</si>
  <si>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</si>
  <si>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</si>
  <si>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</si>
  <si>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</si>
  <si>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</si>
  <si>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</si>
  <si>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</si>
  <si>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</si>
  <si>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</si>
  <si>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</si>
  <si>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</si>
  <si>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</si>
  <si>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</si>
  <si>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</si>
  <si>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</si>
  <si>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</si>
  <si>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</si>
  <si>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</si>
  <si>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</si>
  <si>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</si>
  <si>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</si>
  <si>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</si>
  <si>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</si>
  <si>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</si>
  <si>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</si>
  <si>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</si>
  <si>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</si>
  <si>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</si>
  <si>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</si>
  <si>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</si>
  <si>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</si>
  <si>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</si>
  <si>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</si>
  <si>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</si>
  <si>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</si>
  <si>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</si>
  <si>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</si>
  <si>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</si>
  <si>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</si>
  <si>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</si>
  <si>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</si>
  <si>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</si>
  <si>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</si>
  <si>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</si>
  <si>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</si>
  <si>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</si>
  <si>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</si>
  <si>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</si>
  <si>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</si>
  <si>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</si>
  <si>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</si>
  <si>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</si>
  <si>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</si>
  <si>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</si>
  <si>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</si>
  <si>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</si>
  <si>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</si>
  <si>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</si>
  <si>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</si>
  <si>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</si>
  <si>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</si>
  <si>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</si>
  <si>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</si>
  <si>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</si>
  <si>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</si>
  <si>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</si>
  <si>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</si>
  <si>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</si>
  <si>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</si>
  <si>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</si>
  <si>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</si>
  <si>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</si>
  <si>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</si>
  <si>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</si>
  <si>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</si>
  <si>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</si>
  <si>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</si>
  <si>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</si>
  <si>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</si>
  <si>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</si>
  <si>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</si>
  <si>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</si>
  <si>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</si>
  <si>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</si>
  <si>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</si>
  <si>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</si>
  <si>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</si>
  <si>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</si>
  <si>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</si>
  <si>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</si>
  <si>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</si>
  <si>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</si>
  <si>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</si>
  <si>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</si>
  <si>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</si>
  <si>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</si>
  <si>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</si>
  <si>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</si>
  <si>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</si>
  <si>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</si>
  <si>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</si>
  <si>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</si>
  <si>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</si>
  <si>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</si>
  <si>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</si>
  <si>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</si>
  <si>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</si>
  <si>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</si>
  <si>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</si>
  <si>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</si>
  <si>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</si>
  <si>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</si>
  <si>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</si>
  <si>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</si>
  <si>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</si>
  <si>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</si>
  <si>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</si>
  <si>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</si>
  <si>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</si>
  <si>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</si>
  <si>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</si>
  <si>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</si>
  <si>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</si>
  <si>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</si>
  <si>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</si>
  <si>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</si>
  <si>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</si>
  <si>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</si>
  <si>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</si>
  <si>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</si>
  <si>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</si>
  <si>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</si>
  <si>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</si>
  <si>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</si>
  <si>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</si>
  <si>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</si>
  <si>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</si>
  <si>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</si>
  <si>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</si>
  <si>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</si>
  <si>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</si>
  <si>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</si>
  <si>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</si>
  <si>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</si>
  <si>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</si>
  <si>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</si>
  <si>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</si>
  <si>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</si>
  <si>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</si>
  <si>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</si>
  <si>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</si>
  <si>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</si>
  <si>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</si>
  <si>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</si>
  <si>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</si>
  <si>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</si>
  <si>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</si>
  <si>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</si>
  <si>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</si>
  <si>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</si>
  <si>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</si>
  <si>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</si>
  <si>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</si>
  <si>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</si>
  <si>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</si>
  <si>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</si>
  <si>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</si>
  <si>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</si>
  <si>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</si>
  <si>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</si>
  <si>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</si>
  <si>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</si>
  <si>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</si>
  <si>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</si>
  <si>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</si>
  <si>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</si>
  <si>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</si>
  <si>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</si>
  <si>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</si>
  <si>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</si>
  <si>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</si>
  <si>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</si>
  <si>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</si>
  <si>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</si>
  <si>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</si>
  <si>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</si>
  <si>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</si>
  <si>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</si>
  <si>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</si>
  <si>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</si>
  <si>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</si>
  <si>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</si>
  <si>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</si>
  <si>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</si>
  <si>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</si>
  <si>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</si>
  <si>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</si>
  <si>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</si>
  <si>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</si>
  <si>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</si>
  <si>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</si>
  <si>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</si>
  <si>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</si>
  <si>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Alden Valley Cemetery</t>
  </si>
  <si>
    <t>Rice County</t>
  </si>
  <si>
    <t>Lot Sales</t>
  </si>
  <si>
    <t>Operations</t>
  </si>
  <si>
    <t>Utilities</t>
  </si>
  <si>
    <t>Mowing</t>
  </si>
  <si>
    <t>Commodities</t>
  </si>
  <si>
    <t>None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</si>
</sst>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 sqref="A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Alden Valley Cemetery</v>
      </c>
      <c r="B1" s="18"/>
      <c r="C1" s="18"/>
      <c r="D1" s="18"/>
      <c r="E1" s="18"/>
      <c r="F1" s="18"/>
      <c r="G1" s="18"/>
      <c r="H1" s="18"/>
      <c r="I1" s="18"/>
      <c r="J1" s="18"/>
      <c r="K1" s="192">
        <f>inputPrYr!D6</f>
        <v>2012</v>
      </c>
    </row>
    <row r="2" spans="1:11" ht="15.75">
      <c r="A2" s="18" t="str">
        <f>inputPrYr!$D$4</f>
        <v>Rice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t="s">
        <v>751</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t="s">
        <v>751</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t="s">
        <v>751</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t="s">
        <v>751</v>
      </c>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B1" sqref="B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Alden Valley Cemetery</v>
      </c>
      <c r="C1" s="241"/>
      <c r="D1" s="18"/>
      <c r="E1" s="192"/>
    </row>
    <row r="2" spans="2:5" ht="15.75">
      <c r="B2" s="18" t="str">
        <f>inputPrYr!D4</f>
        <v>Rice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19153</v>
      </c>
      <c r="D7" s="404">
        <f>C51</f>
        <v>12505</v>
      </c>
      <c r="E7" s="47">
        <f>D51</f>
        <v>6</v>
      </c>
    </row>
    <row r="8" spans="2:5" ht="15.75">
      <c r="B8" s="246" t="s">
        <v>130</v>
      </c>
      <c r="C8" s="247"/>
      <c r="D8" s="247"/>
      <c r="E8" s="128"/>
    </row>
    <row r="9" spans="2:5" ht="15.75">
      <c r="B9" s="122" t="s">
        <v>33</v>
      </c>
      <c r="C9" s="397">
        <v>6078</v>
      </c>
      <c r="D9" s="404">
        <f>inputPrYr!E19</f>
        <v>5261</v>
      </c>
      <c r="E9" s="135" t="s">
        <v>28</v>
      </c>
    </row>
    <row r="10" spans="2:5" ht="15.75">
      <c r="B10" s="122" t="s">
        <v>34</v>
      </c>
      <c r="C10" s="397">
        <v>48</v>
      </c>
      <c r="D10" s="397"/>
      <c r="E10" s="209"/>
    </row>
    <row r="11" spans="2:5" ht="15.75">
      <c r="B11" s="122" t="s">
        <v>35</v>
      </c>
      <c r="C11" s="397">
        <v>469</v>
      </c>
      <c r="D11" s="397">
        <v>494</v>
      </c>
      <c r="E11" s="47">
        <f>mvalloc!D11</f>
        <v>383</v>
      </c>
    </row>
    <row r="12" spans="2:5" ht="15.75">
      <c r="B12" s="122" t="s">
        <v>36</v>
      </c>
      <c r="C12" s="397">
        <v>16</v>
      </c>
      <c r="D12" s="397">
        <v>18</v>
      </c>
      <c r="E12" s="47">
        <f>mvalloc!E11</f>
        <v>13</v>
      </c>
    </row>
    <row r="13" spans="2:5" ht="15.75">
      <c r="B13" s="247" t="s">
        <v>112</v>
      </c>
      <c r="C13" s="397">
        <v>28</v>
      </c>
      <c r="D13" s="397">
        <v>28</v>
      </c>
      <c r="E13" s="47">
        <f>mvalloc!F11</f>
        <v>2</v>
      </c>
    </row>
    <row r="14" spans="2:5" ht="15.75">
      <c r="B14" s="247" t="s">
        <v>163</v>
      </c>
      <c r="C14" s="397"/>
      <c r="D14" s="397">
        <v>0</v>
      </c>
      <c r="E14" s="47">
        <f>inputOth!E30</f>
        <v>0</v>
      </c>
    </row>
    <row r="15" spans="2:5" ht="15.75">
      <c r="B15" s="247" t="s">
        <v>164</v>
      </c>
      <c r="C15" s="397"/>
      <c r="D15" s="397">
        <v>0</v>
      </c>
      <c r="E15" s="47">
        <f>mvalloc!G11</f>
        <v>0</v>
      </c>
    </row>
    <row r="16" spans="2:5" ht="15.75">
      <c r="B16" s="248" t="s">
        <v>37</v>
      </c>
      <c r="C16" s="397"/>
      <c r="D16" s="397"/>
      <c r="E16" s="209"/>
    </row>
    <row r="17" spans="2:5" ht="15.75">
      <c r="B17" s="248" t="s">
        <v>746</v>
      </c>
      <c r="C17" s="397">
        <v>300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137</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7076</v>
      </c>
      <c r="D28" s="399">
        <f>SUM(D9:D26)</f>
        <v>5801</v>
      </c>
      <c r="E28" s="254">
        <f>SUM(E9:E26)</f>
        <v>398</v>
      </c>
    </row>
    <row r="29" spans="2:5" ht="15.75">
      <c r="B29" s="253" t="s">
        <v>40</v>
      </c>
      <c r="C29" s="399">
        <f>C7+C28</f>
        <v>26229</v>
      </c>
      <c r="D29" s="399">
        <f>D7+D28</f>
        <v>18306</v>
      </c>
      <c r="E29" s="254">
        <f>E7+E28</f>
        <v>404</v>
      </c>
    </row>
    <row r="30" spans="2:5" ht="15.75">
      <c r="B30" s="122" t="s">
        <v>41</v>
      </c>
      <c r="C30" s="126"/>
      <c r="D30" s="126"/>
      <c r="E30" s="38"/>
    </row>
    <row r="31" spans="2:5" ht="15.75">
      <c r="B31" s="248" t="s">
        <v>747</v>
      </c>
      <c r="C31" s="397">
        <v>2403</v>
      </c>
      <c r="D31" s="397">
        <v>10000</v>
      </c>
      <c r="E31" s="209">
        <v>2500</v>
      </c>
    </row>
    <row r="32" spans="2:5" ht="15.75">
      <c r="B32" s="248" t="s">
        <v>748</v>
      </c>
      <c r="C32" s="397">
        <v>228</v>
      </c>
      <c r="D32" s="397">
        <v>3000</v>
      </c>
      <c r="E32" s="209">
        <v>600</v>
      </c>
    </row>
    <row r="33" spans="2:5" ht="15.75">
      <c r="B33" s="248" t="s">
        <v>749</v>
      </c>
      <c r="C33" s="397">
        <v>8661</v>
      </c>
      <c r="D33" s="397">
        <v>2500</v>
      </c>
      <c r="E33" s="209">
        <v>2500</v>
      </c>
    </row>
    <row r="34" spans="2:5" ht="15.75">
      <c r="B34" s="248" t="s">
        <v>750</v>
      </c>
      <c r="C34" s="397">
        <v>630</v>
      </c>
      <c r="D34" s="397">
        <v>800</v>
      </c>
      <c r="E34" s="209">
        <v>600</v>
      </c>
    </row>
    <row r="35" spans="2:5" ht="15.75">
      <c r="B35" s="248" t="s">
        <v>688</v>
      </c>
      <c r="C35" s="397">
        <v>1802</v>
      </c>
      <c r="D35" s="397">
        <v>2000</v>
      </c>
      <c r="E35" s="209">
        <v>600</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6</v>
      </c>
      <c r="H45" s="553" t="str">
        <f>CONCATENATE("",F3-1," Ending Cash Balance (est.)")</f>
        <v>2011 Ending Cash Balance (est.)</v>
      </c>
      <c r="I45" s="543"/>
      <c r="J45" s="544"/>
    </row>
    <row r="46" spans="2:10" ht="15.75">
      <c r="B46" s="248"/>
      <c r="C46" s="397"/>
      <c r="D46" s="397"/>
      <c r="E46" s="209"/>
      <c r="G46" s="554">
        <f>E28</f>
        <v>398</v>
      </c>
      <c r="H46" s="543" t="str">
        <f>CONCATENATE("",F3," Non-AV Receipts (est.)")</f>
        <v>2012 Non-AV Receipts (est.)</v>
      </c>
      <c r="I46" s="543"/>
      <c r="J46" s="544"/>
    </row>
    <row r="47" spans="2:10" ht="15.75">
      <c r="B47" s="126" t="s">
        <v>229</v>
      </c>
      <c r="C47" s="397"/>
      <c r="D47" s="397"/>
      <c r="E47" s="214">
        <f>Nhood!E7</f>
      </c>
      <c r="G47" s="542">
        <f>E57</f>
        <v>6396</v>
      </c>
      <c r="H47" s="543" t="str">
        <f>CONCATENATE("",F3," Ad Valorem Tax (est.)")</f>
        <v>2012 Ad Valorem Tax (est.)</v>
      </c>
      <c r="I47" s="543"/>
      <c r="J47" s="544"/>
    </row>
    <row r="48" spans="2:10" ht="15.75">
      <c r="B48" s="126" t="s">
        <v>228</v>
      </c>
      <c r="C48" s="397"/>
      <c r="D48" s="397"/>
      <c r="E48" s="37"/>
      <c r="G48" s="554">
        <f>SUM(G45:G47)</f>
        <v>6800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13724</v>
      </c>
      <c r="D50" s="399">
        <f>SUM(D31:D48)</f>
        <v>18300</v>
      </c>
      <c r="E50" s="254">
        <f>SUM(E31:E48)</f>
        <v>6800</v>
      </c>
      <c r="G50" s="542">
        <f>C50*0.05+C50</f>
        <v>14410.2</v>
      </c>
      <c r="H50" s="543" t="str">
        <f>CONCATENATE("Less ",F3-2," Expenditures + 5%")</f>
        <v>Less 2010 Expenditures + 5%</v>
      </c>
      <c r="I50" s="543"/>
      <c r="J50" s="544"/>
    </row>
    <row r="51" spans="2:10" ht="15.75">
      <c r="B51" s="122" t="s">
        <v>129</v>
      </c>
      <c r="C51" s="400">
        <f>C29-C50</f>
        <v>12505</v>
      </c>
      <c r="D51" s="400">
        <f>D29-D50</f>
        <v>6</v>
      </c>
      <c r="E51" s="135" t="s">
        <v>28</v>
      </c>
      <c r="G51" s="540">
        <f>G48-G50</f>
        <v>-7610.200000000001</v>
      </c>
      <c r="H51" s="539" t="str">
        <f>CONCATENATE("Projected ",F3+1," Carryover (est.)")</f>
        <v>Projected 2013 Carryover (est.)</v>
      </c>
      <c r="I51" s="525"/>
      <c r="J51" s="538"/>
    </row>
    <row r="52" spans="2:10" ht="15.75">
      <c r="B52" s="145" t="str">
        <f>CONCATENATE("",F3-2,"/",F3-1," Budget Authority Amount:")</f>
        <v>2010/2011 Budget Authority Amount:</v>
      </c>
      <c r="C52" s="123">
        <f>inputOth!B42</f>
        <v>21900</v>
      </c>
      <c r="D52" s="425">
        <f>inputPrYr!D19</f>
        <v>26400</v>
      </c>
      <c r="E52" s="135" t="s">
        <v>28</v>
      </c>
      <c r="F52" s="255"/>
      <c r="G52" s="16"/>
      <c r="H52" s="16"/>
      <c r="I52" s="16"/>
      <c r="J52" s="16"/>
    </row>
    <row r="53" spans="2:10" ht="15.75">
      <c r="B53" s="145"/>
      <c r="C53" s="637" t="s">
        <v>684</v>
      </c>
      <c r="D53" s="638"/>
      <c r="E53" s="37"/>
      <c r="F53" s="255">
        <f>IF(E50/0.95-E50&lt;E53,"Exceeds 5%","")</f>
      </c>
      <c r="G53" s="537">
        <f>IF(inputOth!E7=0,"",ROUND(gen!E57/inputOth!E7*1000,3))</f>
        <v>0.996</v>
      </c>
      <c r="H53" s="536" t="str">
        <f>CONCATENATE("Projected ",F3-1," Mill Rate (est.)")</f>
        <v>Projected 2011 Mill Rate (est.)</v>
      </c>
      <c r="I53" s="535"/>
      <c r="J53" s="534"/>
    </row>
    <row r="54" spans="2:10" ht="15.75">
      <c r="B54" s="423" t="str">
        <f>CONCATENATE(C70,"     ",D70)</f>
        <v>     </v>
      </c>
      <c r="C54" s="639" t="s">
        <v>685</v>
      </c>
      <c r="D54" s="640"/>
      <c r="E54" s="47">
        <f>E50+E53</f>
        <v>6800</v>
      </c>
      <c r="G54" s="533"/>
      <c r="H54" s="533"/>
      <c r="I54" s="533"/>
      <c r="J54" s="533"/>
    </row>
    <row r="55" spans="2:10" ht="15.75">
      <c r="B55" s="423" t="str">
        <f>CONCATENATE(C71,"     ",D71)</f>
        <v>     </v>
      </c>
      <c r="C55" s="559"/>
      <c r="D55" s="558" t="s">
        <v>686</v>
      </c>
      <c r="E55" s="44">
        <f>IF(E54-E29&gt;0,E54-E29,0)</f>
        <v>6396</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6396</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Alden Valley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Alden Valley Cemetery</v>
      </c>
      <c r="C1" s="18"/>
      <c r="D1" s="18"/>
      <c r="E1" s="192"/>
    </row>
    <row r="2" spans="2:5" ht="15.75">
      <c r="B2" s="18" t="str">
        <f>inputPrYr!D4</f>
        <v>Rice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Alden Valley Cemetery</v>
      </c>
      <c r="C1" s="241"/>
      <c r="D1" s="18"/>
      <c r="E1" s="192"/>
    </row>
    <row r="2" spans="2:5" ht="15.75">
      <c r="B2" s="18" t="str">
        <f>inputPrYr!D4</f>
        <v>Rice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Alden Valley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Alden Valley Cemetery</v>
      </c>
      <c r="B4" s="598"/>
      <c r="C4" s="598"/>
      <c r="D4" s="598"/>
      <c r="E4" s="598"/>
      <c r="F4" s="598"/>
      <c r="G4" s="598"/>
      <c r="H4" s="598"/>
    </row>
    <row r="5" spans="1:8" ht="15.75">
      <c r="A5" s="653" t="str">
        <f>inputPrYr!D4</f>
        <v>Rice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6421</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13724</v>
      </c>
      <c r="C16" s="125">
        <f>IF(inputPrYr!D38&gt;0,inputPrYr!D38,"  ")</f>
        <v>0.953</v>
      </c>
      <c r="D16" s="128">
        <f>IF(gen!$D$50&lt;&gt;0,gen!$D$50,"  ")</f>
        <v>18300</v>
      </c>
      <c r="E16" s="125">
        <f>IF(inputOth!D16&gt;0,inputOth!D16,"  ")</f>
        <v>0.971</v>
      </c>
      <c r="F16" s="128">
        <f>IF(gen!$E$50&lt;&gt;0,gen!$E$50,"  ")</f>
        <v>6800</v>
      </c>
      <c r="G16" s="128">
        <f>IF(gen!$E$57&lt;&gt;0,gen!$E$57,"  ")</f>
        <v>6396</v>
      </c>
      <c r="H16" s="125">
        <f>IF(gen!E57&gt;0,ROUND(G16/$F$27*1000,3)," ")</f>
        <v>0.996</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0.971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-161</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13724</v>
      </c>
      <c r="C23" s="549">
        <f aca="true" t="shared" si="0" ref="C23:H23">SUM(C16:C21)</f>
        <v>0.953</v>
      </c>
      <c r="D23" s="321">
        <f t="shared" si="0"/>
        <v>18300</v>
      </c>
      <c r="E23" s="549">
        <f t="shared" si="0"/>
        <v>0.971</v>
      </c>
      <c r="F23" s="321">
        <f t="shared" si="0"/>
        <v>6800</v>
      </c>
      <c r="G23" s="321">
        <f t="shared" si="0"/>
        <v>6396</v>
      </c>
      <c r="H23" s="549">
        <f t="shared" si="0"/>
        <v>0.996</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13724</v>
      </c>
      <c r="C25" s="320"/>
      <c r="D25" s="136">
        <f>SUM(D23-D24)</f>
        <v>18300</v>
      </c>
      <c r="E25" s="320"/>
      <c r="F25" s="546">
        <f>SUM(F23-F24)</f>
        <v>6800</v>
      </c>
      <c r="G25" s="260"/>
      <c r="H25" s="319"/>
      <c r="J25" s="573" t="str">
        <f>CONCATENATE("",I3," Ad Valorem Tax Revenue:")</f>
        <v>2012 Ad Valorem Tax Revenue:</v>
      </c>
      <c r="K25" s="568"/>
      <c r="L25" s="568"/>
      <c r="M25" s="569">
        <f>G23</f>
        <v>6396</v>
      </c>
    </row>
    <row r="26" spans="1:13" ht="16.5" thickTop="1">
      <c r="A26" s="35" t="s">
        <v>54</v>
      </c>
      <c r="B26" s="321">
        <f>inputPrYr!E44</f>
        <v>7025</v>
      </c>
      <c r="C26" s="230"/>
      <c r="D26" s="321">
        <f>inputPrYr!E24</f>
        <v>5261</v>
      </c>
      <c r="E26" s="230"/>
      <c r="F26" s="322" t="s">
        <v>179</v>
      </c>
      <c r="G26" s="18"/>
      <c r="H26" s="18"/>
      <c r="J26" s="573" t="str">
        <f>CONCATENATE("",I3-1," Ad Valorem Tax Revenue:")</f>
        <v>2011 Ad Valorem Tax Revenue:</v>
      </c>
      <c r="K26" s="568"/>
      <c r="L26" s="568"/>
      <c r="M26" s="582">
        <f>ROUND(F27*M18/1000,0)</f>
        <v>6235</v>
      </c>
    </row>
    <row r="27" spans="1:13" ht="15.75">
      <c r="A27" s="35" t="s">
        <v>175</v>
      </c>
      <c r="B27" s="214">
        <f>inputPrYr!E45</f>
        <v>7371979</v>
      </c>
      <c r="C27" s="230"/>
      <c r="D27" s="214">
        <f>inputOth!E24</f>
        <v>5420253</v>
      </c>
      <c r="E27" s="230"/>
      <c r="F27" s="214">
        <f>inputOth!E7</f>
        <v>6421361</v>
      </c>
      <c r="G27" s="18"/>
      <c r="H27" s="18"/>
      <c r="J27" s="583" t="s">
        <v>693</v>
      </c>
      <c r="K27" s="584"/>
      <c r="L27" s="584"/>
      <c r="M27" s="572">
        <f>M25-M26</f>
        <v>161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0.996</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Alden Valley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6421361</v>
      </c>
      <c r="E16" s="18"/>
      <c r="F16" s="54"/>
    </row>
    <row r="17" spans="1:6" ht="15.75">
      <c r="A17" s="18"/>
      <c r="B17" s="18"/>
      <c r="C17" s="18"/>
      <c r="D17" s="18"/>
      <c r="E17" s="18"/>
      <c r="F17" s="54"/>
    </row>
    <row r="18" spans="1:6" ht="15.75">
      <c r="A18" s="18"/>
      <c r="B18" s="665" t="s">
        <v>329</v>
      </c>
      <c r="C18" s="665"/>
      <c r="D18" s="335">
        <f>IF(D16&gt;0,(D16*0.001),"")</f>
        <v>6421.361</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Alden Valley Cemetery District with respect to financing the 2012 annual budget for Alden Valley Cemetery , Rice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Alden Valley Cemetery district budget exceed the amount levied to finance the</v>
      </c>
      <c r="C9"/>
      <c r="D9"/>
      <c r="E9"/>
      <c r="F9"/>
      <c r="G9"/>
      <c r="H9"/>
    </row>
    <row r="10" spans="2:8" ht="15.75">
      <c r="B10" s="12" t="str">
        <f>CONCATENATE("",inputPrYr!D6-1," ",inputPrYr!D3," except with regard to revenue produced and attributable to the")</f>
        <v>2011 Alden Valley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Alden Valley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Alden Valley Cemetery that is our desire to notify the public of the possibility of increased property taxes to finance the 2012 Alden Valley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Alden Valley Cemetery District Board, Rice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Alden Valley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26400</v>
      </c>
      <c r="E19" s="37">
        <v>5261</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5261</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26400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0.953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0.953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7025</v>
      </c>
    </row>
    <row r="45" spans="1:5" ht="15.75">
      <c r="A45" s="51" t="str">
        <f>CONCATENATE("Assessed Valuation (",D6-2," budget column)")</f>
        <v>Assessed Valuation (2010 budget column)</v>
      </c>
      <c r="B45" s="29"/>
      <c r="C45" s="18"/>
      <c r="D45" s="18"/>
      <c r="E45" s="53">
        <v>7371979</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v>0</v>
      </c>
      <c r="E48" s="58">
        <v>0</v>
      </c>
    </row>
    <row r="49" spans="1:5" ht="15.75">
      <c r="A49" s="59" t="s">
        <v>156</v>
      </c>
      <c r="B49" s="59"/>
      <c r="C49" s="60"/>
      <c r="D49" s="58">
        <v>0</v>
      </c>
      <c r="E49" s="58">
        <v>0</v>
      </c>
    </row>
    <row r="50" spans="1:5" ht="15.75">
      <c r="A50" s="59" t="s">
        <v>689</v>
      </c>
      <c r="B50" s="59"/>
      <c r="C50" s="60"/>
      <c r="D50" s="58">
        <v>0</v>
      </c>
      <c r="E50" s="58">
        <v>0</v>
      </c>
    </row>
    <row r="51" spans="1:5" ht="15.75">
      <c r="A51" s="59" t="s">
        <v>157</v>
      </c>
      <c r="B51" s="59"/>
      <c r="C51" s="60"/>
      <c r="D51" s="58">
        <v>0</v>
      </c>
      <c r="E51" s="58">
        <v>0</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A1" sqref="A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Alden Valley Cemetery</v>
      </c>
      <c r="B1" s="62"/>
      <c r="C1" s="62"/>
      <c r="D1" s="62"/>
      <c r="E1" s="62">
        <f>inputPrYr!D6</f>
        <v>2012</v>
      </c>
    </row>
    <row r="2" spans="1:5" ht="15.75">
      <c r="A2" s="62" t="str">
        <f>inputPrYr!D4</f>
        <v>Rice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6421361</v>
      </c>
    </row>
    <row r="8" spans="1:5" ht="15.75">
      <c r="A8" s="68" t="str">
        <f>CONCATENATE("New Improvements for ",inputPrYr!D6-1,"")</f>
        <v>New Improvements for 2011</v>
      </c>
      <c r="B8" s="69"/>
      <c r="C8" s="69"/>
      <c r="D8" s="69"/>
      <c r="E8" s="70">
        <v>11526</v>
      </c>
    </row>
    <row r="9" spans="1:5" ht="15.75">
      <c r="A9" s="68" t="str">
        <f>CONCATENATE("Personal Property excluding oil, gas, and mobile homes- ",inputPrYr!D6-1,"")</f>
        <v>Personal Property excluding oil, gas, and mobile homes- 2011</v>
      </c>
      <c r="B9" s="69"/>
      <c r="C9" s="69"/>
      <c r="D9" s="69"/>
      <c r="E9" s="70">
        <v>77565</v>
      </c>
    </row>
    <row r="10" spans="1:5" ht="15.75">
      <c r="A10" s="68" t="str">
        <f>CONCATENATE("Property that has changed in use for ",inputPrYr!D6-1,"")</f>
        <v>Property that has changed in use for 2011</v>
      </c>
      <c r="B10" s="69"/>
      <c r="C10" s="69"/>
      <c r="D10" s="69"/>
      <c r="E10" s="70">
        <v>11319</v>
      </c>
    </row>
    <row r="11" spans="1:5" ht="15.75">
      <c r="A11" s="67" t="str">
        <f>CONCATENATE("Personal Property excluding oil, gas, and mobile homes- ",inputPrYr!D6-2,"")</f>
        <v>Personal Property excluding oil, gas, and mobile homes- 2010</v>
      </c>
      <c r="B11" s="42"/>
      <c r="C11" s="42"/>
      <c r="D11" s="42"/>
      <c r="E11" s="70">
        <v>5341089</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0.971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0.971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5420253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383</v>
      </c>
    </row>
    <row r="28" spans="1:5" ht="15.75">
      <c r="A28" s="68" t="s">
        <v>15</v>
      </c>
      <c r="B28" s="69"/>
      <c r="C28" s="69"/>
      <c r="D28" s="86"/>
      <c r="E28" s="37">
        <v>13</v>
      </c>
    </row>
    <row r="29" spans="1:5" ht="15.75">
      <c r="A29" s="68" t="s">
        <v>176</v>
      </c>
      <c r="B29" s="69"/>
      <c r="C29" s="69"/>
      <c r="D29" s="86"/>
      <c r="E29" s="37">
        <v>2</v>
      </c>
    </row>
    <row r="30" spans="1:5" ht="15.75">
      <c r="A30" s="68" t="s">
        <v>163</v>
      </c>
      <c r="B30" s="69"/>
      <c r="C30" s="69"/>
      <c r="D30" s="86"/>
      <c r="E30" s="37">
        <v>0</v>
      </c>
    </row>
    <row r="31" spans="1:5" ht="15.75">
      <c r="A31" s="68" t="s">
        <v>164</v>
      </c>
      <c r="B31" s="69"/>
      <c r="C31" s="69"/>
      <c r="D31" s="86"/>
      <c r="E31" s="37">
        <v>0</v>
      </c>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21900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1" sqref="A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Rice County, State of Kansas</v>
      </c>
      <c r="B4" s="616"/>
      <c r="C4" s="616"/>
      <c r="D4" s="616"/>
      <c r="E4" s="616"/>
      <c r="F4" s="616"/>
      <c r="G4" s="616"/>
    </row>
    <row r="5" spans="1:7" ht="15.75">
      <c r="A5" s="100" t="s">
        <v>159</v>
      </c>
      <c r="B5" s="26"/>
      <c r="C5" s="26"/>
      <c r="D5" s="26"/>
      <c r="E5" s="26"/>
      <c r="F5" s="26"/>
      <c r="G5" s="26"/>
    </row>
    <row r="6" spans="1:7" ht="15.75">
      <c r="A6" s="598" t="str">
        <f>inputPrYr!D3</f>
        <v>Alden Valley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6800</v>
      </c>
      <c r="F23" s="124">
        <f>IF(gen!$E$57&lt;&gt;0,gen!$E$57,"  ")</f>
        <v>6396</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6800</v>
      </c>
      <c r="F30" s="415">
        <f>SUM(F23:F28)</f>
        <v>6396</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Alden Valley Cemetery</v>
      </c>
      <c r="D1" s="18"/>
      <c r="E1" s="18"/>
      <c r="F1" s="18"/>
      <c r="G1" s="18"/>
      <c r="H1" s="18"/>
      <c r="I1" s="18"/>
      <c r="J1" s="18">
        <f>inputPrYr!D6</f>
        <v>2012</v>
      </c>
    </row>
    <row r="2" spans="1:10" ht="15.75" customHeight="1">
      <c r="A2" s="18"/>
      <c r="B2" s="18"/>
      <c r="C2" s="18" t="str">
        <f>inputPrYr!D4</f>
        <v>Rice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5261</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5261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11526</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77565</v>
      </c>
      <c r="F14" s="156"/>
      <c r="G14" s="39"/>
      <c r="H14" s="39"/>
      <c r="I14" s="159"/>
      <c r="J14" s="39"/>
    </row>
    <row r="15" spans="1:10" ht="15.75">
      <c r="A15" s="155"/>
      <c r="B15" s="18" t="s">
        <v>102</v>
      </c>
      <c r="C15" s="18" t="str">
        <f>CONCATENATE("Personal Property ",J1-2,"")</f>
        <v>Personal Property 2010</v>
      </c>
      <c r="D15" s="155" t="s">
        <v>98</v>
      </c>
      <c r="E15" s="43">
        <f>inputOth!E11</f>
        <v>5341089</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11319</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22845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6421361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6398516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0.003570359127022578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5280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5280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Alden Valley Cemetery</v>
      </c>
      <c r="C1" s="18"/>
      <c r="D1" s="18"/>
      <c r="E1" s="18"/>
      <c r="F1" s="18"/>
      <c r="G1" s="18"/>
      <c r="H1" s="18"/>
      <c r="I1" s="165"/>
      <c r="J1" s="18"/>
    </row>
    <row r="2" spans="1:10" ht="15.75">
      <c r="A2" s="18"/>
      <c r="B2" s="18" t="str">
        <f>inputPrYr!D4</f>
        <v>Rice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5261</v>
      </c>
      <c r="D11" s="128">
        <f>IF(E17=0,0,E17-D12-D13-D14)</f>
        <v>383</v>
      </c>
      <c r="E11" s="128">
        <f>IF(E19=0,0,E19-E12-E13-E14)</f>
        <v>13</v>
      </c>
      <c r="F11" s="128">
        <f>IF(E21=0,0,E21-F12-F13-F14)</f>
        <v>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5261</v>
      </c>
      <c r="D15" s="137">
        <f>SUM(D11:D14)</f>
        <v>383</v>
      </c>
      <c r="E15" s="137">
        <f>SUM(E11:E14)</f>
        <v>13</v>
      </c>
      <c r="F15" s="137">
        <f>SUM(F11:F14)</f>
        <v>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383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13</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0.07279984793765444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0.0024710131153773047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0.00038015586390420075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Alden Valley Cemetery</v>
      </c>
      <c r="B2" s="175"/>
      <c r="C2" s="18"/>
      <c r="D2" s="18"/>
      <c r="E2" s="165"/>
      <c r="F2" s="18"/>
    </row>
    <row r="3" spans="1:6" ht="15.75">
      <c r="A3" s="175" t="str">
        <f>inputPrYr!D4</f>
        <v>Rice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cp:lastModifiedBy>
  <cp:lastPrinted>2011-07-08T15:16:24Z</cp:lastPrinted>
  <dcterms:created xsi:type="dcterms:W3CDTF">1999-08-06T13:59:57Z</dcterms:created>
  <dcterms:modified xsi:type="dcterms:W3CDTF">2011-07-08T15:16:43Z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