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0" windowWidth="12870" windowHeight="10335" tabRatio="869" activeTab="4"/>
  </bookViews>
  <sheets>
    <sheet name="instructions" sheetId="1" r:id="rId1"/>
    <sheet name="inputPrYr" sheetId="2" r:id="rId2"/>
    <sheet name="inputOth" sheetId="3" r:id="rId3"/>
    <sheet name="cert" sheetId="4" r:id="rId4"/>
    <sheet name="Signed Cert" sheetId="5" r:id="rId5"/>
    <sheet name="computation" sheetId="6" r:id="rId6"/>
    <sheet name="mvalloc" sheetId="7" r:id="rId7"/>
    <sheet name="transfers" sheetId="8" r:id="rId8"/>
    <sheet name="debt" sheetId="9" r:id="rId9"/>
    <sheet name="gen" sheetId="10" r:id="rId10"/>
    <sheet name="DebtService" sheetId="11" r:id="rId11"/>
    <sheet name="levypage8" sheetId="12" r:id="rId12"/>
    <sheet name="nolevypage9" sheetId="13" r:id="rId13"/>
    <sheet name="NonBud" sheetId="14" r:id="rId14"/>
    <sheet name="summ" sheetId="15" r:id="rId15"/>
    <sheet name="Nhood" sheetId="16" r:id="rId16"/>
    <sheet name="Resolution" sheetId="17" r:id="rId17"/>
    <sheet name="legend" sheetId="18" r:id="rId18"/>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<sst xmlns="http://schemas.openxmlformats.org/spreadsheetml/2006/main" count="588" uniqueCount="365">
  <si>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</si>
  <si>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</si>
  <si>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</si>
  <si>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</si>
  <si>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</si>
  <si>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</si>
  <si>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</si>
  <si>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</si>
  <si>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</si>
  <si>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</si>
  <si>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</si>
  <si>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</si>
  <si>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</si>
  <si>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</si>
  <si>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</si>
  <si>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</si>
  <si>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</si>
  <si>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</si>
  <si>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</si>
  <si>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</si>
  <si>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</si>
  <si>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</si>
  <si>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</si>
  <si>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</si>
  <si>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</si>
  <si>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</si>
  <si>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</si>
  <si>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</si>
  <si>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</si>
  <si>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</si>
  <si>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</si>
  <si>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</si>
  <si>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</si>
  <si>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</si>
  <si>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</si>
  <si>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</si>
  <si>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</si>
  <si>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</si>
  <si>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</si>
  <si>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</si>
  <si>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</si>
  <si>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</si>
  <si>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</si>
  <si>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</si>
  <si>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</si>
  <si>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</si>
  <si>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</si>
  <si>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</si>
  <si>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</si>
  <si>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</si>
  <si>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</si>
  <si>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</si>
  <si>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</si>
  <si>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</si>
  <si>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</si>
  <si>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</si>
  <si>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</si>
  <si>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</si>
  <si>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</si>
  <si>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</si>
  <si>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</si>
  <si>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</si>
  <si>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</si>
  <si>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</si>
  <si>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</si>
  <si>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</si>
  <si>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</si>
  <si>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</si>
  <si>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</si>
  <si>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</si>
  <si>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</si>
  <si>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</si>
  <si>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</si>
  <si>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</si>
  <si>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</si>
  <si>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</si>
  <si>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</si>
  <si>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</si>
  <si>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</si>
  <si>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</si>
  <si>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</si>
  <si>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</si>
  <si>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</si>
  <si>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</si>
  <si>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</si>
  <si>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</si>
  <si>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</si>
  <si>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</si>
  <si>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</si>
  <si>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</si>
  <si>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</si>
  <si>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</si>
  <si>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</si>
  <si>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</si>
  <si>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</si>
  <si>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</si>
  <si>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</si>
  <si>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</si>
  <si>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</si>
  <si>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</si>
  <si>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</si>
  <si>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</si>
  <si>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</si>
  <si>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</si>
  <si>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</si>
  <si>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</si>
  <si>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</si>
  <si>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</si>
  <si>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</si>
  <si>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</si>
  <si>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</si>
  <si>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</si>
  <si>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</si>
  <si>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</si>
  <si>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</si>
  <si>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</si>
  <si>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</si>
  <si>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</si>
  <si>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</si>
  <si>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</si>
  <si>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</si>
  <si>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</si>
  <si>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</si>
  <si>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</si>
  <si>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</si>
  <si>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</si>
  <si>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</si>
  <si>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</si>
  <si>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</si>
  <si>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</si>
  <si>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</si>
  <si>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</si>
  <si>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</si>
  <si>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</si>
  <si>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</si>
  <si>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</si>
  <si>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</si>
  <si>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</si>
  <si>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</si>
  <si>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</si>
  <si>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</si>
  <si>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</si>
  <si>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</si>
  <si>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</si>
  <si>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</si>
  <si>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</si>
  <si>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</si>
  <si>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</si>
  <si>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</si>
  <si>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</si>
  <si>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</si>
  <si>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</si>
  <si>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</si>
  <si>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</si>
  <si>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</si>
  <si>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</si>
  <si>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</si>
  <si>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</si>
  <si>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</si>
  <si>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</si>
  <si>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</si>
  <si>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</si>
  <si>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</si>
  <si>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</si>
  <si>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</si>
  <si>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</si>
  <si>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</si>
  <si>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</si>
  <si>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</si>
  <si>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</si>
  <si>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</si>
  <si>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</si>
  <si>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</si>
  <si>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</si>
  <si>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</si>
  <si>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</si>
  <si>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</si>
  <si>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</si>
  <si>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</si>
  <si>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</si>
  <si>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</si>
  <si>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</si>
  <si>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</si>
  <si>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</si>
  <si>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</si>
  <si>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</si>
  <si>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</si>
  <si>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</si>
  <si>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</si>
  <si>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</si>
  <si>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</si>
  <si>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</si>
  <si>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</si>
  <si>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</si>
  <si>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</si>
  <si>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</si>
  <si>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</si>
  <si>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</si>
  <si>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</si>
  <si>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</si>
  <si>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</si>
  <si>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</si>
  <si>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</si>
  <si>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</si>
  <si>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</si>
  <si>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</si>
  <si>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</si>
  <si>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</si>
  <si>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</si>
  <si>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</si>
  <si>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</si>
  <si>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</si>
  <si>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</si>
  <si>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</si>
  <si>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</si>
  <si>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</si>
  <si>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</si>
  <si>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</si>
  <si>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</si>
  <si>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</si>
  <si>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</si>
  <si>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</si>
  <si>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</si>
  <si>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</si>
  <si>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</si>
  <si>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</si>
  <si>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</si>
  <si>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</si>
  <si>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</si>
  <si>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</si>
  <si>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</si>
  <si>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</si>
  <si>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</si>
  <si>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</si>
  <si>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</si>
  <si>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</si>
  <si>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</si>
  <si>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</si>
  <si>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</si>
  <si>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</si>
  <si>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</si>
  <si>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</si>
  <si>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</si>
  <si>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</si>
  <si>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</si>
  <si>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</si>
  <si>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</si>
  <si>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</si>
  <si>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</si>
  <si>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</si>
  <si>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</si>
  <si>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</si>
  <si>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</si>
  <si>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</si>
  <si>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</si>
  <si>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</si>
  <si>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</si>
  <si>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</si>
  <si>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</si>
  <si>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</si>
  <si>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</si>
  <si>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</si>
  <si>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</si>
  <si>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</si>
  <si>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</si>
  <si>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</si>
  <si>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</si>
  <si>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</si>
  <si>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</si>
  <si>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</si>
  <si>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</si>
  <si>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</si>
  <si>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</si>
  <si>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</si>
  <si>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</si>
  <si>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</si>
  <si>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</si>
  <si>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</si>
  <si>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</si>
  <si>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</si>
  <si>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</si>
  <si>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</si>
  <si>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</si>
  <si>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</si>
  <si>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</si>
  <si>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</si>
  <si>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</si>
  <si>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</si>
  <si>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</si>
  <si>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</si>
  <si>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</si>
  <si>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</si>
  <si>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</si>
  <si>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</si>
  <si>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</si>
  <si>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</si>
  <si>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</si>
  <si>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</si>
  <si>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</si>
  <si>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</si>
  <si>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</si>
  <si>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</si>
  <si>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</si>
  <si>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</si>
  <si>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</si>
  <si>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</si>
  <si>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</si>
  <si>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</si>
  <si>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</si>
  <si>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</si>
  <si>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</si>
  <si>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</si>
  <si>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</si>
  <si>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</si>
  <si>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</si>
  <si>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</si>
  <si>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</si>
  <si>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</si>
  <si>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</si>
  <si>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</si>
  <si>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</si>
  <si>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</si>
  <si>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</si>
  <si>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</si>
  <si>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</si>
  <si>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</si>
  <si>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</si>
  <si>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</si>
  <si>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</si>
  <si>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</si>
  <si>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</si>
  <si>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</si>
  <si>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</si>
  <si>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</si>
  <si>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</si>
  <si>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</si>
  <si>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</si>
  <si>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</si>
  <si>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</si>
  <si>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</si>
  <si>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</si>
  <si>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</si>
  <si>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</si>
  <si>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</si>
  <si>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</si>
  <si>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</si>
  <si>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</si>
  <si>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</si>
  <si>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</si>
  <si>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</si>
  <si>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</si>
  <si>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</si>
  <si>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</si>
  <si>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</si>
  <si>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</si>
  <si>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</si>
  <si>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</si>
  <si>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</si>
  <si>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</si>
  <si>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9th day of August, 2011, at 9:15 a.m. at Montgomery County Judicial Lower Level, Commission Room, Independence for</t>
  </si>
  <si>
    <t>Cherry Cemetery District No. 15</t>
  </si>
  <si>
    <t>Sale of Lots</t>
  </si>
  <si>
    <t>Mowing</t>
  </si>
  <si>
    <t>Operations</t>
  </si>
  <si>
    <t>Detailed budget information is available at Montgomery County Clerk's Office, Courthouse, Independence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</si>
</sst>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0" fontId="4" fillId="4" borderId="17" xfId="0" applyNumberFormat="1" applyFont="1" applyFill="1" applyBorder="1" applyAlignment="1" applyProtection="1">
      <alignment horizontal="center"/>
      <protection/>
    </xf>
    <xf numFmtId="3" fontId="4" fillId="18" borderId="19" xfId="0" applyNumberFormat="1" applyFont="1" applyFill="1" applyBorder="1" applyAlignment="1" applyProtection="1">
      <alignment/>
      <protection locked="0"/>
    </xf>
    <xf numFmtId="3" fontId="4" fillId="18" borderId="18" xfId="0" applyNumberFormat="1" applyFont="1" applyFill="1" applyBorder="1" applyAlignment="1" applyProtection="1">
      <alignment/>
      <protection locked="0"/>
    </xf>
    <xf numFmtId="3" fontId="4" fillId="4" borderId="19" xfId="0" applyNumberFormat="1" applyFont="1" applyFill="1" applyBorder="1" applyAlignment="1" applyProtection="1">
      <alignment/>
      <protection/>
    </xf>
    <xf numFmtId="37" fontId="4" fillId="4" borderId="19" xfId="0" applyNumberFormat="1" applyFont="1" applyFill="1" applyBorder="1" applyAlignment="1" applyProtection="1">
      <alignment/>
      <protection/>
    </xf>
    <xf numFmtId="37" fontId="4" fillId="4" borderId="18" xfId="0" applyNumberFormat="1" applyFont="1" applyFill="1" applyBorder="1" applyAlignment="1" applyProtection="1">
      <alignment/>
      <protection/>
    </xf>
    <xf numFmtId="37" fontId="4" fillId="4" borderId="20"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0" fontId="4" fillId="4" borderId="12" xfId="0" applyFont="1" applyFill="1" applyBorder="1" applyAlignment="1" applyProtection="1">
      <alignment horizontal="center"/>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 fontId="4" fillId="4" borderId="18" xfId="0" applyNumberFormat="1" applyFont="1" applyFill="1" applyBorder="1" applyAlignment="1" applyProtection="1">
      <alignment/>
      <protection/>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1" fontId="4" fillId="4" borderId="21" xfId="0" applyNumberFormat="1" applyFont="1" applyFill="1" applyBorder="1" applyAlignment="1" applyProtection="1">
      <alignment horizontal="center"/>
      <protection/>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181" fontId="4" fillId="4" borderId="0" xfId="0" applyNumberFormat="1" applyFont="1" applyFill="1" applyBorder="1" applyAlignment="1">
      <alignment horizontal="right"/>
    </xf>
    <xf numFmtId="0" fontId="0" fillId="0" borderId="0" xfId="0" applyFont="1" applyAlignment="1">
      <alignment horizontal="right"/>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5" fillId="7" borderId="19" xfId="0" applyNumberFormat="1" applyFont="1" applyFill="1" applyBorder="1" applyAlignment="1" applyProtection="1">
      <alignment horizontal="right"/>
      <protection/>
    </xf>
    <xf numFmtId="0" fontId="0" fillId="0" borderId="18" xfId="0" applyBorder="1" applyAlignment="1">
      <alignment horizontal="right"/>
    </xf>
    <xf numFmtId="3" fontId="5" fillId="7" borderId="18" xfId="0" applyNumberFormat="1" applyFont="1" applyFill="1" applyBorder="1" applyAlignment="1" applyProtection="1">
      <alignment horizontal="right"/>
      <protection/>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247650</xdr:colOff>
      <xdr:row>42</xdr:row>
      <xdr:rowOff>161925</xdr:rowOff>
    </xdr:to>
    <xdr:pic>
      <xdr:nvPicPr>
        <xdr:cNvPr id="1" name="Picture 1"/>
        <xdr:cNvPicPr preferRelativeResize="1">
          <a:picLocks noChangeAspect="1"/>
        </xdr:cNvPicPr>
      </xdr:nvPicPr>
      <xdr:blipFill>
        <a:blip r:embed="rId1"/>
        <a:stretch>
          <a:fillRect/>
        </a:stretch>
      </xdr:blipFill>
      <xdr:spPr>
        <a:xfrm>
          <a:off x="0" y="0"/>
          <a:ext cx="6953250" cy="816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23">
      <selection activeCell="G31" sqref="G31"/>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Cherry Cemetery District No. 15</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2012</v>
      </c>
    </row>
    <row r="4" spans="1:7" ht="15.75">
      <c r="A4" s="32"/>
      <c r="B4" s="32"/>
      <c r="C4" s="38"/>
      <c r="D4" s="38"/>
      <c r="E4" s="38"/>
      <c r="F4" s="38"/>
      <c r="G4" s="38"/>
    </row>
    <row r="5" spans="1:7" ht="15.75">
      <c r="A5" s="35" t="s">
        <v>43</v>
      </c>
      <c r="B5" s="35"/>
      <c r="C5" s="456" t="s">
        <v>317</v>
      </c>
      <c r="D5" s="457"/>
      <c r="E5" s="415" t="s">
        <v>316</v>
      </c>
      <c r="F5" s="407"/>
      <c r="G5" s="78" t="s">
        <v>313</v>
      </c>
    </row>
    <row r="6" spans="1:7" ht="15.75">
      <c r="A6" s="55" t="str">
        <f>inputPrYr!B18</f>
        <v>General</v>
      </c>
      <c r="B6" s="55"/>
      <c r="C6" s="408" t="str">
        <f>CONCATENATE("Actual ",H3-2,"")</f>
        <v>Actual 2010</v>
      </c>
      <c r="D6" s="409"/>
      <c r="E6" s="408" t="str">
        <f>CONCATENATE("Estimate ",H3-1,"")</f>
        <v>Estimate 2011</v>
      </c>
      <c r="F6" s="409"/>
      <c r="G6" s="181" t="str">
        <f>CONCATENATE("Year ",H3,"")</f>
        <v>Year 2012</v>
      </c>
    </row>
    <row r="7" spans="1:7" ht="15.75">
      <c r="A7" s="48" t="s">
        <v>144</v>
      </c>
      <c r="B7" s="309"/>
      <c r="C7" s="410">
        <v>3098</v>
      </c>
      <c r="D7" s="411"/>
      <c r="E7" s="412">
        <f>C42</f>
        <v>2099</v>
      </c>
      <c r="F7" s="453"/>
      <c r="G7" s="49">
        <f>E42</f>
        <v>780</v>
      </c>
    </row>
    <row r="8" spans="1:7" ht="15.75">
      <c r="A8" s="308" t="s">
        <v>146</v>
      </c>
      <c r="B8" s="309"/>
      <c r="C8" s="413"/>
      <c r="D8" s="414"/>
      <c r="E8" s="413"/>
      <c r="F8" s="414"/>
      <c r="G8" s="51"/>
    </row>
    <row r="9" spans="1:7" ht="15.75">
      <c r="A9" s="48" t="s">
        <v>44</v>
      </c>
      <c r="B9" s="309"/>
      <c r="C9" s="410">
        <v>3198</v>
      </c>
      <c r="D9" s="411"/>
      <c r="E9" s="413">
        <f>inputPrYr!E18</f>
        <v>3567</v>
      </c>
      <c r="F9" s="414"/>
      <c r="G9" s="52" t="s">
        <v>35</v>
      </c>
    </row>
    <row r="10" spans="1:7" ht="15.75">
      <c r="A10" s="48" t="s">
        <v>45</v>
      </c>
      <c r="B10" s="309"/>
      <c r="C10" s="410">
        <v>145</v>
      </c>
      <c r="D10" s="411"/>
      <c r="E10" s="410">
        <v>75</v>
      </c>
      <c r="F10" s="411"/>
      <c r="G10" s="20"/>
    </row>
    <row r="11" spans="1:7" ht="15.75">
      <c r="A11" s="48" t="s">
        <v>46</v>
      </c>
      <c r="B11" s="309"/>
      <c r="C11" s="410">
        <v>603</v>
      </c>
      <c r="D11" s="411"/>
      <c r="E11" s="410">
        <v>518</v>
      </c>
      <c r="F11" s="411"/>
      <c r="G11" s="51">
        <f>mvalloc!D11</f>
        <v>453</v>
      </c>
    </row>
    <row r="12" spans="1:7" ht="15.75">
      <c r="A12" s="48" t="s">
        <v>47</v>
      </c>
      <c r="B12" s="309"/>
      <c r="C12" s="410">
        <v>14</v>
      </c>
      <c r="D12" s="411"/>
      <c r="E12" s="410">
        <v>9</v>
      </c>
      <c r="F12" s="411"/>
      <c r="G12" s="51">
        <f>mvalloc!E11</f>
        <v>11</v>
      </c>
    </row>
    <row r="13" spans="1:7" ht="15.75">
      <c r="A13" s="311" t="s">
        <v>128</v>
      </c>
      <c r="B13" s="309"/>
      <c r="C13" s="410">
        <v>65</v>
      </c>
      <c r="D13" s="411"/>
      <c r="E13" s="410">
        <v>62</v>
      </c>
      <c r="F13" s="411"/>
      <c r="G13" s="51">
        <f>mvalloc!F11</f>
        <v>35</v>
      </c>
    </row>
    <row r="14" spans="1:7" ht="15.75">
      <c r="A14" s="311" t="s">
        <v>185</v>
      </c>
      <c r="B14" s="309"/>
      <c r="C14" s="410">
        <v>0</v>
      </c>
      <c r="D14" s="411"/>
      <c r="E14" s="410">
        <v>0</v>
      </c>
      <c r="F14" s="411"/>
      <c r="G14" s="51">
        <f>inputOth!E30</f>
        <v>0</v>
      </c>
    </row>
    <row r="15" spans="1:7" ht="15.75">
      <c r="A15" s="311" t="s">
        <v>186</v>
      </c>
      <c r="B15" s="309"/>
      <c r="C15" s="410">
        <v>0</v>
      </c>
      <c r="D15" s="411"/>
      <c r="E15" s="410">
        <v>0</v>
      </c>
      <c r="F15" s="411"/>
      <c r="G15" s="51">
        <f>mvalloc!G11</f>
        <v>0</v>
      </c>
    </row>
    <row r="16" spans="1:7" ht="15.75">
      <c r="A16" s="305" t="s">
        <v>48</v>
      </c>
      <c r="B16" s="310"/>
      <c r="C16" s="410">
        <v>0</v>
      </c>
      <c r="D16" s="411"/>
      <c r="E16" s="410">
        <v>0</v>
      </c>
      <c r="F16" s="411"/>
      <c r="G16" s="20">
        <v>0</v>
      </c>
    </row>
    <row r="17" spans="1:7" ht="15.75">
      <c r="A17" s="305" t="s">
        <v>361</v>
      </c>
      <c r="B17" s="310"/>
      <c r="C17" s="410">
        <v>10</v>
      </c>
      <c r="D17" s="411"/>
      <c r="E17" s="410">
        <v>0</v>
      </c>
      <c r="F17" s="411"/>
      <c r="G17" s="20">
        <v>0</v>
      </c>
    </row>
    <row r="18" spans="1:7" ht="15.75">
      <c r="A18" s="305"/>
      <c r="B18" s="310"/>
      <c r="C18" s="410"/>
      <c r="D18" s="411"/>
      <c r="E18" s="410"/>
      <c r="F18" s="411"/>
      <c r="G18" s="20"/>
    </row>
    <row r="19" spans="1:7" ht="15.75">
      <c r="A19" s="305"/>
      <c r="B19" s="310"/>
      <c r="C19" s="410"/>
      <c r="D19" s="411"/>
      <c r="E19" s="410"/>
      <c r="F19" s="411"/>
      <c r="G19" s="20"/>
    </row>
    <row r="20" spans="1:7" ht="15.75">
      <c r="A20" s="305"/>
      <c r="B20" s="310"/>
      <c r="C20" s="410"/>
      <c r="D20" s="411"/>
      <c r="E20" s="410"/>
      <c r="F20" s="411"/>
      <c r="G20" s="20"/>
    </row>
    <row r="21" spans="1:7" ht="15.75">
      <c r="A21" s="305"/>
      <c r="B21" s="310"/>
      <c r="C21" s="410"/>
      <c r="D21" s="411"/>
      <c r="E21" s="410"/>
      <c r="F21" s="411"/>
      <c r="G21" s="20"/>
    </row>
    <row r="22" spans="1:7" ht="15.75">
      <c r="A22" s="306"/>
      <c r="B22" s="310"/>
      <c r="C22" s="410"/>
      <c r="D22" s="411"/>
      <c r="E22" s="410"/>
      <c r="F22" s="411"/>
      <c r="G22" s="20"/>
    </row>
    <row r="23" spans="1:7" ht="15.75">
      <c r="A23" s="306" t="s">
        <v>49</v>
      </c>
      <c r="B23" s="310"/>
      <c r="C23" s="410">
        <v>6</v>
      </c>
      <c r="D23" s="411"/>
      <c r="E23" s="410"/>
      <c r="F23" s="411"/>
      <c r="G23" s="20"/>
    </row>
    <row r="24" spans="1:7" ht="15.75">
      <c r="A24" s="341" t="s">
        <v>261</v>
      </c>
      <c r="B24" s="318"/>
      <c r="C24" s="454"/>
      <c r="D24" s="455"/>
      <c r="E24" s="454"/>
      <c r="F24" s="455"/>
      <c r="G24" s="307"/>
    </row>
    <row r="25" spans="1:7" ht="15.75">
      <c r="A25" s="341" t="s">
        <v>262</v>
      </c>
      <c r="B25" s="318"/>
      <c r="C25" s="458">
        <f>IF(C26*0.1&lt;C24,"Exceed 10% Rule","")</f>
      </c>
      <c r="D25" s="459"/>
      <c r="E25" s="458">
        <f>IF(E26*0.1&lt;E24,"Exceed 10% Rule","")</f>
      </c>
      <c r="F25" s="459"/>
      <c r="G25" s="342">
        <f>IF(G26*0.1+G47&lt;G24,"Exceed 10% Rule","")</f>
      </c>
    </row>
    <row r="26" spans="1:7" ht="15.75">
      <c r="A26" s="178" t="s">
        <v>50</v>
      </c>
      <c r="B26" s="309"/>
      <c r="C26" s="460">
        <f>SUM(C9:C24)</f>
        <v>4041</v>
      </c>
      <c r="D26" s="461"/>
      <c r="E26" s="460">
        <f>SUM(E9:E24)</f>
        <v>4231</v>
      </c>
      <c r="F26" s="461"/>
      <c r="G26" s="275">
        <f>SUM(G9:G24)</f>
        <v>499</v>
      </c>
    </row>
    <row r="27" spans="1:7" ht="15.75">
      <c r="A27" s="178" t="s">
        <v>51</v>
      </c>
      <c r="B27" s="309"/>
      <c r="C27" s="460">
        <f>C7+C26</f>
        <v>7139</v>
      </c>
      <c r="D27" s="461"/>
      <c r="E27" s="460">
        <f>E7+E26</f>
        <v>6330</v>
      </c>
      <c r="F27" s="461"/>
      <c r="G27" s="297">
        <f>G7+G26</f>
        <v>1279</v>
      </c>
    </row>
    <row r="28" spans="1:7" ht="15.75">
      <c r="A28" s="48" t="s">
        <v>52</v>
      </c>
      <c r="B28" s="309"/>
      <c r="C28" s="464"/>
      <c r="D28" s="465"/>
      <c r="E28" s="464"/>
      <c r="F28" s="465"/>
      <c r="G28" s="47"/>
    </row>
    <row r="29" spans="1:7" ht="15.75">
      <c r="A29" s="305" t="s">
        <v>363</v>
      </c>
      <c r="B29" s="310"/>
      <c r="C29" s="410">
        <v>40</v>
      </c>
      <c r="D29" s="411"/>
      <c r="E29" s="410">
        <v>550</v>
      </c>
      <c r="F29" s="411"/>
      <c r="G29" s="20">
        <v>550</v>
      </c>
    </row>
    <row r="30" spans="1:7" ht="15.75">
      <c r="A30" s="305" t="s">
        <v>362</v>
      </c>
      <c r="B30" s="310"/>
      <c r="C30" s="410">
        <v>5000</v>
      </c>
      <c r="D30" s="411"/>
      <c r="E30" s="410">
        <v>5000</v>
      </c>
      <c r="F30" s="411"/>
      <c r="G30" s="20">
        <v>5000</v>
      </c>
    </row>
    <row r="31" spans="1:7" ht="15.75">
      <c r="A31" s="305"/>
      <c r="B31" s="310"/>
      <c r="C31" s="410"/>
      <c r="D31" s="411"/>
      <c r="E31" s="410"/>
      <c r="F31" s="411"/>
      <c r="G31" s="20"/>
    </row>
    <row r="32" spans="1:7" ht="15.75">
      <c r="A32" s="305"/>
      <c r="B32" s="310"/>
      <c r="C32" s="410"/>
      <c r="D32" s="411"/>
      <c r="E32" s="410"/>
      <c r="F32" s="411"/>
      <c r="G32" s="20"/>
    </row>
    <row r="33" spans="1:7" ht="15.75">
      <c r="A33" s="305"/>
      <c r="B33" s="310"/>
      <c r="C33" s="410"/>
      <c r="D33" s="411"/>
      <c r="E33" s="410"/>
      <c r="F33" s="411"/>
      <c r="G33" s="20"/>
    </row>
    <row r="34" spans="1:7" ht="15.75">
      <c r="A34" s="305"/>
      <c r="B34" s="310"/>
      <c r="C34" s="410"/>
      <c r="D34" s="411"/>
      <c r="E34" s="410"/>
      <c r="F34" s="411"/>
      <c r="G34" s="20"/>
    </row>
    <row r="35" spans="1:7" ht="15.75">
      <c r="A35" s="305"/>
      <c r="B35" s="310"/>
      <c r="C35" s="410"/>
      <c r="D35" s="411"/>
      <c r="E35" s="410"/>
      <c r="F35" s="411"/>
      <c r="G35" s="20"/>
    </row>
    <row r="36" spans="1:7" ht="15.75">
      <c r="A36" s="305"/>
      <c r="B36" s="310"/>
      <c r="C36" s="410"/>
      <c r="D36" s="411"/>
      <c r="E36" s="410"/>
      <c r="F36" s="411"/>
      <c r="G36" s="20"/>
    </row>
    <row r="37" spans="1:7" ht="15.75">
      <c r="A37" s="305"/>
      <c r="B37" s="310"/>
      <c r="C37" s="410"/>
      <c r="D37" s="411"/>
      <c r="E37" s="410"/>
      <c r="F37" s="411"/>
      <c r="G37" s="20"/>
    </row>
    <row r="38" spans="1:7" ht="15.75">
      <c r="A38" s="50" t="s">
        <v>264</v>
      </c>
      <c r="B38" s="318"/>
      <c r="C38" s="410"/>
      <c r="D38" s="411"/>
      <c r="E38" s="410"/>
      <c r="F38" s="411"/>
      <c r="G38" s="273">
        <f>Nhood!E7</f>
      </c>
    </row>
    <row r="39" spans="1:7" ht="15.75">
      <c r="A39" s="50" t="s">
        <v>261</v>
      </c>
      <c r="B39" s="318"/>
      <c r="C39" s="410"/>
      <c r="D39" s="411"/>
      <c r="E39" s="410"/>
      <c r="F39" s="411"/>
      <c r="G39" s="352"/>
    </row>
    <row r="40" spans="1:7" ht="15.75">
      <c r="A40" s="50" t="s">
        <v>263</v>
      </c>
      <c r="B40" s="318"/>
      <c r="C40" s="458">
        <f>IF(C41*0.1&lt;C39,"Exceed 10% Rule","")</f>
      </c>
      <c r="D40" s="459"/>
      <c r="E40" s="458">
        <f>IF(E41*0.1&lt;E39,"Exceed 10% Rule","")</f>
      </c>
      <c r="F40" s="459"/>
      <c r="G40" s="342">
        <f>IF(G41*0.1&lt;G39,"Exceed 10% Rule","")</f>
      </c>
    </row>
    <row r="41" spans="1:7" ht="15.75">
      <c r="A41" s="178" t="s">
        <v>53</v>
      </c>
      <c r="B41" s="309"/>
      <c r="C41" s="460">
        <f>SUM(C29:C39)</f>
        <v>5040</v>
      </c>
      <c r="D41" s="461"/>
      <c r="E41" s="460">
        <f>SUM(E29:E39)</f>
        <v>5550</v>
      </c>
      <c r="F41" s="461"/>
      <c r="G41" s="297">
        <f>SUM(G29:G39)</f>
        <v>5550</v>
      </c>
    </row>
    <row r="42" spans="1:7" ht="15.75">
      <c r="A42" s="48" t="s">
        <v>145</v>
      </c>
      <c r="B42" s="309"/>
      <c r="C42" s="462">
        <f>C27-C41</f>
        <v>2099</v>
      </c>
      <c r="D42" s="463"/>
      <c r="E42" s="462">
        <f>E27-E41</f>
        <v>780</v>
      </c>
      <c r="F42" s="463"/>
      <c r="G42" s="52" t="s">
        <v>35</v>
      </c>
    </row>
    <row r="43" spans="1:8" ht="15.75">
      <c r="A43" s="80" t="str">
        <f>CONCATENATE("",H3-2,"/",H3-1," Budget Authority Amount:")</f>
        <v>2010/2011 Budget Authority Amount:</v>
      </c>
      <c r="B43" s="326">
        <f>inputOth!B42</f>
        <v>6050</v>
      </c>
      <c r="C43" s="155">
        <f>inputPrYr!D18</f>
        <v>5550</v>
      </c>
      <c r="D43" s="473" t="s">
        <v>318</v>
      </c>
      <c r="E43" s="474"/>
      <c r="F43" s="47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66" t="s">
        <v>319</v>
      </c>
      <c r="F44" s="467"/>
      <c r="G44" s="51">
        <f>G41+G43</f>
        <v>5550</v>
      </c>
    </row>
    <row r="45" spans="1:7" ht="15.75">
      <c r="A45" s="80" t="str">
        <f>CONCATENATE("Possible Cash Violation for ",H3-2,":")</f>
        <v>Possible Cash Violation for 2010:</v>
      </c>
      <c r="B45" s="327" t="str">
        <f>IF(C42&lt;0,"Yes","No")</f>
        <v>No</v>
      </c>
      <c r="C45" s="32"/>
      <c r="D45" s="32"/>
      <c r="E45" s="466" t="s">
        <v>54</v>
      </c>
      <c r="F45" s="467"/>
      <c r="G45" s="273">
        <f>IF(G44-G27&gt;0,G44-G27,0)</f>
        <v>4271</v>
      </c>
    </row>
    <row r="46" spans="1:7" ht="15.75">
      <c r="A46" s="81"/>
      <c r="B46" s="81"/>
      <c r="C46" s="81"/>
      <c r="D46" s="468" t="s">
        <v>320</v>
      </c>
      <c r="E46" s="469"/>
      <c r="F46" s="403">
        <f>inputOth!$E$36</f>
        <v>0.01</v>
      </c>
      <c r="G46" s="51">
        <f>ROUND(IF(F46&gt;0,(G45*F46),0),0)</f>
        <v>43</v>
      </c>
    </row>
    <row r="47" spans="1:7" ht="15.75">
      <c r="A47" s="32"/>
      <c r="B47" s="32"/>
      <c r="C47" s="470" t="str">
        <f>CONCATENATE("Amount of  ",$H$3-1," Ad Valorem Tax")</f>
        <v>Amount of  2011 Ad Valorem Tax</v>
      </c>
      <c r="D47" s="471"/>
      <c r="E47" s="471"/>
      <c r="F47" s="472"/>
      <c r="G47" s="273">
        <f>G45+G46</f>
        <v>4314</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6:F36"/>
    <mergeCell ref="E29:F29"/>
    <mergeCell ref="E30:F30"/>
    <mergeCell ref="E31:F31"/>
    <mergeCell ref="E32:F32"/>
    <mergeCell ref="E33:F33"/>
    <mergeCell ref="E34:F34"/>
    <mergeCell ref="C29:D29"/>
    <mergeCell ref="C30:D30"/>
    <mergeCell ref="C28:D28"/>
    <mergeCell ref="E28:F28"/>
    <mergeCell ref="C26:D26"/>
    <mergeCell ref="C27:D27"/>
    <mergeCell ref="E26:F26"/>
    <mergeCell ref="E27:F27"/>
    <mergeCell ref="E14:F14"/>
    <mergeCell ref="E15:F15"/>
    <mergeCell ref="E16:F16"/>
    <mergeCell ref="E17:F17"/>
    <mergeCell ref="E10:F10"/>
    <mergeCell ref="E11:F11"/>
    <mergeCell ref="E12:F12"/>
    <mergeCell ref="E13:F13"/>
    <mergeCell ref="C18:D18"/>
    <mergeCell ref="C19:D19"/>
    <mergeCell ref="C20:D20"/>
    <mergeCell ref="E22:F22"/>
    <mergeCell ref="E18:F18"/>
    <mergeCell ref="E19:F19"/>
    <mergeCell ref="E20:F20"/>
    <mergeCell ref="E21:F21"/>
    <mergeCell ref="E40:F40"/>
    <mergeCell ref="C35:D35"/>
    <mergeCell ref="C36:D36"/>
    <mergeCell ref="E35:F35"/>
    <mergeCell ref="C31:D31"/>
    <mergeCell ref="C32:D32"/>
    <mergeCell ref="C33:D33"/>
    <mergeCell ref="E23:F23"/>
    <mergeCell ref="E41:F41"/>
    <mergeCell ref="E42:F42"/>
    <mergeCell ref="C39:D39"/>
    <mergeCell ref="E39:F39"/>
    <mergeCell ref="C41:D41"/>
    <mergeCell ref="C42:D42"/>
    <mergeCell ref="C34:D34"/>
    <mergeCell ref="E9:F9"/>
    <mergeCell ref="E24:F24"/>
    <mergeCell ref="C25:D25"/>
    <mergeCell ref="E25:F25"/>
    <mergeCell ref="C9:D9"/>
    <mergeCell ref="C10:D10"/>
    <mergeCell ref="C11:D11"/>
    <mergeCell ref="C12:D12"/>
    <mergeCell ref="C13:D13"/>
    <mergeCell ref="C14:D14"/>
    <mergeCell ref="C24:D24"/>
    <mergeCell ref="C5:D5"/>
    <mergeCell ref="C15:D15"/>
    <mergeCell ref="C22:D22"/>
    <mergeCell ref="C23:D23"/>
    <mergeCell ref="C16:D16"/>
    <mergeCell ref="C8:D8"/>
    <mergeCell ref="C21:D21"/>
    <mergeCell ref="C17:D17"/>
    <mergeCell ref="E8:F8"/>
    <mergeCell ref="E5:F5"/>
    <mergeCell ref="C6:D6"/>
    <mergeCell ref="E6:F6"/>
    <mergeCell ref="C7:D7"/>
    <mergeCell ref="E7:F7"/>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Cherry Cemetery District No. 15</v>
      </c>
      <c r="B1" s="79"/>
      <c r="C1" s="32"/>
      <c r="D1" s="32"/>
      <c r="E1" s="32"/>
      <c r="F1" s="32"/>
      <c r="G1" s="169">
        <f>inputPrYr!$D$6</f>
        <v>2012</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56" t="s">
        <v>183</v>
      </c>
      <c r="D5" s="457"/>
      <c r="E5" s="415" t="s">
        <v>316</v>
      </c>
      <c r="F5" s="407"/>
      <c r="G5" s="78" t="s">
        <v>313</v>
      </c>
    </row>
    <row r="6" spans="1:7" ht="15.75">
      <c r="A6" s="186" t="s">
        <v>351</v>
      </c>
      <c r="B6" s="186"/>
      <c r="C6" s="482">
        <f>G1-2</f>
        <v>2010</v>
      </c>
      <c r="D6" s="483"/>
      <c r="E6" s="482" t="str">
        <f>CONCATENATE("Estimate ",G1-1,"")</f>
        <v>Estimate 2011</v>
      </c>
      <c r="F6" s="483"/>
      <c r="G6" s="172" t="str">
        <f>CONCATENATE("Year ",G1,"")</f>
        <v>Year 2012</v>
      </c>
    </row>
    <row r="7" spans="1:7" ht="15.75">
      <c r="A7" s="148" t="s">
        <v>144</v>
      </c>
      <c r="B7" s="318"/>
      <c r="C7" s="476"/>
      <c r="D7" s="477"/>
      <c r="E7" s="480">
        <f>C55</f>
        <v>0</v>
      </c>
      <c r="F7" s="481"/>
      <c r="G7" s="174">
        <f>E55</f>
        <v>0</v>
      </c>
    </row>
    <row r="8" spans="1:7" ht="15.75">
      <c r="A8" s="315" t="s">
        <v>146</v>
      </c>
      <c r="B8" s="318"/>
      <c r="C8" s="478"/>
      <c r="D8" s="479"/>
      <c r="E8" s="480"/>
      <c r="F8" s="481"/>
      <c r="G8" s="174"/>
    </row>
    <row r="9" spans="1:7" ht="15.75">
      <c r="A9" s="148" t="s">
        <v>44</v>
      </c>
      <c r="B9" s="318"/>
      <c r="C9" s="410"/>
      <c r="D9" s="411"/>
      <c r="E9" s="478">
        <f>inputPrYr!E19</f>
        <v>0</v>
      </c>
      <c r="F9" s="479"/>
      <c r="G9" s="176" t="s">
        <v>35</v>
      </c>
    </row>
    <row r="10" spans="1:7" ht="15.75">
      <c r="A10" s="148" t="s">
        <v>45</v>
      </c>
      <c r="B10" s="318"/>
      <c r="C10" s="410"/>
      <c r="D10" s="411"/>
      <c r="E10" s="410"/>
      <c r="F10" s="411"/>
      <c r="G10" s="173"/>
    </row>
    <row r="11" spans="1:7" ht="15.75">
      <c r="A11" s="148" t="s">
        <v>46</v>
      </c>
      <c r="B11" s="318"/>
      <c r="C11" s="410"/>
      <c r="D11" s="411"/>
      <c r="E11" s="410"/>
      <c r="F11" s="411"/>
      <c r="G11" s="175">
        <f>mvalloc!D12</f>
        <v>0</v>
      </c>
    </row>
    <row r="12" spans="1:7" ht="15.75">
      <c r="A12" s="148" t="s">
        <v>47</v>
      </c>
      <c r="B12" s="318"/>
      <c r="C12" s="410"/>
      <c r="D12" s="411"/>
      <c r="E12" s="410"/>
      <c r="F12" s="411"/>
      <c r="G12" s="175">
        <f>mvalloc!E12</f>
        <v>0</v>
      </c>
    </row>
    <row r="13" spans="1:7" ht="15.75">
      <c r="A13" s="312" t="s">
        <v>128</v>
      </c>
      <c r="B13" s="318"/>
      <c r="C13" s="410"/>
      <c r="D13" s="411"/>
      <c r="E13" s="410"/>
      <c r="F13" s="411"/>
      <c r="G13" s="175">
        <f>mvalloc!F12</f>
        <v>0</v>
      </c>
    </row>
    <row r="14" spans="1:7" ht="15.75">
      <c r="A14" s="312" t="s">
        <v>186</v>
      </c>
      <c r="B14" s="318"/>
      <c r="C14" s="410"/>
      <c r="D14" s="411"/>
      <c r="E14" s="410"/>
      <c r="F14" s="411"/>
      <c r="G14" s="175">
        <f>mvalloc!G12</f>
        <v>0</v>
      </c>
    </row>
    <row r="15" spans="1:7" ht="15.75">
      <c r="A15" s="312"/>
      <c r="B15" s="318"/>
      <c r="C15" s="410"/>
      <c r="D15" s="411"/>
      <c r="E15" s="410"/>
      <c r="F15" s="411"/>
      <c r="G15" s="175"/>
    </row>
    <row r="16" spans="1:7" ht="15.75">
      <c r="A16" s="312"/>
      <c r="B16" s="318"/>
      <c r="C16" s="410"/>
      <c r="D16" s="411"/>
      <c r="E16" s="410"/>
      <c r="F16" s="411"/>
      <c r="G16" s="175"/>
    </row>
    <row r="17" spans="1:7" ht="15.75">
      <c r="A17" s="313"/>
      <c r="B17" s="319"/>
      <c r="C17" s="410"/>
      <c r="D17" s="411"/>
      <c r="E17" s="410"/>
      <c r="F17" s="411"/>
      <c r="G17" s="173"/>
    </row>
    <row r="18" spans="1:7" ht="15.75">
      <c r="A18" s="313"/>
      <c r="B18" s="319"/>
      <c r="C18" s="410"/>
      <c r="D18" s="411"/>
      <c r="E18" s="410"/>
      <c r="F18" s="411"/>
      <c r="G18" s="177"/>
    </row>
    <row r="19" spans="1:7" ht="15.75">
      <c r="A19" s="313"/>
      <c r="B19" s="319"/>
      <c r="C19" s="410"/>
      <c r="D19" s="411"/>
      <c r="E19" s="410"/>
      <c r="F19" s="411"/>
      <c r="G19" s="173"/>
    </row>
    <row r="20" spans="1:7" ht="15.75">
      <c r="A20" s="313"/>
      <c r="B20" s="319"/>
      <c r="C20" s="410"/>
      <c r="D20" s="411"/>
      <c r="E20" s="410"/>
      <c r="F20" s="411"/>
      <c r="G20" s="173"/>
    </row>
    <row r="21" spans="1:7" ht="15.75">
      <c r="A21" s="313"/>
      <c r="B21" s="319"/>
      <c r="C21" s="410"/>
      <c r="D21" s="411"/>
      <c r="E21" s="410"/>
      <c r="F21" s="411"/>
      <c r="G21" s="173"/>
    </row>
    <row r="22" spans="1:7" ht="15.75">
      <c r="A22" s="313"/>
      <c r="B22" s="319"/>
      <c r="C22" s="410"/>
      <c r="D22" s="411"/>
      <c r="E22" s="410"/>
      <c r="F22" s="411"/>
      <c r="G22" s="173"/>
    </row>
    <row r="23" spans="1:7" ht="15.75">
      <c r="A23" s="313"/>
      <c r="B23" s="319"/>
      <c r="C23" s="410"/>
      <c r="D23" s="411"/>
      <c r="E23" s="410"/>
      <c r="F23" s="411"/>
      <c r="G23" s="173"/>
    </row>
    <row r="24" spans="1:7" ht="15.75">
      <c r="A24" s="313"/>
      <c r="B24" s="319"/>
      <c r="C24" s="410"/>
      <c r="D24" s="411"/>
      <c r="E24" s="410"/>
      <c r="F24" s="411"/>
      <c r="G24" s="173"/>
    </row>
    <row r="25" spans="1:7" ht="15.75">
      <c r="A25" s="313"/>
      <c r="B25" s="319"/>
      <c r="C25" s="410"/>
      <c r="D25" s="411"/>
      <c r="E25" s="410"/>
      <c r="F25" s="411"/>
      <c r="G25" s="173"/>
    </row>
    <row r="26" spans="1:7" ht="15.75">
      <c r="A26" s="313" t="s">
        <v>184</v>
      </c>
      <c r="B26" s="319"/>
      <c r="C26" s="410"/>
      <c r="D26" s="411"/>
      <c r="E26" s="410"/>
      <c r="F26" s="411"/>
      <c r="G26" s="173"/>
    </row>
    <row r="27" spans="1:7" ht="15.75">
      <c r="A27" s="314" t="s">
        <v>49</v>
      </c>
      <c r="B27" s="319"/>
      <c r="C27" s="410"/>
      <c r="D27" s="411"/>
      <c r="E27" s="410"/>
      <c r="F27" s="411"/>
      <c r="G27" s="173"/>
    </row>
    <row r="28" spans="1:7" ht="15.75">
      <c r="A28" s="341" t="s">
        <v>261</v>
      </c>
      <c r="B28" s="318"/>
      <c r="C28" s="476"/>
      <c r="D28" s="477"/>
      <c r="E28" s="476"/>
      <c r="F28" s="477"/>
      <c r="G28" s="317"/>
    </row>
    <row r="29" spans="1:7" ht="15.75">
      <c r="A29" s="341" t="s">
        <v>262</v>
      </c>
      <c r="B29" s="318"/>
      <c r="C29" s="458">
        <f>IF(C30*0.1&lt;C28,"Exceed 10% Rule","")</f>
      </c>
      <c r="D29" s="459"/>
      <c r="E29" s="458">
        <f>IF(E30*0.1&lt;E28,"Exceed 10% Rule","")</f>
      </c>
      <c r="F29" s="459"/>
      <c r="G29" s="342">
        <f>IF(G30*0.1+G60&lt;G28,"Exceed 10% Rule","")</f>
      </c>
    </row>
    <row r="30" spans="1:7" ht="15.75">
      <c r="A30" s="178" t="s">
        <v>50</v>
      </c>
      <c r="B30" s="318"/>
      <c r="C30" s="484">
        <f>SUM(C9:C28)</f>
        <v>0</v>
      </c>
      <c r="D30" s="485"/>
      <c r="E30" s="484">
        <f>SUM(E9:E28)</f>
        <v>0</v>
      </c>
      <c r="F30" s="486"/>
      <c r="G30" s="278">
        <f>SUM(G9:G28)</f>
        <v>0</v>
      </c>
    </row>
    <row r="31" spans="1:7" ht="15.75">
      <c r="A31" s="178" t="s">
        <v>51</v>
      </c>
      <c r="B31" s="318"/>
      <c r="C31" s="484">
        <f>C7+C30</f>
        <v>0</v>
      </c>
      <c r="D31" s="486"/>
      <c r="E31" s="484">
        <f>E7+E30</f>
        <v>0</v>
      </c>
      <c r="F31" s="486"/>
      <c r="G31" s="277">
        <f>G7+G30</f>
        <v>0</v>
      </c>
    </row>
    <row r="32" spans="1:7" ht="15.75">
      <c r="A32" s="315" t="s">
        <v>52</v>
      </c>
      <c r="B32" s="318"/>
      <c r="C32" s="478"/>
      <c r="D32" s="479"/>
      <c r="E32" s="478"/>
      <c r="F32" s="479"/>
      <c r="G32" s="175"/>
    </row>
    <row r="33" spans="1:7" ht="15.75">
      <c r="A33" s="316"/>
      <c r="B33" s="319"/>
      <c r="C33" s="410"/>
      <c r="D33" s="411"/>
      <c r="E33" s="410"/>
      <c r="F33" s="411"/>
      <c r="G33" s="173"/>
    </row>
    <row r="34" spans="1:7" ht="15.75">
      <c r="A34" s="316"/>
      <c r="B34" s="319"/>
      <c r="C34" s="410"/>
      <c r="D34" s="411"/>
      <c r="E34" s="410"/>
      <c r="F34" s="411"/>
      <c r="G34" s="173"/>
    </row>
    <row r="35" spans="1:7" ht="15.75">
      <c r="A35" s="316"/>
      <c r="B35" s="319"/>
      <c r="C35" s="410"/>
      <c r="D35" s="411"/>
      <c r="E35" s="410"/>
      <c r="F35" s="411"/>
      <c r="G35" s="173"/>
    </row>
    <row r="36" spans="1:7" ht="15.75">
      <c r="A36" s="316"/>
      <c r="B36" s="319"/>
      <c r="C36" s="410"/>
      <c r="D36" s="411"/>
      <c r="E36" s="410"/>
      <c r="F36" s="411"/>
      <c r="G36" s="173"/>
    </row>
    <row r="37" spans="1:7" ht="15.75">
      <c r="A37" s="316"/>
      <c r="B37" s="319"/>
      <c r="C37" s="410"/>
      <c r="D37" s="411"/>
      <c r="E37" s="410"/>
      <c r="F37" s="411"/>
      <c r="G37" s="173"/>
    </row>
    <row r="38" spans="1:7" ht="15.75">
      <c r="A38" s="316"/>
      <c r="B38" s="319"/>
      <c r="C38" s="410"/>
      <c r="D38" s="411"/>
      <c r="E38" s="410"/>
      <c r="F38" s="411"/>
      <c r="G38" s="173"/>
    </row>
    <row r="39" spans="1:7" ht="15.75">
      <c r="A39" s="316"/>
      <c r="B39" s="319"/>
      <c r="C39" s="410"/>
      <c r="D39" s="411"/>
      <c r="E39" s="410"/>
      <c r="F39" s="411"/>
      <c r="G39" s="173"/>
    </row>
    <row r="40" spans="1:7" ht="15.75">
      <c r="A40" s="316"/>
      <c r="B40" s="319"/>
      <c r="C40" s="410"/>
      <c r="D40" s="411"/>
      <c r="E40" s="410"/>
      <c r="F40" s="411"/>
      <c r="G40" s="173"/>
    </row>
    <row r="41" spans="1:7" ht="15.75">
      <c r="A41" s="316"/>
      <c r="B41" s="319"/>
      <c r="C41" s="410"/>
      <c r="D41" s="411"/>
      <c r="E41" s="410"/>
      <c r="F41" s="411"/>
      <c r="G41" s="173"/>
    </row>
    <row r="42" spans="1:7" ht="15.75">
      <c r="A42" s="316"/>
      <c r="B42" s="319"/>
      <c r="C42" s="410"/>
      <c r="D42" s="411"/>
      <c r="E42" s="410"/>
      <c r="F42" s="411"/>
      <c r="G42" s="173"/>
    </row>
    <row r="43" spans="1:7" ht="15.75">
      <c r="A43" s="316"/>
      <c r="B43" s="319"/>
      <c r="C43" s="410"/>
      <c r="D43" s="411"/>
      <c r="E43" s="410"/>
      <c r="F43" s="411"/>
      <c r="G43" s="173"/>
    </row>
    <row r="44" spans="1:7" ht="15.75">
      <c r="A44" s="316"/>
      <c r="B44" s="319"/>
      <c r="C44" s="410"/>
      <c r="D44" s="411"/>
      <c r="E44" s="410"/>
      <c r="F44" s="411"/>
      <c r="G44" s="173"/>
    </row>
    <row r="45" spans="1:7" ht="15.75">
      <c r="A45" s="316"/>
      <c r="B45" s="319"/>
      <c r="C45" s="410"/>
      <c r="D45" s="411"/>
      <c r="E45" s="410"/>
      <c r="F45" s="411"/>
      <c r="G45" s="173"/>
    </row>
    <row r="46" spans="1:7" ht="15.75">
      <c r="A46" s="316"/>
      <c r="B46" s="319"/>
      <c r="C46" s="410"/>
      <c r="D46" s="411"/>
      <c r="E46" s="410"/>
      <c r="F46" s="411"/>
      <c r="G46" s="173"/>
    </row>
    <row r="47" spans="1:7" ht="15.75">
      <c r="A47" s="316"/>
      <c r="B47" s="319"/>
      <c r="C47" s="410"/>
      <c r="D47" s="411"/>
      <c r="E47" s="410"/>
      <c r="F47" s="411"/>
      <c r="G47" s="173"/>
    </row>
    <row r="48" spans="1:7" ht="15.75">
      <c r="A48" s="316"/>
      <c r="B48" s="319"/>
      <c r="C48" s="410"/>
      <c r="D48" s="411"/>
      <c r="E48" s="410"/>
      <c r="F48" s="411"/>
      <c r="G48" s="173"/>
    </row>
    <row r="49" spans="1:7" ht="15.75">
      <c r="A49" s="316"/>
      <c r="B49" s="319"/>
      <c r="C49" s="410"/>
      <c r="D49" s="411"/>
      <c r="E49" s="410"/>
      <c r="F49" s="411"/>
      <c r="G49" s="173"/>
    </row>
    <row r="50" spans="1:7" ht="15.75">
      <c r="A50" s="316"/>
      <c r="B50" s="319"/>
      <c r="C50" s="410"/>
      <c r="D50" s="411"/>
      <c r="E50" s="410"/>
      <c r="F50" s="411"/>
      <c r="G50" s="173"/>
    </row>
    <row r="51" spans="1:7" ht="15.75">
      <c r="A51" s="50" t="s">
        <v>264</v>
      </c>
      <c r="B51" s="318"/>
      <c r="C51" s="476"/>
      <c r="D51" s="477"/>
      <c r="E51" s="476"/>
      <c r="F51" s="477"/>
      <c r="G51" s="271">
        <f>Nhood!E8</f>
      </c>
    </row>
    <row r="52" spans="1:7" ht="15.75">
      <c r="A52" s="50" t="s">
        <v>261</v>
      </c>
      <c r="B52" s="318"/>
      <c r="C52" s="476"/>
      <c r="D52" s="477"/>
      <c r="E52" s="476"/>
      <c r="F52" s="477"/>
      <c r="G52" s="317"/>
    </row>
    <row r="53" spans="1:7" ht="15.75">
      <c r="A53" s="50" t="s">
        <v>263</v>
      </c>
      <c r="B53" s="318"/>
      <c r="C53" s="458">
        <f>IF(C54*0.1&lt;C52,"Exceed 10% Rule","")</f>
      </c>
      <c r="D53" s="459"/>
      <c r="E53" s="458">
        <f>IF(E54*0.1&lt;E52,"Exceed 10% Rule","")</f>
      </c>
      <c r="F53" s="459"/>
      <c r="G53" s="342">
        <f>IF(G54*0.1&lt;G52,"Exceed 10% Rule","")</f>
      </c>
    </row>
    <row r="54" spans="1:7" ht="15.75">
      <c r="A54" s="178" t="s">
        <v>53</v>
      </c>
      <c r="B54" s="318"/>
      <c r="C54" s="484">
        <f>SUM(C33:C52)</f>
        <v>0</v>
      </c>
      <c r="D54" s="485"/>
      <c r="E54" s="484">
        <f>SUM(E33:E52)</f>
        <v>0</v>
      </c>
      <c r="F54" s="486"/>
      <c r="G54" s="278">
        <f>SUM(G33:G52)</f>
        <v>0</v>
      </c>
    </row>
    <row r="55" spans="1:7" ht="15.75">
      <c r="A55" s="148" t="s">
        <v>145</v>
      </c>
      <c r="B55" s="318"/>
      <c r="C55" s="487">
        <f>C31-C54</f>
        <v>0</v>
      </c>
      <c r="D55" s="488"/>
      <c r="E55" s="487">
        <f>E31-E54</f>
        <v>0</v>
      </c>
      <c r="F55" s="488"/>
      <c r="G55" s="176" t="s">
        <v>35</v>
      </c>
    </row>
    <row r="56" spans="1:8" ht="15.75">
      <c r="A56" s="80" t="str">
        <f>CONCATENATE("",G1-2,"/",G1-1," Budget Authority Amount:")</f>
        <v>2010/2011 Budget Authority Amount:</v>
      </c>
      <c r="B56" s="326">
        <f>inputOth!B43</f>
        <v>0</v>
      </c>
      <c r="C56" s="155">
        <f>inputPrYr!D19</f>
        <v>0</v>
      </c>
      <c r="D56" s="473" t="s">
        <v>318</v>
      </c>
      <c r="E56" s="474"/>
      <c r="F56" s="47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66" t="s">
        <v>319</v>
      </c>
      <c r="F57" s="467"/>
      <c r="G57" s="49">
        <f>G54+G56</f>
        <v>0</v>
      </c>
    </row>
    <row r="58" spans="1:7" ht="15.75">
      <c r="A58" s="80" t="str">
        <f>CONCATENATE("Possible Cash Violation for ",G1-2,":")</f>
        <v>Possible Cash Violation for 2010:</v>
      </c>
      <c r="B58" s="327" t="str">
        <f>IF(C55&lt;0,"Yes","No")</f>
        <v>No</v>
      </c>
      <c r="C58" s="32"/>
      <c r="D58" s="32"/>
      <c r="E58" s="466" t="s">
        <v>54</v>
      </c>
      <c r="F58" s="467"/>
      <c r="G58" s="276">
        <f>IF(G57-G31&gt;0,G57-G31,0)</f>
        <v>0</v>
      </c>
    </row>
    <row r="59" spans="1:7" ht="15.75">
      <c r="A59" s="81"/>
      <c r="B59" s="81"/>
      <c r="C59" s="81"/>
      <c r="D59" s="468" t="s">
        <v>320</v>
      </c>
      <c r="E59" s="469"/>
      <c r="F59" s="403">
        <f>inputOth!$E$36</f>
        <v>0.01</v>
      </c>
      <c r="G59" s="49">
        <f>ROUND(IF(F59&gt;0,(G58*F59),0),0)</f>
        <v>0</v>
      </c>
    </row>
    <row r="60" spans="1:7" ht="15.75">
      <c r="A60" s="32"/>
      <c r="B60" s="32"/>
      <c r="C60" s="470" t="str">
        <f>CONCATENATE("Amount of  ",$G$1-1," Ad Valorem Tax")</f>
        <v>Amount of  2011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6:F56"/>
    <mergeCell ref="E42:F42"/>
    <mergeCell ref="E43:F43"/>
    <mergeCell ref="E44:F44"/>
    <mergeCell ref="E50:F50"/>
    <mergeCell ref="E45:F45"/>
    <mergeCell ref="E46:F46"/>
    <mergeCell ref="E47:F47"/>
    <mergeCell ref="E48:F48"/>
    <mergeCell ref="C43:D43"/>
    <mergeCell ref="E57:F57"/>
    <mergeCell ref="E58:F58"/>
    <mergeCell ref="D59:E59"/>
    <mergeCell ref="C60:F60"/>
    <mergeCell ref="E41:F41"/>
    <mergeCell ref="E26:F26"/>
    <mergeCell ref="E27:F27"/>
    <mergeCell ref="E40:F40"/>
    <mergeCell ref="E39:F39"/>
    <mergeCell ref="E49:F49"/>
    <mergeCell ref="E12:F12"/>
    <mergeCell ref="E13:F13"/>
    <mergeCell ref="E14:F14"/>
    <mergeCell ref="E15:F15"/>
    <mergeCell ref="E22:F22"/>
    <mergeCell ref="E23:F23"/>
    <mergeCell ref="E17:F17"/>
    <mergeCell ref="E18:F18"/>
    <mergeCell ref="E19:F19"/>
    <mergeCell ref="C49:D49"/>
    <mergeCell ref="C20:D20"/>
    <mergeCell ref="C25:D25"/>
    <mergeCell ref="C26:D26"/>
    <mergeCell ref="C27:D27"/>
    <mergeCell ref="C41:D41"/>
    <mergeCell ref="C42:D42"/>
    <mergeCell ref="C50:D50"/>
    <mergeCell ref="E33:F33"/>
    <mergeCell ref="E34:F34"/>
    <mergeCell ref="E35:F35"/>
    <mergeCell ref="E36:F36"/>
    <mergeCell ref="E37:F37"/>
    <mergeCell ref="E38:F38"/>
    <mergeCell ref="C45:D45"/>
    <mergeCell ref="C46:D46"/>
    <mergeCell ref="C47:D47"/>
    <mergeCell ref="C48:D48"/>
    <mergeCell ref="C33:D33"/>
    <mergeCell ref="C34:D34"/>
    <mergeCell ref="C35:D35"/>
    <mergeCell ref="C36:D36"/>
    <mergeCell ref="C37:D37"/>
    <mergeCell ref="C38:D38"/>
    <mergeCell ref="C39:D39"/>
    <mergeCell ref="C40:D40"/>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44:D44"/>
    <mergeCell ref="C31:D31"/>
    <mergeCell ref="C5:D5"/>
    <mergeCell ref="C6:D6"/>
    <mergeCell ref="E5:F5"/>
    <mergeCell ref="E6:F6"/>
    <mergeCell ref="C10:D10"/>
    <mergeCell ref="C11:D11"/>
    <mergeCell ref="E9:F9"/>
    <mergeCell ref="C7:D7"/>
    <mergeCell ref="C8:D8"/>
    <mergeCell ref="C9:D9"/>
    <mergeCell ref="E7:F7"/>
    <mergeCell ref="E8:F8"/>
    <mergeCell ref="E10:F10"/>
    <mergeCell ref="E11:F11"/>
    <mergeCell ref="C12:D12"/>
    <mergeCell ref="C22:D22"/>
    <mergeCell ref="C13:D13"/>
    <mergeCell ref="C14:D14"/>
    <mergeCell ref="C18:D18"/>
    <mergeCell ref="C19:D19"/>
    <mergeCell ref="C17:D17"/>
    <mergeCell ref="C23:D23"/>
    <mergeCell ref="C24:D24"/>
    <mergeCell ref="C28:D28"/>
    <mergeCell ref="E28:F28"/>
    <mergeCell ref="E24:F24"/>
    <mergeCell ref="E25:F25"/>
    <mergeCell ref="E16:F16"/>
    <mergeCell ref="C21:D21"/>
    <mergeCell ref="C15:D15"/>
    <mergeCell ref="C16:D16"/>
    <mergeCell ref="E20:F20"/>
    <mergeCell ref="E21:F21"/>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Cherry Cemetery District No. 15</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2012</v>
      </c>
    </row>
    <row r="4" spans="1:7" ht="15.75">
      <c r="A4" s="32"/>
      <c r="B4" s="32"/>
      <c r="C4" s="37"/>
      <c r="D4" s="37"/>
      <c r="E4" s="37"/>
      <c r="F4" s="37"/>
      <c r="G4" s="37"/>
    </row>
    <row r="5" spans="1:7" ht="15.75">
      <c r="A5" s="35" t="s">
        <v>43</v>
      </c>
      <c r="B5" s="35"/>
      <c r="C5" s="456" t="s">
        <v>315</v>
      </c>
      <c r="D5" s="457"/>
      <c r="E5" s="415" t="s">
        <v>314</v>
      </c>
      <c r="F5" s="407"/>
      <c r="G5" s="78" t="s">
        <v>313</v>
      </c>
    </row>
    <row r="6" spans="1:7" ht="15.75">
      <c r="A6" s="55">
        <f>inputPrYr!B21</f>
        <v>0</v>
      </c>
      <c r="B6" s="55"/>
      <c r="C6" s="408" t="str">
        <f>CONCATENATE("Actual ",$H$3-2,"")</f>
        <v>Actual 2010</v>
      </c>
      <c r="D6" s="409"/>
      <c r="E6" s="408" t="str">
        <f>CONCATENATE("Estimate ",H3-1,"")</f>
        <v>Estimate 2011</v>
      </c>
      <c r="F6" s="409"/>
      <c r="G6" s="181" t="str">
        <f>CONCATENATE("Year ",H3,"")</f>
        <v>Year 2012</v>
      </c>
    </row>
    <row r="7" spans="1:7" ht="15.75">
      <c r="A7" s="48" t="s">
        <v>144</v>
      </c>
      <c r="B7" s="309"/>
      <c r="C7" s="410"/>
      <c r="D7" s="411"/>
      <c r="E7" s="412">
        <f>C32</f>
        <v>0</v>
      </c>
      <c r="F7" s="453"/>
      <c r="G7" s="49">
        <f>E32</f>
        <v>0</v>
      </c>
    </row>
    <row r="8" spans="1:7" ht="15.75">
      <c r="A8" s="308" t="s">
        <v>146</v>
      </c>
      <c r="B8" s="309"/>
      <c r="C8" s="413"/>
      <c r="D8" s="414"/>
      <c r="E8" s="413"/>
      <c r="F8" s="414"/>
      <c r="G8" s="51"/>
    </row>
    <row r="9" spans="1:7" ht="15.75">
      <c r="A9" s="48" t="s">
        <v>44</v>
      </c>
      <c r="B9" s="309"/>
      <c r="C9" s="410"/>
      <c r="D9" s="411"/>
      <c r="E9" s="413">
        <f>inputPrYr!E21</f>
        <v>0</v>
      </c>
      <c r="F9" s="414"/>
      <c r="G9" s="52" t="s">
        <v>35</v>
      </c>
    </row>
    <row r="10" spans="1:7" ht="15.75">
      <c r="A10" s="48" t="s">
        <v>45</v>
      </c>
      <c r="B10" s="309"/>
      <c r="C10" s="410"/>
      <c r="D10" s="411"/>
      <c r="E10" s="410"/>
      <c r="F10" s="411"/>
      <c r="G10" s="20"/>
    </row>
    <row r="11" spans="1:7" ht="15.75">
      <c r="A11" s="48" t="s">
        <v>46</v>
      </c>
      <c r="B11" s="309"/>
      <c r="C11" s="410"/>
      <c r="D11" s="411"/>
      <c r="E11" s="410"/>
      <c r="F11" s="411"/>
      <c r="G11" s="51">
        <f>mvalloc!D13</f>
        <v>0</v>
      </c>
    </row>
    <row r="12" spans="1:7" ht="15.75">
      <c r="A12" s="48" t="s">
        <v>47</v>
      </c>
      <c r="B12" s="309"/>
      <c r="C12" s="410"/>
      <c r="D12" s="411"/>
      <c r="E12" s="410"/>
      <c r="F12" s="411"/>
      <c r="G12" s="51">
        <f>mvalloc!E13</f>
        <v>0</v>
      </c>
    </row>
    <row r="13" spans="1:7" ht="15.75">
      <c r="A13" s="311" t="s">
        <v>128</v>
      </c>
      <c r="B13" s="309"/>
      <c r="C13" s="410"/>
      <c r="D13" s="411"/>
      <c r="E13" s="410"/>
      <c r="F13" s="411"/>
      <c r="G13" s="51">
        <f>mvalloc!F13</f>
        <v>0</v>
      </c>
    </row>
    <row r="14" spans="1:7" ht="15.75">
      <c r="A14" s="311" t="s">
        <v>186</v>
      </c>
      <c r="B14" s="309"/>
      <c r="C14" s="410"/>
      <c r="D14" s="411"/>
      <c r="E14" s="410"/>
      <c r="F14" s="411"/>
      <c r="G14" s="51">
        <f>mvalloc!G13</f>
        <v>0</v>
      </c>
    </row>
    <row r="15" spans="1:7" ht="15.75">
      <c r="A15" s="305"/>
      <c r="B15" s="310"/>
      <c r="C15" s="410"/>
      <c r="D15" s="411"/>
      <c r="E15" s="410"/>
      <c r="F15" s="411"/>
      <c r="G15" s="20"/>
    </row>
    <row r="16" spans="1:7" ht="15.75">
      <c r="A16" s="305"/>
      <c r="B16" s="310"/>
      <c r="C16" s="410"/>
      <c r="D16" s="411"/>
      <c r="E16" s="410"/>
      <c r="F16" s="411"/>
      <c r="G16" s="20"/>
    </row>
    <row r="17" spans="1:7" ht="15.75">
      <c r="A17" s="306" t="s">
        <v>49</v>
      </c>
      <c r="B17" s="310"/>
      <c r="C17" s="410"/>
      <c r="D17" s="411"/>
      <c r="E17" s="410"/>
      <c r="F17" s="411"/>
      <c r="G17" s="20"/>
    </row>
    <row r="18" spans="1:7" ht="15.75">
      <c r="A18" s="341" t="s">
        <v>261</v>
      </c>
      <c r="B18" s="318"/>
      <c r="C18" s="410"/>
      <c r="D18" s="411"/>
      <c r="E18" s="410"/>
      <c r="F18" s="411"/>
      <c r="G18" s="352"/>
    </row>
    <row r="19" spans="1:7" ht="15.75">
      <c r="A19" s="341" t="s">
        <v>262</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10"/>
      <c r="D23" s="411"/>
      <c r="E23" s="410"/>
      <c r="F23" s="411"/>
      <c r="G23" s="20"/>
    </row>
    <row r="24" spans="1:7" ht="15.75">
      <c r="A24" s="305"/>
      <c r="B24" s="310"/>
      <c r="C24" s="410"/>
      <c r="D24" s="411"/>
      <c r="E24" s="410"/>
      <c r="F24" s="411"/>
      <c r="G24" s="20"/>
    </row>
    <row r="25" spans="1:7" ht="15.75">
      <c r="A25" s="305"/>
      <c r="B25" s="310"/>
      <c r="C25" s="410"/>
      <c r="D25" s="411"/>
      <c r="E25" s="410"/>
      <c r="F25" s="411"/>
      <c r="G25" s="20"/>
    </row>
    <row r="26" spans="1:7" ht="15.75">
      <c r="A26" s="305"/>
      <c r="B26" s="310"/>
      <c r="C26" s="410"/>
      <c r="D26" s="411"/>
      <c r="E26" s="410"/>
      <c r="F26" s="411"/>
      <c r="G26" s="20"/>
    </row>
    <row r="27" spans="1:7" ht="15.75">
      <c r="A27" s="305"/>
      <c r="B27" s="310"/>
      <c r="C27" s="410"/>
      <c r="D27" s="411"/>
      <c r="E27" s="410"/>
      <c r="F27" s="411"/>
      <c r="G27" s="20"/>
    </row>
    <row r="28" spans="1:7" ht="15.75">
      <c r="A28" s="50" t="s">
        <v>264</v>
      </c>
      <c r="B28" s="318"/>
      <c r="C28" s="410"/>
      <c r="D28" s="411"/>
      <c r="E28" s="410"/>
      <c r="F28" s="411"/>
      <c r="G28" s="273">
        <f>Nhood!E9</f>
      </c>
    </row>
    <row r="29" spans="1:7" ht="15.75">
      <c r="A29" s="50" t="s">
        <v>261</v>
      </c>
      <c r="B29" s="318"/>
      <c r="C29" s="454"/>
      <c r="D29" s="455"/>
      <c r="E29" s="454"/>
      <c r="F29" s="455"/>
      <c r="G29" s="307"/>
    </row>
    <row r="30" spans="1:7" ht="15.75">
      <c r="A30" s="50" t="s">
        <v>263</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73" t="s">
        <v>318</v>
      </c>
      <c r="E33" s="474"/>
      <c r="F33" s="47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66" t="s">
        <v>319</v>
      </c>
      <c r="F34" s="467"/>
      <c r="G34" s="51">
        <f>G31+G33</f>
        <v>0</v>
      </c>
    </row>
    <row r="35" spans="1:7" ht="15.75">
      <c r="A35" s="80" t="str">
        <f>CONCATENATE("Possible Cash Violation for ",H3-2,":")</f>
        <v>Possible Cash Violation for 2010:</v>
      </c>
      <c r="B35" s="327" t="str">
        <f>IF(C32&lt;0,"Yes","No")</f>
        <v>No</v>
      </c>
      <c r="C35" s="32"/>
      <c r="D35" s="32"/>
      <c r="E35" s="466" t="s">
        <v>54</v>
      </c>
      <c r="F35" s="467"/>
      <c r="G35" s="273">
        <f>IF(G34-G21&gt;0,G34-G21,0)</f>
        <v>0</v>
      </c>
    </row>
    <row r="36" spans="1:7" ht="15.75">
      <c r="A36" s="81"/>
      <c r="B36" s="81"/>
      <c r="C36" s="81"/>
      <c r="D36" s="468" t="s">
        <v>320</v>
      </c>
      <c r="E36" s="469"/>
      <c r="F36" s="403">
        <f>inputOth!$E$36</f>
        <v>0.01</v>
      </c>
      <c r="G36" s="51">
        <f>ROUND(IF(F36&gt;0,(G35*F36),0),0)</f>
        <v>0</v>
      </c>
    </row>
    <row r="37" spans="1:7" ht="15.75">
      <c r="A37" s="32"/>
      <c r="B37" s="32"/>
      <c r="C37" s="470" t="str">
        <f>CONCATENATE("Amount of  ",$H$3-1," Ad Valorem Tax")</f>
        <v>Amount of  2011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56" t="s">
        <v>315</v>
      </c>
      <c r="D40" s="457"/>
      <c r="E40" s="415" t="s">
        <v>316</v>
      </c>
      <c r="F40" s="407"/>
      <c r="G40" s="78" t="s">
        <v>313</v>
      </c>
    </row>
    <row r="41" spans="1:7" ht="15.75" customHeight="1">
      <c r="A41" s="55">
        <f>inputPrYr!B22</f>
        <v>0</v>
      </c>
      <c r="B41" s="55"/>
      <c r="C41" s="408" t="str">
        <f>C6</f>
        <v>Actual 2010</v>
      </c>
      <c r="D41" s="409"/>
      <c r="E41" s="408" t="str">
        <f>E6</f>
        <v>Estimate 2011</v>
      </c>
      <c r="F41" s="409"/>
      <c r="G41" s="181" t="str">
        <f>G6</f>
        <v>Year 2012</v>
      </c>
    </row>
    <row r="42" spans="1:7" ht="15.75">
      <c r="A42" s="48" t="s">
        <v>144</v>
      </c>
      <c r="B42" s="309"/>
      <c r="C42" s="410"/>
      <c r="D42" s="411"/>
      <c r="E42" s="412">
        <f>C67</f>
        <v>0</v>
      </c>
      <c r="F42" s="453"/>
      <c r="G42" s="49">
        <f>E67</f>
        <v>0</v>
      </c>
    </row>
    <row r="43" spans="1:7" ht="15.75">
      <c r="A43" s="308" t="s">
        <v>146</v>
      </c>
      <c r="B43" s="309"/>
      <c r="C43" s="413"/>
      <c r="D43" s="414"/>
      <c r="E43" s="413"/>
      <c r="F43" s="414"/>
      <c r="G43" s="51"/>
    </row>
    <row r="44" spans="1:7" ht="15.75">
      <c r="A44" s="48" t="s">
        <v>44</v>
      </c>
      <c r="B44" s="309"/>
      <c r="C44" s="410"/>
      <c r="D44" s="411"/>
      <c r="E44" s="413">
        <f>inputPrYr!E22</f>
        <v>0</v>
      </c>
      <c r="F44" s="414"/>
      <c r="G44" s="52" t="s">
        <v>35</v>
      </c>
    </row>
    <row r="45" spans="1:7" ht="15.75">
      <c r="A45" s="48" t="s">
        <v>45</v>
      </c>
      <c r="B45" s="309"/>
      <c r="C45" s="410"/>
      <c r="D45" s="411"/>
      <c r="E45" s="410"/>
      <c r="F45" s="411"/>
      <c r="G45" s="20"/>
    </row>
    <row r="46" spans="1:7" ht="15.75">
      <c r="A46" s="48" t="s">
        <v>46</v>
      </c>
      <c r="B46" s="309"/>
      <c r="C46" s="410"/>
      <c r="D46" s="411"/>
      <c r="E46" s="410"/>
      <c r="F46" s="411"/>
      <c r="G46" s="49">
        <f>mvalloc!D14</f>
        <v>0</v>
      </c>
    </row>
    <row r="47" spans="1:7" ht="15.75">
      <c r="A47" s="48" t="s">
        <v>47</v>
      </c>
      <c r="B47" s="309"/>
      <c r="C47" s="410"/>
      <c r="D47" s="411"/>
      <c r="E47" s="410"/>
      <c r="F47" s="411"/>
      <c r="G47" s="49">
        <f>mvalloc!E14</f>
        <v>0</v>
      </c>
    </row>
    <row r="48" spans="1:7" ht="15.75">
      <c r="A48" s="311" t="s">
        <v>128</v>
      </c>
      <c r="B48" s="309"/>
      <c r="C48" s="410"/>
      <c r="D48" s="411"/>
      <c r="E48" s="410"/>
      <c r="F48" s="411"/>
      <c r="G48" s="49">
        <f>mvalloc!F14</f>
        <v>0</v>
      </c>
    </row>
    <row r="49" spans="1:7" ht="15.75">
      <c r="A49" s="311" t="s">
        <v>186</v>
      </c>
      <c r="B49" s="309"/>
      <c r="C49" s="410"/>
      <c r="D49" s="411"/>
      <c r="E49" s="410"/>
      <c r="F49" s="411"/>
      <c r="G49" s="49">
        <f>mvalloc!G14</f>
        <v>0</v>
      </c>
    </row>
    <row r="50" spans="1:7" ht="15.75">
      <c r="A50" s="305"/>
      <c r="B50" s="310"/>
      <c r="C50" s="410"/>
      <c r="D50" s="411"/>
      <c r="E50" s="410"/>
      <c r="F50" s="411"/>
      <c r="G50" s="20"/>
    </row>
    <row r="51" spans="1:7" ht="15.75">
      <c r="A51" s="305"/>
      <c r="B51" s="310"/>
      <c r="C51" s="410"/>
      <c r="D51" s="411"/>
      <c r="E51" s="410"/>
      <c r="F51" s="411"/>
      <c r="G51" s="20"/>
    </row>
    <row r="52" spans="1:7" ht="15.75">
      <c r="A52" s="306" t="s">
        <v>49</v>
      </c>
      <c r="B52" s="310"/>
      <c r="C52" s="410"/>
      <c r="D52" s="411"/>
      <c r="E52" s="410"/>
      <c r="F52" s="411"/>
      <c r="G52" s="20"/>
    </row>
    <row r="53" spans="1:7" ht="15.75">
      <c r="A53" s="341" t="s">
        <v>261</v>
      </c>
      <c r="B53" s="318"/>
      <c r="C53" s="454"/>
      <c r="D53" s="455"/>
      <c r="E53" s="454"/>
      <c r="F53" s="455"/>
      <c r="G53" s="307"/>
    </row>
    <row r="54" spans="1:7" ht="15.75">
      <c r="A54" s="341" t="s">
        <v>262</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10"/>
      <c r="D58" s="411"/>
      <c r="E58" s="410"/>
      <c r="F58" s="411"/>
      <c r="G58" s="20"/>
    </row>
    <row r="59" spans="1:7" ht="15.75">
      <c r="A59" s="305"/>
      <c r="B59" s="310"/>
      <c r="C59" s="410"/>
      <c r="D59" s="411"/>
      <c r="E59" s="410"/>
      <c r="F59" s="411"/>
      <c r="G59" s="20"/>
    </row>
    <row r="60" spans="1:7" ht="15.75">
      <c r="A60" s="305"/>
      <c r="B60" s="310"/>
      <c r="C60" s="410"/>
      <c r="D60" s="411"/>
      <c r="E60" s="410"/>
      <c r="F60" s="411"/>
      <c r="G60" s="20"/>
    </row>
    <row r="61" spans="1:7" ht="15.75">
      <c r="A61" s="305"/>
      <c r="B61" s="310"/>
      <c r="C61" s="410"/>
      <c r="D61" s="411"/>
      <c r="E61" s="410"/>
      <c r="F61" s="411"/>
      <c r="G61" s="20"/>
    </row>
    <row r="62" spans="1:7" ht="15.75">
      <c r="A62" s="305"/>
      <c r="B62" s="310"/>
      <c r="C62" s="410"/>
      <c r="D62" s="411"/>
      <c r="E62" s="410"/>
      <c r="F62" s="411"/>
      <c r="G62" s="20"/>
    </row>
    <row r="63" spans="1:7" ht="15.75">
      <c r="A63" s="50" t="s">
        <v>264</v>
      </c>
      <c r="B63" s="318"/>
      <c r="C63" s="410"/>
      <c r="D63" s="411"/>
      <c r="E63" s="410"/>
      <c r="F63" s="411"/>
      <c r="G63" s="273">
        <f>Nhood!E10</f>
      </c>
    </row>
    <row r="64" spans="1:7" ht="15.75">
      <c r="A64" s="50" t="s">
        <v>261</v>
      </c>
      <c r="B64" s="318"/>
      <c r="C64" s="454"/>
      <c r="D64" s="455"/>
      <c r="E64" s="454"/>
      <c r="F64" s="455"/>
      <c r="G64" s="307"/>
    </row>
    <row r="65" spans="1:7" ht="15.75">
      <c r="A65" s="50" t="s">
        <v>263</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73" t="s">
        <v>318</v>
      </c>
      <c r="E68" s="474"/>
      <c r="F68" s="47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66" t="s">
        <v>319</v>
      </c>
      <c r="F69" s="467"/>
      <c r="G69" s="51">
        <f>G66+G68</f>
        <v>0</v>
      </c>
    </row>
    <row r="70" spans="1:7" ht="15.75">
      <c r="A70" s="80" t="str">
        <f>CONCATENATE("Possible Cash Violation for ",H3-2,":")</f>
        <v>Possible Cash Violation for 2010:</v>
      </c>
      <c r="B70" s="327" t="str">
        <f>IF(C67&lt;0,"Yes","No")</f>
        <v>No</v>
      </c>
      <c r="C70" s="32"/>
      <c r="D70" s="32"/>
      <c r="E70" s="466" t="s">
        <v>54</v>
      </c>
      <c r="F70" s="467"/>
      <c r="G70" s="273">
        <f>IF(G69-G56&gt;0,G69-G56,0)</f>
        <v>0</v>
      </c>
    </row>
    <row r="71" spans="1:7" ht="15.75">
      <c r="A71" s="81"/>
      <c r="B71" s="81"/>
      <c r="C71" s="81"/>
      <c r="D71" s="468" t="s">
        <v>320</v>
      </c>
      <c r="E71" s="469"/>
      <c r="F71" s="403">
        <f>inputOth!$E$36</f>
        <v>0.01</v>
      </c>
      <c r="G71" s="51">
        <f>ROUND(IF(F71&gt;0,(G70*F71),0),0)</f>
        <v>0</v>
      </c>
    </row>
    <row r="72" spans="1:7" ht="15.75">
      <c r="A72" s="32"/>
      <c r="B72" s="32"/>
      <c r="C72" s="470" t="str">
        <f>CONCATENATE("Amount of  ",$H$3-1," Ad Valorem Tax")</f>
        <v>Amount of  2011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72:F72"/>
    <mergeCell ref="D68:F68"/>
    <mergeCell ref="E69:F69"/>
    <mergeCell ref="E70:F70"/>
    <mergeCell ref="D71:E71"/>
    <mergeCell ref="E34:F34"/>
    <mergeCell ref="C30:D30"/>
    <mergeCell ref="E30:F30"/>
    <mergeCell ref="C37:F37"/>
    <mergeCell ref="E35:F35"/>
    <mergeCell ref="D36:E36"/>
    <mergeCell ref="E24:F24"/>
    <mergeCell ref="E27:F27"/>
    <mergeCell ref="C27:D27"/>
    <mergeCell ref="D33:F33"/>
    <mergeCell ref="C28:D28"/>
    <mergeCell ref="E28:F28"/>
    <mergeCell ref="C29:D29"/>
    <mergeCell ref="E29:F29"/>
    <mergeCell ref="C15:D15"/>
    <mergeCell ref="E15:F15"/>
    <mergeCell ref="C16:D16"/>
    <mergeCell ref="E16:F16"/>
    <mergeCell ref="E59:F59"/>
    <mergeCell ref="C62:D62"/>
    <mergeCell ref="E62:F62"/>
    <mergeCell ref="C63:D63"/>
    <mergeCell ref="C59:D59"/>
    <mergeCell ref="E63:F63"/>
    <mergeCell ref="C60:D60"/>
    <mergeCell ref="E60:F60"/>
    <mergeCell ref="C61:D61"/>
    <mergeCell ref="E61:F61"/>
    <mergeCell ref="C67:D67"/>
    <mergeCell ref="E65:F65"/>
    <mergeCell ref="E66:F66"/>
    <mergeCell ref="E67:F67"/>
    <mergeCell ref="C64:D64"/>
    <mergeCell ref="E64:F64"/>
    <mergeCell ref="C65:D65"/>
    <mergeCell ref="C66:D66"/>
    <mergeCell ref="E55:F55"/>
    <mergeCell ref="E56:F56"/>
    <mergeCell ref="E57:F57"/>
    <mergeCell ref="C58:D58"/>
    <mergeCell ref="E58:F58"/>
    <mergeCell ref="C44:D44"/>
    <mergeCell ref="C55:D55"/>
    <mergeCell ref="C56:D56"/>
    <mergeCell ref="C57:D57"/>
    <mergeCell ref="C48:D48"/>
    <mergeCell ref="C54:D54"/>
    <mergeCell ref="C49:D49"/>
    <mergeCell ref="C50:D50"/>
    <mergeCell ref="C51:D51"/>
    <mergeCell ref="C52:D52"/>
    <mergeCell ref="E54:F54"/>
    <mergeCell ref="C42:D42"/>
    <mergeCell ref="E42:F42"/>
    <mergeCell ref="E43:F43"/>
    <mergeCell ref="E44:F44"/>
    <mergeCell ref="C43:D43"/>
    <mergeCell ref="E47:F47"/>
    <mergeCell ref="E48:F48"/>
    <mergeCell ref="C45:D45"/>
    <mergeCell ref="C53:D53"/>
    <mergeCell ref="C40:D40"/>
    <mergeCell ref="C41:D41"/>
    <mergeCell ref="E40:F40"/>
    <mergeCell ref="E41:F41"/>
    <mergeCell ref="E53:F53"/>
    <mergeCell ref="E45:F45"/>
    <mergeCell ref="C46:D46"/>
    <mergeCell ref="E46:F46"/>
    <mergeCell ref="C47:D47"/>
    <mergeCell ref="E49:F49"/>
    <mergeCell ref="E50:F50"/>
    <mergeCell ref="E51:F51"/>
    <mergeCell ref="E52:F52"/>
    <mergeCell ref="E26:F26"/>
    <mergeCell ref="C23:D23"/>
    <mergeCell ref="E23:F23"/>
    <mergeCell ref="C24:D24"/>
    <mergeCell ref="C25:D25"/>
    <mergeCell ref="E25:F25"/>
    <mergeCell ref="C26:D26"/>
    <mergeCell ref="C31:D31"/>
    <mergeCell ref="C32:D32"/>
    <mergeCell ref="E31:F31"/>
    <mergeCell ref="E32:F32"/>
    <mergeCell ref="C19:D19"/>
    <mergeCell ref="E19:F19"/>
    <mergeCell ref="C21:D21"/>
    <mergeCell ref="C22:D22"/>
    <mergeCell ref="E20:F20"/>
    <mergeCell ref="E21:F21"/>
    <mergeCell ref="E22:F22"/>
    <mergeCell ref="C20:D20"/>
    <mergeCell ref="C17:D17"/>
    <mergeCell ref="E17:F17"/>
    <mergeCell ref="C18:D18"/>
    <mergeCell ref="E18:F18"/>
    <mergeCell ref="E13:F13"/>
    <mergeCell ref="C14:D14"/>
    <mergeCell ref="E14:F14"/>
    <mergeCell ref="C9:D9"/>
    <mergeCell ref="E12:F12"/>
    <mergeCell ref="C13:D13"/>
    <mergeCell ref="C10:D10"/>
    <mergeCell ref="E10:F10"/>
    <mergeCell ref="C11:D11"/>
    <mergeCell ref="E11:F11"/>
    <mergeCell ref="E9:F9"/>
    <mergeCell ref="C12:D12"/>
    <mergeCell ref="E5:F5"/>
    <mergeCell ref="E6:F6"/>
    <mergeCell ref="C5:D5"/>
    <mergeCell ref="C6:D6"/>
    <mergeCell ref="C7:D7"/>
    <mergeCell ref="C8:D8"/>
    <mergeCell ref="E7:F7"/>
    <mergeCell ref="E8:F8"/>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Cherry Cemetery District No. 15</v>
      </c>
      <c r="B1" s="32"/>
      <c r="C1" s="83"/>
      <c r="D1" s="32"/>
      <c r="E1" s="140"/>
    </row>
    <row r="2" spans="1:5" ht="15.75">
      <c r="A2" s="32" t="str">
        <f>inputPrYr!D4</f>
        <v>Montgomery</v>
      </c>
      <c r="B2" s="32"/>
      <c r="C2" s="83"/>
      <c r="D2" s="32"/>
      <c r="E2" s="80"/>
    </row>
    <row r="3" spans="1:6" ht="15.75">
      <c r="A3" s="74" t="s">
        <v>101</v>
      </c>
      <c r="B3" s="74"/>
      <c r="C3" s="83"/>
      <c r="D3" s="83"/>
      <c r="E3" s="84"/>
      <c r="F3" s="1">
        <f>inputPrYr!$D$6</f>
        <v>2012</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2010</v>
      </c>
      <c r="D39" s="181" t="str">
        <f>D6</f>
        <v>Estimate 2011</v>
      </c>
      <c r="E39" s="181" t="str">
        <f>E6</f>
        <v>Year 2012</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Cherry Cemetery District No. 15</v>
      </c>
      <c r="B1" s="359"/>
      <c r="C1" s="60"/>
      <c r="D1" s="60"/>
      <c r="E1" s="60"/>
      <c r="F1" s="360" t="s">
        <v>300</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2">
      <selection activeCell="A10" sqref="A10"/>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6" t="s">
        <v>102</v>
      </c>
      <c r="B1" s="416"/>
      <c r="C1" s="416"/>
      <c r="D1" s="416"/>
      <c r="E1" s="416"/>
      <c r="F1" s="416"/>
      <c r="G1" s="416"/>
      <c r="H1" s="493"/>
    </row>
    <row r="2" spans="1:8" ht="15.75">
      <c r="A2" s="32"/>
      <c r="B2" s="32"/>
      <c r="C2" s="32"/>
      <c r="D2" s="32"/>
      <c r="E2" s="32"/>
      <c r="F2" s="32"/>
      <c r="G2" s="32"/>
      <c r="H2" s="32"/>
    </row>
    <row r="3" spans="1:9" ht="15.75">
      <c r="A3" s="452" t="s">
        <v>129</v>
      </c>
      <c r="B3" s="452"/>
      <c r="C3" s="452"/>
      <c r="D3" s="452"/>
      <c r="E3" s="452"/>
      <c r="F3" s="452"/>
      <c r="G3" s="452"/>
      <c r="H3" s="452"/>
      <c r="I3" s="64">
        <f>inputPrYr!D6</f>
        <v>2012</v>
      </c>
    </row>
    <row r="4" spans="1:8" ht="15.75">
      <c r="A4" s="443" t="str">
        <f>inputPrYr!D3</f>
        <v>Cherry Cemetery District No. 15</v>
      </c>
      <c r="B4" s="443"/>
      <c r="C4" s="443"/>
      <c r="D4" s="443"/>
      <c r="E4" s="443"/>
      <c r="F4" s="443"/>
      <c r="G4" s="443"/>
      <c r="H4" s="443"/>
    </row>
    <row r="5" spans="1:8" ht="15.75">
      <c r="A5" s="443" t="str">
        <f>inputPrYr!D4</f>
        <v>Montgomery</v>
      </c>
      <c r="B5" s="443"/>
      <c r="C5" s="443"/>
      <c r="D5" s="443"/>
      <c r="E5" s="443"/>
      <c r="F5" s="443"/>
      <c r="G5" s="443"/>
      <c r="H5" s="443"/>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364</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65</v>
      </c>
      <c r="D17" s="43"/>
      <c r="E17" s="66" t="s">
        <v>65</v>
      </c>
      <c r="F17" s="237"/>
      <c r="G17" s="494" t="str">
        <f>CONCATENATE("Amount of ",I3-1," Ad Valorem Tax")</f>
        <v>Amount of 2011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5040</v>
      </c>
      <c r="C19" s="92">
        <f>IF(inputPrYr!D37&gt;0,inputPrYr!D37,"  ")</f>
        <v>0.691</v>
      </c>
      <c r="D19" s="51">
        <f>IF(gen!$E$41&lt;&gt;0,gen!$E$41,"  ")</f>
        <v>5550</v>
      </c>
      <c r="E19" s="92">
        <f>IF(inputOth!D16&gt;0,inputOth!D16,"  ")</f>
        <v>0.881</v>
      </c>
      <c r="F19" s="51">
        <f>IF(gen!$G$41&lt;&gt;0,gen!$G$41,"  ")</f>
        <v>5550</v>
      </c>
      <c r="G19" s="51">
        <f>IF(gen!$G$47&lt;&gt;0,gen!$G$47,"  ")</f>
        <v>4314</v>
      </c>
      <c r="H19" s="92">
        <f>IF(gen!G47&gt;0,ROUND(G19/$F$30*1000,3)," ")</f>
        <v>0.97</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5040</v>
      </c>
      <c r="C26" s="279">
        <f t="shared" si="0"/>
        <v>0.691</v>
      </c>
      <c r="D26" s="273">
        <f t="shared" si="0"/>
        <v>5550</v>
      </c>
      <c r="E26" s="279">
        <f t="shared" si="0"/>
        <v>0.881</v>
      </c>
      <c r="F26" s="273">
        <f t="shared" si="0"/>
        <v>5550</v>
      </c>
      <c r="G26" s="273">
        <f t="shared" si="0"/>
        <v>4314</v>
      </c>
      <c r="H26" s="279">
        <f t="shared" si="0"/>
        <v>0.97</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5040</v>
      </c>
      <c r="C28" s="188"/>
      <c r="D28" s="266">
        <f>SUM(D26-D27)</f>
        <v>5550</v>
      </c>
      <c r="E28" s="188"/>
      <c r="F28" s="280">
        <f>SUM(F26-F27)</f>
        <v>5550</v>
      </c>
      <c r="G28" s="186"/>
      <c r="H28" s="167"/>
    </row>
    <row r="29" spans="1:8" ht="16.5" thickTop="1">
      <c r="A29" s="75" t="s">
        <v>68</v>
      </c>
      <c r="B29" s="402">
        <f>inputPrYr!E43</f>
        <v>3476</v>
      </c>
      <c r="C29" s="237"/>
      <c r="D29" s="402">
        <f>inputPrYr!E23</f>
        <v>3567</v>
      </c>
      <c r="E29" s="237"/>
      <c r="F29" s="254" t="s">
        <v>205</v>
      </c>
      <c r="H29" s="32"/>
    </row>
    <row r="30" spans="1:8" ht="15.75">
      <c r="A30" s="75" t="s">
        <v>201</v>
      </c>
      <c r="B30" s="273">
        <f>inputPrYr!E44</f>
        <v>5028472</v>
      </c>
      <c r="C30" s="237"/>
      <c r="D30" s="273">
        <f>inputOth!E24</f>
        <v>4395857</v>
      </c>
      <c r="E30" s="237"/>
      <c r="F30" s="273">
        <f>inputOth!E7</f>
        <v>4449259</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2009</v>
      </c>
      <c r="C33" s="32"/>
      <c r="D33" s="156">
        <f>I3-2</f>
        <v>2010</v>
      </c>
      <c r="E33" s="32"/>
      <c r="F33" s="156">
        <f>I3-1</f>
        <v>2011</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6">
      <selection activeCell="C30" sqref="C30"/>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Cherry Cemetery District No. 15</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4449259</v>
      </c>
      <c r="E16" s="32"/>
      <c r="F16" s="64"/>
    </row>
    <row r="17" spans="1:6" ht="15.75">
      <c r="A17" s="32"/>
      <c r="B17" s="32"/>
      <c r="C17" s="32"/>
      <c r="D17" s="32"/>
      <c r="E17" s="32"/>
      <c r="F17" s="64"/>
    </row>
    <row r="18" spans="1:6" ht="15.75">
      <c r="A18" s="32"/>
      <c r="B18" s="500" t="s">
        <v>258</v>
      </c>
      <c r="C18" s="500"/>
      <c r="D18" s="335">
        <f>IF(D16&gt;0,(D16*0.001),"")</f>
        <v>4449.259</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K1" sqref="K1"/>
    </sheetView>
  </sheetViews>
  <sheetFormatPr defaultColWidth="9.796875" defaultRowHeight="15"/>
  <cols>
    <col min="1" max="1" width="8.8984375" style="127" customWidth="1"/>
    <col min="2" max="16384" width="9.796875" style="127" customWidth="1"/>
  </cols>
  <sheetData>
    <row r="1" spans="2:8" ht="15.75">
      <c r="B1" s="509" t="s">
        <v>159</v>
      </c>
      <c r="C1" s="509"/>
      <c r="D1" s="509"/>
      <c r="E1" s="509"/>
      <c r="F1" s="509"/>
      <c r="G1" s="509"/>
      <c r="H1" s="509"/>
    </row>
    <row r="2" spans="2:8" ht="15.75">
      <c r="B2" s="131"/>
      <c r="C2"/>
      <c r="D2"/>
      <c r="E2"/>
      <c r="F2"/>
      <c r="G2"/>
      <c r="H2"/>
    </row>
    <row r="3" spans="2:8" ht="15.75">
      <c r="B3" s="510" t="s">
        <v>156</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Cherry Cemetery District No. 15 District with respect to financing the 2012 annual budget for Cherry Cemetery District No. 15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2012 Cherry Cemetery District No. 15 district budget exceed the amount levied to finance the</v>
      </c>
      <c r="C9"/>
      <c r="D9"/>
      <c r="E9"/>
      <c r="F9"/>
      <c r="G9"/>
      <c r="H9"/>
    </row>
    <row r="10" spans="2:8" ht="15.75">
      <c r="B10" s="137" t="str">
        <f>CONCATENATE("",inputPrYr!D6-1," ",inputPrYr!D3," except with regard to revenue produced and attributable to the")</f>
        <v>2011 Cherry Cemetery District No. 15 except with regard to revenue produced and attributable to the</v>
      </c>
      <c r="C10"/>
      <c r="D10"/>
      <c r="E10"/>
      <c r="F10"/>
      <c r="G10"/>
      <c r="H10"/>
    </row>
    <row r="11" spans="2:8" ht="15.75">
      <c r="B11" s="506" t="s">
        <v>207</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172</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Cherry Cemetery District No. 15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Cherry Cemetery District No. 15 that is our desire to notify the public of the possibility of increased property taxes to finance the 2012 Cherry Cemetery District No. 15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2011 by the Cherry Cemetery District No. 15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Cherry Cemetery District No. 15 District Board</v>
      </c>
      <c r="C31"/>
      <c r="D31"/>
      <c r="E31"/>
      <c r="F31"/>
      <c r="G31"/>
      <c r="H31"/>
    </row>
    <row r="32" spans="2:8" ht="15.75">
      <c r="B32" s="133"/>
      <c r="C32"/>
      <c r="D32"/>
      <c r="E32"/>
      <c r="F32"/>
      <c r="G32"/>
      <c r="H32"/>
    </row>
    <row r="33" spans="2:8" ht="15.75">
      <c r="B33"/>
      <c r="C33"/>
      <c r="D33"/>
      <c r="E33" s="508" t="s">
        <v>157</v>
      </c>
      <c r="F33" s="508"/>
      <c r="G33" s="508"/>
      <c r="H33" s="508"/>
    </row>
    <row r="34" spans="2:8" ht="15.75">
      <c r="B34"/>
      <c r="C34"/>
      <c r="D34"/>
      <c r="E34" s="508" t="s">
        <v>160</v>
      </c>
      <c r="F34" s="508"/>
      <c r="G34" s="508"/>
      <c r="H34" s="508"/>
    </row>
    <row r="35" spans="2:8" ht="15.75">
      <c r="B35" s="133"/>
      <c r="C35"/>
      <c r="D35"/>
      <c r="E35" s="508"/>
      <c r="F35" s="508"/>
      <c r="G35" s="508"/>
      <c r="H35" s="508"/>
    </row>
    <row r="36" spans="2:8" ht="15.75">
      <c r="B36"/>
      <c r="C36"/>
      <c r="D36"/>
      <c r="E36" s="508" t="s">
        <v>157</v>
      </c>
      <c r="F36" s="508"/>
      <c r="G36" s="508"/>
      <c r="H36" s="508"/>
    </row>
    <row r="37" spans="2:8" ht="15.75">
      <c r="B37"/>
      <c r="C37"/>
      <c r="D37"/>
      <c r="E37" s="508" t="s">
        <v>161</v>
      </c>
      <c r="F37" s="508"/>
      <c r="G37" s="508"/>
      <c r="H37" s="508"/>
    </row>
    <row r="38" spans="2:8" ht="15.75">
      <c r="B38" s="133"/>
      <c r="C38"/>
      <c r="D38"/>
      <c r="E38" s="508"/>
      <c r="F38" s="508"/>
      <c r="G38" s="508"/>
      <c r="H38" s="508"/>
    </row>
    <row r="39" spans="2:8" ht="15.75">
      <c r="B39"/>
      <c r="C39"/>
      <c r="D39"/>
      <c r="E39" s="508" t="s">
        <v>157</v>
      </c>
      <c r="F39" s="508"/>
      <c r="G39" s="508"/>
      <c r="H39" s="508"/>
    </row>
    <row r="40" spans="2:8" ht="15.75">
      <c r="B40"/>
      <c r="C40"/>
      <c r="D40"/>
      <c r="E40" s="508" t="s">
        <v>162</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v>9</v>
      </c>
      <c r="F45" s="205"/>
      <c r="G45" s="205"/>
      <c r="H45" s="205"/>
    </row>
    <row r="46" spans="2:8" ht="15.75">
      <c r="B46" s="135" t="s">
        <v>158</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8.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24">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150</v>
      </c>
      <c r="B3" s="32"/>
      <c r="C3" s="32"/>
      <c r="D3" s="101" t="s">
        <v>360</v>
      </c>
      <c r="E3" s="111"/>
    </row>
    <row r="4" spans="1:5" ht="15.75">
      <c r="A4" s="285" t="s">
        <v>292</v>
      </c>
      <c r="B4" s="32"/>
      <c r="C4" s="32"/>
      <c r="D4" s="102" t="s">
        <v>356</v>
      </c>
      <c r="E4" s="111"/>
    </row>
    <row r="5" spans="1:5" ht="15.75">
      <c r="A5" s="35"/>
      <c r="B5" s="32"/>
      <c r="C5" s="32"/>
      <c r="D5" s="158"/>
      <c r="E5" s="111"/>
    </row>
    <row r="6" spans="1:5" ht="15.75">
      <c r="A6" s="285" t="s">
        <v>174</v>
      </c>
      <c r="B6" s="32"/>
      <c r="C6" s="32"/>
      <c r="D6" s="284">
        <v>2012</v>
      </c>
      <c r="E6" s="111"/>
    </row>
    <row r="7" spans="1:5" ht="15.75">
      <c r="A7" s="32"/>
      <c r="B7" s="32"/>
      <c r="C7" s="32"/>
      <c r="D7" s="32"/>
      <c r="E7" s="32"/>
    </row>
    <row r="8" spans="1:5" ht="15.75">
      <c r="A8" s="428" t="s">
        <v>241</v>
      </c>
      <c r="B8" s="429"/>
      <c r="C8" s="429"/>
      <c r="D8" s="429"/>
      <c r="E8" s="429"/>
    </row>
    <row r="9" spans="1:5" ht="15.75">
      <c r="A9" s="94" t="s">
        <v>96</v>
      </c>
      <c r="B9" s="95"/>
      <c r="C9" s="95"/>
      <c r="D9" s="95"/>
      <c r="E9" s="95"/>
    </row>
    <row r="10" spans="1:5" ht="15.75">
      <c r="A10" s="430" t="s">
        <v>240</v>
      </c>
      <c r="B10" s="431"/>
      <c r="C10" s="431"/>
      <c r="D10" s="431"/>
      <c r="E10" s="431"/>
    </row>
    <row r="11" spans="1:5" ht="15.75">
      <c r="A11" s="74"/>
      <c r="B11" s="32"/>
      <c r="C11" s="32"/>
      <c r="D11" s="32"/>
      <c r="E11" s="32"/>
    </row>
    <row r="12" spans="1:5" ht="15.75">
      <c r="A12" s="424" t="s">
        <v>227</v>
      </c>
      <c r="B12" s="425"/>
      <c r="C12" s="425"/>
      <c r="D12" s="425"/>
      <c r="E12" s="425"/>
    </row>
    <row r="13" spans="1:5" ht="15.75">
      <c r="A13" s="74"/>
      <c r="B13" s="32"/>
      <c r="C13" s="32"/>
      <c r="D13" s="32"/>
      <c r="E13" s="32"/>
    </row>
    <row r="14" spans="1:5" ht="15.75">
      <c r="A14" s="159" t="s">
        <v>179</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67</v>
      </c>
      <c r="E17" s="433"/>
    </row>
    <row r="18" spans="1:5" ht="15.75">
      <c r="A18" s="32"/>
      <c r="B18" s="75" t="s">
        <v>17</v>
      </c>
      <c r="C18" s="14" t="s">
        <v>357</v>
      </c>
      <c r="D18" s="15">
        <v>5550</v>
      </c>
      <c r="E18" s="15">
        <v>3567</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3567</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5550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0.691</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0.691</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3476</v>
      </c>
    </row>
    <row r="44" spans="1:5" ht="15.75">
      <c r="A44" s="160" t="str">
        <f>CONCATENATE("Assessed Valuation (",D6-2," budget column)")</f>
        <v>Assessed Valuation (2010 budget column)</v>
      </c>
      <c r="B44" s="107"/>
      <c r="C44" s="32"/>
      <c r="D44" s="32"/>
      <c r="E44" s="18">
        <v>5028472</v>
      </c>
    </row>
    <row r="45" spans="1:5" ht="15.75">
      <c r="A45" s="32"/>
      <c r="B45" s="32"/>
      <c r="C45" s="32"/>
      <c r="D45" s="32"/>
      <c r="E45" s="63"/>
    </row>
    <row r="46" spans="1:5" ht="15.75">
      <c r="A46" s="107" t="s">
        <v>242</v>
      </c>
      <c r="B46" s="107"/>
      <c r="C46" s="64"/>
      <c r="D46" s="162">
        <f>D6-3</f>
        <v>2009</v>
      </c>
      <c r="E46" s="162">
        <f>D6-2</f>
        <v>2010</v>
      </c>
    </row>
    <row r="47" spans="1:5" ht="15.75">
      <c r="A47" s="211" t="s">
        <v>175</v>
      </c>
      <c r="B47" s="211"/>
      <c r="C47" s="163"/>
      <c r="D47" s="164"/>
      <c r="E47" s="164"/>
    </row>
    <row r="48" spans="1:5" ht="15.75">
      <c r="A48" s="212" t="s">
        <v>176</v>
      </c>
      <c r="B48" s="212"/>
      <c r="C48" s="165"/>
      <c r="D48" s="164"/>
      <c r="E48" s="164"/>
    </row>
    <row r="49" spans="1:5" ht="15.75">
      <c r="A49" s="212" t="s">
        <v>178</v>
      </c>
      <c r="B49" s="212"/>
      <c r="C49" s="165"/>
      <c r="D49" s="164"/>
      <c r="E49" s="164"/>
    </row>
    <row r="50" spans="1:5" ht="15.75">
      <c r="A50" s="212" t="s">
        <v>177</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E37" sqref="E37"/>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Cherry Cemetery District No. 15</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227</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4449259</v>
      </c>
    </row>
    <row r="8" spans="1:5" ht="15.75">
      <c r="A8" s="193" t="str">
        <f>CONCATENATE("New Improvements for ",inputPrYr!D6-1,"")</f>
        <v>New Improvements for 2011</v>
      </c>
      <c r="B8" s="194"/>
      <c r="C8" s="194"/>
      <c r="D8" s="194"/>
      <c r="E8" s="31">
        <v>28138</v>
      </c>
    </row>
    <row r="9" spans="1:5" ht="15.75">
      <c r="A9" s="193" t="str">
        <f>CONCATENATE("Personal Property excluding oil, gas, and mobile homes- ",inputPrYr!D6-1,"")</f>
        <v>Personal Property excluding oil, gas, and mobile homes- 2011</v>
      </c>
      <c r="B9" s="194"/>
      <c r="C9" s="194"/>
      <c r="D9" s="194"/>
      <c r="E9" s="31">
        <v>170011</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v>373187</v>
      </c>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79</v>
      </c>
      <c r="E15" s="190"/>
    </row>
    <row r="16" spans="1:5" ht="15.75">
      <c r="A16" s="192" t="s">
        <v>17</v>
      </c>
      <c r="B16" s="39"/>
      <c r="C16" s="55"/>
      <c r="D16" s="287">
        <v>0.881</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0.881</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4395857</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453</v>
      </c>
    </row>
    <row r="28" spans="1:5" ht="15.75">
      <c r="A28" s="193" t="s">
        <v>22</v>
      </c>
      <c r="B28" s="194"/>
      <c r="C28" s="194"/>
      <c r="D28" s="198"/>
      <c r="E28" s="15">
        <v>11</v>
      </c>
    </row>
    <row r="29" spans="1:5" ht="15.75">
      <c r="A29" s="193" t="s">
        <v>202</v>
      </c>
      <c r="B29" s="194"/>
      <c r="C29" s="194"/>
      <c r="D29" s="198"/>
      <c r="E29" s="15">
        <v>35</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2010 Tax (round to three decimal places)</v>
      </c>
      <c r="B35" s="55"/>
      <c r="C35" s="32"/>
      <c r="D35" s="32"/>
      <c r="E35" s="200">
        <v>0.064</v>
      </c>
    </row>
    <row r="36" spans="1:5" ht="15.75">
      <c r="A36" s="98" t="s">
        <v>239</v>
      </c>
      <c r="B36" s="98"/>
      <c r="C36" s="55"/>
      <c r="D36" s="55"/>
      <c r="E36" s="201">
        <v>0.01</v>
      </c>
    </row>
    <row r="37" spans="1:5" ht="15.75">
      <c r="A37" s="202" t="s">
        <v>204</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250</v>
      </c>
      <c r="B41" s="321" t="s">
        <v>251</v>
      </c>
      <c r="C41" s="322" t="s">
        <v>252</v>
      </c>
      <c r="D41" s="323"/>
      <c r="E41" s="323"/>
    </row>
    <row r="42" spans="1:5" ht="15.75">
      <c r="A42" s="324" t="str">
        <f>inputPrYr!B18</f>
        <v>General</v>
      </c>
      <c r="B42" s="164">
        <v>6050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6">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97</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180</v>
      </c>
      <c r="B5" s="34"/>
      <c r="C5" s="34"/>
      <c r="D5" s="34"/>
      <c r="E5" s="34"/>
      <c r="F5" s="34"/>
      <c r="G5" s="34"/>
    </row>
    <row r="6" spans="1:7" ht="15.75">
      <c r="A6" s="443" t="str">
        <f>inputPrYr!D3</f>
        <v>Cherry Cemetery District No. 15</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5550</v>
      </c>
      <c r="F23" s="354">
        <f>IF(gen!$G$47&lt;&gt;0,gen!$G$47,"  ")</f>
        <v>4314</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5550</v>
      </c>
      <c r="F30" s="266">
        <f>SUM(F23:F28)</f>
        <v>4314</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Yes</v>
      </c>
      <c r="G32" s="35"/>
    </row>
    <row r="33" spans="1:7" ht="15.75">
      <c r="A33" s="350" t="s">
        <v>230</v>
      </c>
      <c r="B33" s="194"/>
      <c r="C33" s="46"/>
      <c r="D33" s="257">
        <f>IF(Resolution!E45=0,"",Resolution!E45)</f>
        <v>9</v>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48"/>
      <c r="F37" s="450" t="s">
        <v>231</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Cherry Cemetery District No. 15</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6"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109</v>
      </c>
    </row>
    <row r="5" spans="1:10" ht="15.75">
      <c r="A5" s="218" t="s">
        <v>110</v>
      </c>
      <c r="B5" s="32" t="str">
        <f>CONCATENATE("Total Tax Levy Amount in ",J1-1," Budget")</f>
        <v>Total Tax Levy Amount in 2011 Budget</v>
      </c>
      <c r="C5" s="32"/>
      <c r="D5" s="32"/>
      <c r="E5" s="63"/>
      <c r="F5" s="63"/>
      <c r="G5" s="63"/>
      <c r="H5" s="219" t="s">
        <v>111</v>
      </c>
      <c r="I5" s="63" t="s">
        <v>112</v>
      </c>
      <c r="J5" s="357">
        <f>inputPrYr!E23</f>
        <v>3567</v>
      </c>
    </row>
    <row r="6" spans="1:10" ht="15.75">
      <c r="A6" s="218" t="s">
        <v>113</v>
      </c>
      <c r="B6" s="32" t="str">
        <f>CONCATENATE("Debt Service Levy in ",J1-1," Budget")</f>
        <v>Debt Service Levy in 2011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3567</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2011:</v>
      </c>
      <c r="C11" s="32"/>
      <c r="D11" s="32"/>
      <c r="E11" s="219"/>
      <c r="F11" s="219" t="s">
        <v>111</v>
      </c>
      <c r="G11" s="61">
        <f>inputOth!E8</f>
        <v>28138</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2011:</v>
      </c>
      <c r="C13" s="32"/>
      <c r="D13" s="32"/>
      <c r="E13" s="219"/>
      <c r="F13" s="219"/>
      <c r="G13" s="220"/>
      <c r="H13" s="220"/>
      <c r="I13" s="63"/>
      <c r="J13" s="63"/>
    </row>
    <row r="14" spans="1:10" ht="15.75">
      <c r="A14" s="32"/>
      <c r="B14" s="32" t="s">
        <v>117</v>
      </c>
      <c r="C14" s="32" t="str">
        <f>CONCATENATE("Personal Property ",J1-1,"")</f>
        <v>Personal Property 2011</v>
      </c>
      <c r="D14" s="218" t="s">
        <v>111</v>
      </c>
      <c r="E14" s="61">
        <f>inputOth!E9</f>
        <v>170011</v>
      </c>
      <c r="F14" s="219"/>
      <c r="G14" s="63"/>
      <c r="H14" s="63"/>
      <c r="I14" s="220"/>
      <c r="J14" s="63"/>
    </row>
    <row r="15" spans="1:10" ht="15.75">
      <c r="A15" s="218"/>
      <c r="B15" s="32" t="s">
        <v>118</v>
      </c>
      <c r="C15" s="32" t="str">
        <f>CONCATENATE("Personal Property ",J1-2,"")</f>
        <v>Personal Property 2010</v>
      </c>
      <c r="D15" s="218" t="s">
        <v>114</v>
      </c>
      <c r="E15" s="62">
        <f>inputOth!E11</f>
        <v>373187</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28138</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1,2011</v>
      </c>
      <c r="C22" s="32"/>
      <c r="D22" s="32"/>
      <c r="E22" s="61">
        <f>inputOth!E7</f>
        <v>4449259</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4421121</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0.006364449197386816</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23</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3590</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3590</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139</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Cherry Cemetery District No. 15</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7" t="s">
        <v>296</v>
      </c>
      <c r="C6" s="417"/>
      <c r="D6" s="417"/>
      <c r="E6" s="417"/>
      <c r="F6" s="417"/>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0" t="str">
        <f>CONCATENATE("",J2-1,"                    Budgeted Funds")</f>
        <v>2011                    Budgeted Funds</v>
      </c>
      <c r="C9" s="418" t="str">
        <f>CONCATENATE("Tax Levy Amount in ",J2-1," Budget")</f>
        <v>Tax Levy Amount in 2011 Budget</v>
      </c>
      <c r="D9" s="444" t="str">
        <f>CONCATENATE("Allocation for Year ",J2,"")</f>
        <v>Allocation for Year 2012</v>
      </c>
      <c r="E9" s="421"/>
      <c r="F9" s="421"/>
      <c r="G9" s="446"/>
      <c r="H9" s="32"/>
      <c r="I9" s="32"/>
      <c r="J9" s="32"/>
    </row>
    <row r="10" spans="1:10" ht="15.75">
      <c r="A10" s="32"/>
      <c r="B10" s="419"/>
      <c r="C10" s="419"/>
      <c r="D10" s="86" t="s">
        <v>57</v>
      </c>
      <c r="E10" s="86" t="s">
        <v>58</v>
      </c>
      <c r="F10" s="86" t="s">
        <v>106</v>
      </c>
      <c r="G10" s="138" t="s">
        <v>186</v>
      </c>
      <c r="H10" s="32"/>
      <c r="I10" s="32"/>
      <c r="J10" s="32"/>
    </row>
    <row r="11" spans="1:10" ht="15.75">
      <c r="A11" s="32"/>
      <c r="B11" s="47" t="str">
        <f>inputPrYr!B18</f>
        <v>General</v>
      </c>
      <c r="C11" s="51">
        <f>inputPrYr!D18</f>
        <v>5550</v>
      </c>
      <c r="D11" s="51">
        <f>IF(E17=0,0,E17-D12-D13-D14)</f>
        <v>453</v>
      </c>
      <c r="E11" s="51">
        <f>IF(E19=0,0,E19-E12-E13-E14)</f>
        <v>11</v>
      </c>
      <c r="F11" s="51">
        <f>IF(E21=0,0,E21-F12-F13-F14)</f>
        <v>35</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5550</v>
      </c>
      <c r="D15" s="266">
        <f>SUM(D11:D14)</f>
        <v>453</v>
      </c>
      <c r="E15" s="266">
        <f>SUM(E11:E14)</f>
        <v>11</v>
      </c>
      <c r="F15" s="266">
        <f>SUM(F11:F14)</f>
        <v>35</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453</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11</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35</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0.08162162162162162</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0.001981981981981982</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0.006306306306306306</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Cherry Cemetery District No. 15</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164</v>
      </c>
      <c r="B5" s="441"/>
      <c r="C5" s="441"/>
      <c r="D5" s="441"/>
      <c r="E5" s="441"/>
      <c r="F5" s="441"/>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2010</v>
      </c>
      <c r="D9" s="172">
        <f>F1-1</f>
        <v>2011</v>
      </c>
      <c r="E9" s="172">
        <f>F1</f>
        <v>2012</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Cherry Cemetery District No. 15</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2011</v>
      </c>
      <c r="I7" s="245"/>
      <c r="J7" s="244">
        <f>K1</f>
        <v>2012</v>
      </c>
      <c r="K7" s="245"/>
    </row>
    <row r="8" spans="1:11" s="28" customFormat="1" ht="15.75">
      <c r="A8" s="246" t="s">
        <v>81</v>
      </c>
      <c r="B8" s="86" t="s">
        <v>82</v>
      </c>
      <c r="C8" s="86" t="s">
        <v>55</v>
      </c>
      <c r="D8" s="86" t="s">
        <v>83</v>
      </c>
      <c r="E8" s="240" t="str">
        <f>CONCATENATE("Jan 1,",K1-1,"")</f>
        <v>Jan 1,2011</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2011-07-05T16:01:31Z</cp:lastPrinted>
  <dcterms:created xsi:type="dcterms:W3CDTF">1999-08-06T13:59:57Z</dcterms:created>
  <dcterms:modified xsi:type="dcterms:W3CDTF">2011-11-10T16:57:28Z</dcterms:modified>
  <cp:category/>
  <cp:version/>
  <cp:contentType/>
  <cp:contentStatus/>
</cp:coreProperties>
</file>