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05" firstSheet="7" activeTab="14"/>
  </bookViews>
  <sheets>
    <sheet name="inputPrYr" sheetId="1" r:id="rId1"/>
    <sheet name="inputOth" sheetId="2" r:id="rId2"/>
    <sheet name="inputBudSum" sheetId="3" r:id="rId3"/>
    <sheet name="cert" sheetId="4" r:id="rId4"/>
    <sheet name="comp-MCO # 1" sheetId="5" r:id="rId5"/>
    <sheet name="comp-Tipton # 2" sheetId="6" r:id="rId6"/>
    <sheet name="comp-Solomon # 3" sheetId="7" r:id="rId7"/>
    <sheet name="transfers" sheetId="8" r:id="rId8"/>
    <sheet name="debt" sheetId="9" r:id="rId9"/>
    <sheet name="lpform" sheetId="10" r:id="rId10"/>
    <sheet name="MCO#1-Tipton" sheetId="11" r:id="rId11"/>
    <sheet name="Solomon #3" sheetId="12" r:id="rId12"/>
    <sheet name="MCOEq-TipEq." sheetId="13" r:id="rId13"/>
    <sheet name="SolomonEq" sheetId="14" r:id="rId14"/>
    <sheet name="summ" sheetId="15" r:id="rId15"/>
    <sheet name="Resolution" sheetId="16" r:id="rId16"/>
  </sheets>
  <definedNames>
    <definedName name="_xlnm.Print_Area" localSheetId="0">'inputPrYr'!$A$1:$F$77</definedName>
    <definedName name="_xlnm.Print_Area" localSheetId="10">'MCO#1-Tipton'!$A$1:$E$78</definedName>
    <definedName name="_xlnm.Print_Area" localSheetId="11">'Solomon #3'!$A$1:$E$78</definedName>
    <definedName name="_xlnm.Print_Area" localSheetId="14">'summ'!$A$1:$H$60</definedName>
  </definedNames>
  <calcPr fullCalcOnLoad="1"/>
</workbook>
</file>

<file path=xl/sharedStrings.xml><?xml version="1.0" encoding="utf-8"?>
<sst xmlns="http://schemas.openxmlformats.org/spreadsheetml/2006/main" count="566" uniqueCount="272">
  <si>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</si>
  <si>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</si>
  <si>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</si>
  <si>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</si>
  <si>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</si>
  <si>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</si>
  <si>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</si>
  <si>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Non-Budgeted Funds-A</t>
  </si>
  <si>
    <t>Non-Budgeted Funds-B</t>
  </si>
  <si>
    <t>Non-Budgeted Funds-C</t>
  </si>
  <si>
    <t>Non-Budgeted Funds-D</t>
  </si>
  <si>
    <t>Other non-tax levy fund names:</t>
  </si>
  <si>
    <t>Budget Summary</t>
  </si>
  <si>
    <t>xxxxx</t>
  </si>
  <si>
    <t>Resolution</t>
  </si>
  <si>
    <t>Is a Resolution required?</t>
  </si>
  <si>
    <t>Note:  All amounts are to be entered in as whole numbers only.</t>
  </si>
  <si>
    <t>Funds</t>
  </si>
  <si>
    <t xml:space="preserve">expenditure amounts should reflect the amended </t>
  </si>
  <si>
    <t>expenditure amounts.</t>
  </si>
  <si>
    <t xml:space="preserve">Tax Levy Rate </t>
  </si>
  <si>
    <t>Miscellaneous</t>
  </si>
  <si>
    <t>Neighborhood Revitalization Rebate</t>
  </si>
  <si>
    <t>***If you are merely leasing/renting with no intent to purchase, do not list--such transactions are not lease-purchases.</t>
  </si>
  <si>
    <t xml:space="preserve">Ad Valorem Tax </t>
  </si>
  <si>
    <t>Budget Summary Page</t>
  </si>
  <si>
    <t>Statute</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</si>
  <si>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</si>
  <si>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</si>
  <si>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</si>
  <si>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</si>
  <si>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</si>
  <si>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</si>
  <si>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</si>
  <si>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</si>
  <si>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</si>
  <si>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</si>
  <si>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</si>
  <si>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</si>
  <si>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</si>
  <si>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</si>
  <si>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</si>
  <si>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x</t>
  </si>
  <si>
    <t>Assisted by:</t>
  </si>
  <si>
    <t>Governing Body</t>
  </si>
  <si>
    <t>County Clerk</t>
  </si>
  <si>
    <t>Amount</t>
  </si>
  <si>
    <t>Totals</t>
  </si>
  <si>
    <t>Adopted Budget</t>
  </si>
  <si>
    <t>Ad Valorem Tax</t>
  </si>
  <si>
    <t>Delinquent Tax</t>
  </si>
  <si>
    <t>Motor Vehicle Tax</t>
  </si>
  <si>
    <t>Recreational Vehicle Tax</t>
  </si>
  <si>
    <t>Interest on Idle Funds</t>
  </si>
  <si>
    <t>Total Receipts</t>
  </si>
  <si>
    <t>Resources Available:</t>
  </si>
  <si>
    <t xml:space="preserve">Page No. </t>
  </si>
  <si>
    <t>Expenditures:</t>
  </si>
  <si>
    <t>Total Expenditures</t>
  </si>
  <si>
    <t>Tax Required</t>
  </si>
  <si>
    <t>%</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</si>
  <si>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</si>
  <si>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</si>
  <si>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</si>
  <si>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</si>
  <si>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</si>
  <si>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</si>
  <si>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</si>
  <si>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</si>
  <si>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</si>
  <si>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</si>
  <si>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</si>
  <si>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</si>
  <si>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</si>
  <si>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</si>
  <si>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</si>
  <si>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</si>
  <si>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</si>
  <si>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</si>
  <si>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</si>
  <si>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</si>
  <si>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</si>
  <si>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</si>
  <si>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</si>
  <si>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</si>
  <si>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</si>
  <si>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</si>
  <si>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</si>
  <si>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</si>
  <si>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</si>
  <si>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</si>
  <si>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</si>
  <si>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</si>
  <si>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</si>
  <si>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</si>
  <si>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</si>
  <si>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</si>
  <si>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</si>
  <si>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</si>
  <si>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</si>
  <si>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</si>
  <si>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</si>
  <si>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</si>
  <si>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 M Vehicle Tax</t>
  </si>
  <si>
    <t>CERTIFICATE</t>
  </si>
  <si>
    <t>STATEMENT OF CONDITIONAL LEASE-PURCHASE AND CERTIFICATE OF PARTICIPATION*</t>
  </si>
  <si>
    <t>NOTICE OF BUDGET HEARING</t>
  </si>
  <si>
    <t>BUDGET SUMMARY</t>
  </si>
  <si>
    <t>FUND PAGE FOR FUNDS WITH A TAX LEVY</t>
  </si>
  <si>
    <t>FUND PAGE FOR FUNDS WITH NO TAX LEVY</t>
  </si>
  <si>
    <t>STATEMENT OF INDEBTEDNESS</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</si>
  <si>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</si>
  <si>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</si>
  <si>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</si>
  <si>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</si>
  <si>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</si>
  <si>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</si>
  <si>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</si>
  <si>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</si>
  <si>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</si>
  <si>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</si>
  <si>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</si>
  <si>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</si>
  <si>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</si>
  <si>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</si>
  <si>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</si>
  <si>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</si>
  <si>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</si>
  <si>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</si>
  <si>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</si>
  <si>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 xml:space="preserve">The governing body of </t>
  </si>
  <si>
    <t>7.</t>
  </si>
  <si>
    <t>8.</t>
  </si>
  <si>
    <t>Balance On</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</si>
  <si>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</si>
  <si>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</si>
  <si>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</si>
  <si>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</si>
  <si>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</si>
  <si>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</si>
  <si>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</si>
  <si>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</si>
  <si>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</si>
  <si>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</si>
  <si>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</si>
  <si>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</si>
  <si>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</si>
  <si>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</si>
  <si>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Schedule of Transfers</t>
  </si>
  <si>
    <t>Outstanding</t>
  </si>
  <si>
    <t>(Beginning Principal)</t>
  </si>
  <si>
    <t>Estimated Tax Rate is subject to change depending on the final assessed valuation.</t>
  </si>
  <si>
    <t>Lease Pur. Princ.</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</si>
  <si>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</si>
  <si>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</si>
  <si>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</si>
  <si>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</si>
  <si>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</si>
  <si>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</si>
  <si>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</si>
  <si>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</si>
  <si>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</si>
  <si>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</si>
  <si>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Current</t>
  </si>
  <si>
    <t>Proposed</t>
  </si>
  <si>
    <t>County Clerk's Use Only</t>
  </si>
  <si>
    <t>Address:</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</si>
  <si>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</si>
  <si>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</si>
  <si>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</si>
  <si>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</si>
  <si>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</si>
  <si>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</si>
  <si>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</si>
  <si>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</si>
  <si>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</si>
  <si>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</si>
  <si>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</si>
  <si>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Slider</t>
  </si>
  <si>
    <t>Computation of Delinquency</t>
  </si>
  <si>
    <t>Rate used in this budget will be shown on all fund pages with a tax levy**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</si>
  <si>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</si>
  <si>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</si>
  <si>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</si>
  <si>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</si>
  <si>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</si>
  <si>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</si>
  <si>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</si>
  <si>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</si>
  <si>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</si>
  <si>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</si>
  <si>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</si>
  <si>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</si>
  <si>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</si>
  <si>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</si>
  <si>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</si>
  <si>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</si>
  <si>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</si>
  <si>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</si>
  <si>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</si>
  <si>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</si>
  <si>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</si>
  <si>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</si>
  <si>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answering objections of taxpayers relating to the proposed use of all funds and the amount of ad valorem tax.</t>
  </si>
  <si>
    <r>
      <t>Adjustments</t>
    </r>
    <r>
      <rPr>
        <sz val="12"/>
        <color indexed="10"/>
        <rFont val="Times New Roman"/>
        <family val="1"/>
      </rPr>
      <t>*</t>
    </r>
  </si>
  <si>
    <t>*Note:</t>
  </si>
  <si>
    <t>Expenditure</t>
  </si>
  <si>
    <t>Receipt</t>
  </si>
  <si>
    <t xml:space="preserve">Fund Transferred </t>
  </si>
  <si>
    <t>Fund Transferred</t>
  </si>
  <si>
    <t>in the appropriate locations.  If any of the numbers are wrong, change them on this input sheet.</t>
  </si>
  <si>
    <t xml:space="preserve">Enter the following information from the sources shown.  This information will be  entered on the budget forms </t>
  </si>
  <si>
    <t>Budget Authority</t>
  </si>
  <si>
    <t>for Expenditures</t>
  </si>
  <si>
    <t>Does miscellaneous exceed 10% of Total Exp</t>
  </si>
  <si>
    <t>Does miscellaneous exceed 10% of Total Rec</t>
  </si>
  <si>
    <t>Non-Appropriated Balance</t>
  </si>
  <si>
    <t>Total Expenditure/Non-Appr Balance</t>
  </si>
  <si>
    <t>Delinquent Comp Rate:</t>
  </si>
  <si>
    <t>Change in Ad Valorem Tax Revenue:</t>
  </si>
  <si>
    <t>What Mill Rate Would Be Desired?</t>
  </si>
  <si>
    <t>and hearing held.</t>
  </si>
  <si>
    <t xml:space="preserve">Must be at least 10 days between date published </t>
  </si>
  <si>
    <t>MITCHELL COUNTY</t>
  </si>
  <si>
    <t>MCO # 1</t>
  </si>
  <si>
    <t>Tipton # 2</t>
  </si>
  <si>
    <t>Solomon Rapids F.D. # 3</t>
  </si>
  <si>
    <t>19-3610</t>
  </si>
  <si>
    <t>MCO F.D. # 1 Spec. Equip.</t>
  </si>
  <si>
    <t>Tipton F.D. # 2 Spec. Equip.</t>
  </si>
  <si>
    <t>Computation to Determine Limit-2012 MCO # 1</t>
  </si>
  <si>
    <t>Computation to Determine Limit-2012 Tipton # 2</t>
  </si>
  <si>
    <t>Computation to Determine Limit-2012 F.D. # 3</t>
  </si>
  <si>
    <t>Solomon Rapids # 3 Fire Station</t>
  </si>
  <si>
    <t>9:30 A.M.</t>
  </si>
  <si>
    <t>Commissioner's Room</t>
  </si>
  <si>
    <t>Clerk's Office</t>
  </si>
  <si>
    <t>PriorYear Actual</t>
  </si>
  <si>
    <t>Current Year Estimate</t>
  </si>
  <si>
    <t>Proposed Budget Year</t>
  </si>
  <si>
    <t>Solomon Rapids F.D. # 3 Spec. Equip.</t>
  </si>
  <si>
    <t>Reimbursements</t>
  </si>
  <si>
    <t>Contractual Services</t>
  </si>
  <si>
    <t>Capital Outlay</t>
  </si>
  <si>
    <t>Purchase of Equipment</t>
  </si>
  <si>
    <t>Loan Proceeds</t>
  </si>
  <si>
    <t>Transfer to Solomon Rapids F.D. # 3 C.O.</t>
  </si>
  <si>
    <t xml:space="preserve">Budget </t>
  </si>
  <si>
    <t>Credits</t>
  </si>
  <si>
    <t>Authorized</t>
  </si>
  <si>
    <t>Budget</t>
  </si>
  <si>
    <t xml:space="preserve">Transfer from Solomon Rapids F.D. # 3 </t>
  </si>
  <si>
    <t>Transfer to MCO # 1 C.O.</t>
  </si>
  <si>
    <t>Payback of Loan-Prin. &amp; Int.</t>
  </si>
  <si>
    <t>Transfer from MCO # 1</t>
  </si>
  <si>
    <t>Valuations</t>
  </si>
  <si>
    <t>MCO</t>
  </si>
  <si>
    <t>Tipton</t>
  </si>
  <si>
    <t>Solomon Rapids #3</t>
  </si>
  <si>
    <t>Mitchell</t>
  </si>
  <si>
    <t>Cloud</t>
  </si>
  <si>
    <t>Ottawa</t>
  </si>
  <si>
    <t>Osborne</t>
  </si>
  <si>
    <t>Lindburg Vogel Pierce Faris,</t>
  </si>
  <si>
    <t>Chartered</t>
  </si>
  <si>
    <t>2301 N. Halstead</t>
  </si>
  <si>
    <t>Hutchinson, Kansas 67502</t>
  </si>
  <si>
    <t>MCO # 1 C.O.</t>
  </si>
  <si>
    <t>K.S.A. 19-3612c</t>
  </si>
  <si>
    <t>Solomon Rapids # 3</t>
  </si>
  <si>
    <t>Solomon Rapids # 3 C.O.</t>
  </si>
  <si>
    <t>August 22, 2011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</si>
</sst>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s>
  <fonts count="6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u val="single"/>
      <sz val="10"/>
      <name val="Times New Roman"/>
      <family val="1"/>
    </font>
    <font>
      <sz val="12"/>
      <color indexed="10"/>
      <name val="Courier"/>
      <family val="3"/>
    </font>
    <font>
      <b/>
      <sz val="12"/>
      <color indexed="10"/>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43"/>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color indexed="63"/>
      </left>
      <right>
        <color indexed="63"/>
      </right>
      <top style="thin"/>
      <bottom style="double"/>
    </border>
  </borders>
  <cellStyleXfs count="4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08">
    <xf numFmtId="0" fontId="0" fillId="0" borderId="0" xfId="0" applyAlignment="1">
      <alignment/>
    </xf>
    <xf numFmtId="0" fontId="4" fillId="0" borderId="0" xfId="0" applyFont="1" applyAlignment="1">
      <alignment/>
    </xf>
    <xf numFmtId="0" fontId="4" fillId="0" borderId="0" xfId="0" applyFont="1" applyAlignment="1">
      <alignment/>
    </xf>
    <xf numFmtId="0" fontId="4" fillId="33" borderId="0" xfId="0" applyFont="1" applyFill="1" applyAlignment="1" applyProtection="1">
      <alignment/>
      <protection locked="0"/>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02" applyAlignment="1">
      <alignment vertical="top"/>
      <protection/>
    </xf>
    <xf numFmtId="0" fontId="12" fillId="0" borderId="0" xfId="402">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0" fontId="4" fillId="0" borderId="0" xfId="0" applyFont="1" applyAlignment="1">
      <alignment vertical="top"/>
    </xf>
    <xf numFmtId="0" fontId="4" fillId="0" borderId="0" xfId="402"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02" applyFont="1">
      <alignment/>
      <protection/>
    </xf>
    <xf numFmtId="0" fontId="4" fillId="0" borderId="0" xfId="0" applyFont="1" applyAlignment="1">
      <alignment horizontal="right"/>
    </xf>
    <xf numFmtId="0" fontId="4" fillId="0" borderId="0" xfId="0" applyFont="1" applyAlignment="1">
      <alignment vertical="center"/>
    </xf>
    <xf numFmtId="0" fontId="4" fillId="34" borderId="0" xfId="0" applyFont="1" applyFill="1" applyAlignment="1">
      <alignment vertical="center"/>
    </xf>
    <xf numFmtId="37" fontId="4" fillId="35" borderId="0" xfId="0" applyNumberFormat="1" applyFont="1" applyFill="1" applyAlignment="1" applyProtection="1">
      <alignment horizontal="left" vertical="center"/>
      <protection/>
    </xf>
    <xf numFmtId="0" fontId="4" fillId="35" borderId="0" xfId="0" applyFont="1" applyFill="1" applyAlignment="1" applyProtection="1">
      <alignment vertical="center"/>
      <protection/>
    </xf>
    <xf numFmtId="0" fontId="4" fillId="33" borderId="10" xfId="0" applyFont="1" applyFill="1" applyBorder="1" applyAlignment="1" applyProtection="1">
      <alignment vertical="center"/>
      <protection/>
    </xf>
    <xf numFmtId="37" fontId="4" fillId="33" borderId="10" xfId="0" applyNumberFormat="1" applyFont="1" applyFill="1" applyBorder="1" applyAlignment="1" applyProtection="1">
      <alignment horizontal="left" vertical="center"/>
      <protection locked="0"/>
    </xf>
    <xf numFmtId="0" fontId="4" fillId="35" borderId="0" xfId="0" applyFont="1" applyFill="1" applyBorder="1" applyAlignment="1" applyProtection="1">
      <alignment vertical="center"/>
      <protection/>
    </xf>
    <xf numFmtId="37" fontId="4" fillId="35" borderId="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locked="0"/>
    </xf>
    <xf numFmtId="37" fontId="5" fillId="35" borderId="0" xfId="0" applyNumberFormat="1" applyFont="1" applyFill="1" applyAlignment="1" applyProtection="1">
      <alignment horizontal="centerContinuous" vertical="center"/>
      <protection/>
    </xf>
    <xf numFmtId="0" fontId="4" fillId="35"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5"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37" fontId="4" fillId="36" borderId="12" xfId="0" applyNumberFormat="1" applyFont="1" applyFill="1" applyBorder="1" applyAlignment="1" applyProtection="1">
      <alignment horizontal="center" vertical="center"/>
      <protection/>
    </xf>
    <xf numFmtId="0" fontId="4" fillId="36" borderId="12" xfId="0" applyNumberFormat="1" applyFont="1" applyFill="1" applyBorder="1" applyAlignment="1" applyProtection="1">
      <alignment horizontal="center" vertical="center"/>
      <protection/>
    </xf>
    <xf numFmtId="37" fontId="4" fillId="35" borderId="0" xfId="0" applyNumberFormat="1" applyFont="1" applyFill="1" applyAlignment="1" applyProtection="1">
      <alignment horizontal="center" vertical="center"/>
      <protection/>
    </xf>
    <xf numFmtId="37" fontId="4" fillId="36" borderId="13" xfId="0" applyNumberFormat="1" applyFont="1" applyFill="1" applyBorder="1" applyAlignment="1" applyProtection="1">
      <alignment horizontal="center" vertical="center"/>
      <protection/>
    </xf>
    <xf numFmtId="37" fontId="4" fillId="35" borderId="11" xfId="0" applyNumberFormat="1" applyFont="1" applyFill="1" applyBorder="1" applyAlignment="1" applyProtection="1">
      <alignment horizontal="left" vertical="center"/>
      <protection/>
    </xf>
    <xf numFmtId="0" fontId="4" fillId="35"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164" fontId="4" fillId="33" borderId="11"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3" borderId="11" xfId="0"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7" fontId="4" fillId="35" borderId="10" xfId="0" applyNumberFormat="1" applyFont="1" applyFill="1" applyBorder="1" applyAlignment="1" applyProtection="1">
      <alignment horizontal="left" vertical="center"/>
      <protection/>
    </xf>
    <xf numFmtId="0" fontId="4" fillId="35" borderId="10" xfId="0" applyFont="1" applyFill="1" applyBorder="1" applyAlignment="1" applyProtection="1">
      <alignment vertical="center"/>
      <protection/>
    </xf>
    <xf numFmtId="0" fontId="4" fillId="35" borderId="14" xfId="0" applyFont="1" applyFill="1" applyBorder="1" applyAlignment="1" applyProtection="1">
      <alignment vertical="center"/>
      <protection/>
    </xf>
    <xf numFmtId="3" fontId="4" fillId="37" borderId="14" xfId="0" applyNumberFormat="1" applyFont="1" applyFill="1" applyBorder="1" applyAlignment="1" applyProtection="1">
      <alignment vertical="center"/>
      <protection/>
    </xf>
    <xf numFmtId="164" fontId="4" fillId="37" borderId="11" xfId="0" applyNumberFormat="1" applyFont="1" applyFill="1" applyBorder="1" applyAlignment="1" applyProtection="1">
      <alignment vertical="center"/>
      <protection/>
    </xf>
    <xf numFmtId="164" fontId="4" fillId="35" borderId="10" xfId="0" applyNumberFormat="1" applyFont="1" applyFill="1" applyBorder="1" applyAlignment="1" applyProtection="1">
      <alignment vertical="center"/>
      <protection locked="0"/>
    </xf>
    <xf numFmtId="0" fontId="4" fillId="35" borderId="15" xfId="0" applyFont="1" applyFill="1" applyBorder="1" applyAlignment="1" applyProtection="1">
      <alignment vertical="center"/>
      <protection/>
    </xf>
    <xf numFmtId="3" fontId="4" fillId="37" borderId="11" xfId="0" applyNumberFormat="1" applyFont="1" applyFill="1" applyBorder="1" applyAlignment="1" applyProtection="1">
      <alignment vertical="center"/>
      <protection/>
    </xf>
    <xf numFmtId="37" fontId="4" fillId="35" borderId="0" xfId="0" applyNumberFormat="1" applyFont="1" applyFill="1" applyBorder="1" applyAlignment="1" applyProtection="1">
      <alignment horizontal="left" vertical="center"/>
      <protection/>
    </xf>
    <xf numFmtId="164" fontId="4" fillId="35" borderId="0" xfId="0" applyNumberFormat="1" applyFont="1" applyFill="1" applyBorder="1" applyAlignment="1" applyProtection="1">
      <alignment vertical="center"/>
      <protection locked="0"/>
    </xf>
    <xf numFmtId="3" fontId="4" fillId="35"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5" borderId="0" xfId="0" applyFont="1" applyFill="1" applyAlignment="1">
      <alignment vertical="center"/>
    </xf>
    <xf numFmtId="0" fontId="4" fillId="38" borderId="0" xfId="0" applyFont="1" applyFill="1" applyAlignment="1" applyProtection="1">
      <alignment vertical="center"/>
      <protection/>
    </xf>
    <xf numFmtId="37" fontId="4" fillId="35" borderId="11" xfId="0" applyNumberFormat="1" applyFont="1" applyFill="1" applyBorder="1" applyAlignment="1" applyProtection="1">
      <alignment vertical="center"/>
      <protection/>
    </xf>
    <xf numFmtId="37" fontId="4" fillId="36" borderId="10" xfId="0" applyNumberFormat="1" applyFont="1" applyFill="1" applyBorder="1" applyAlignment="1" applyProtection="1">
      <alignment horizontal="left" vertical="center"/>
      <protection/>
    </xf>
    <xf numFmtId="0" fontId="4" fillId="36" borderId="10" xfId="0" applyFont="1" applyFill="1" applyBorder="1" applyAlignment="1" applyProtection="1">
      <alignment vertical="center"/>
      <protection/>
    </xf>
    <xf numFmtId="37" fontId="4" fillId="36" borderId="16" xfId="0" applyNumberFormat="1" applyFont="1" applyFill="1" applyBorder="1" applyAlignment="1" applyProtection="1">
      <alignment horizontal="left" vertical="center"/>
      <protection/>
    </xf>
    <xf numFmtId="0" fontId="4" fillId="36" borderId="16" xfId="0" applyFont="1" applyFill="1" applyBorder="1" applyAlignment="1" applyProtection="1">
      <alignment vertical="center"/>
      <protection/>
    </xf>
    <xf numFmtId="0" fontId="4" fillId="35" borderId="16" xfId="0" applyFont="1" applyFill="1" applyBorder="1" applyAlignment="1" applyProtection="1">
      <alignment vertical="center"/>
      <protection/>
    </xf>
    <xf numFmtId="3" fontId="4" fillId="35"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5" borderId="0" xfId="0" applyFont="1" applyFill="1" applyAlignment="1" applyProtection="1">
      <alignment vertical="center"/>
      <protection locked="0"/>
    </xf>
    <xf numFmtId="0" fontId="4" fillId="35" borderId="10"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locked="0"/>
    </xf>
    <xf numFmtId="0" fontId="4" fillId="38" borderId="10" xfId="0" applyFont="1" applyFill="1" applyBorder="1" applyAlignment="1" applyProtection="1">
      <alignment vertical="center"/>
      <protection locked="0"/>
    </xf>
    <xf numFmtId="0" fontId="4" fillId="35" borderId="0" xfId="0" applyFont="1" applyFill="1" applyBorder="1" applyAlignment="1" applyProtection="1">
      <alignment vertical="center"/>
      <protection locked="0"/>
    </xf>
    <xf numFmtId="0" fontId="4" fillId="38" borderId="16"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5" borderId="0" xfId="0" applyNumberFormat="1" applyFont="1" applyFill="1" applyAlignment="1">
      <alignment vertical="center"/>
    </xf>
    <xf numFmtId="3" fontId="4" fillId="35" borderId="0" xfId="0" applyNumberFormat="1" applyFont="1" applyFill="1" applyAlignment="1" applyProtection="1">
      <alignment vertical="center"/>
      <protection/>
    </xf>
    <xf numFmtId="37" fontId="4" fillId="35" borderId="16" xfId="0" applyNumberFormat="1" applyFont="1" applyFill="1" applyBorder="1" applyAlignment="1" applyProtection="1">
      <alignment horizontal="left" vertical="center"/>
      <protection/>
    </xf>
    <xf numFmtId="37" fontId="4" fillId="33" borderId="11" xfId="0" applyNumberFormat="1" applyFont="1" applyFill="1" applyBorder="1" applyAlignment="1" applyProtection="1">
      <alignment vertical="center"/>
      <protection locked="0"/>
    </xf>
    <xf numFmtId="37" fontId="4" fillId="35" borderId="17" xfId="0" applyNumberFormat="1" applyFont="1" applyFill="1" applyBorder="1" applyAlignment="1" applyProtection="1">
      <alignment horizontal="left" vertical="center"/>
      <protection/>
    </xf>
    <xf numFmtId="3" fontId="4" fillId="35" borderId="15" xfId="0" applyNumberFormat="1" applyFont="1" applyFill="1" applyBorder="1" applyAlignment="1" applyProtection="1">
      <alignment vertical="center"/>
      <protection/>
    </xf>
    <xf numFmtId="3" fontId="4" fillId="35" borderId="14" xfId="0" applyNumberFormat="1" applyFont="1" applyFill="1" applyBorder="1" applyAlignment="1" applyProtection="1">
      <alignment vertical="center"/>
      <protection/>
    </xf>
    <xf numFmtId="3" fontId="4" fillId="35" borderId="16" xfId="0" applyNumberFormat="1" applyFont="1" applyFill="1" applyBorder="1" applyAlignment="1" applyProtection="1">
      <alignment vertical="center"/>
      <protection/>
    </xf>
    <xf numFmtId="0" fontId="5" fillId="35" borderId="0" xfId="0" applyFont="1" applyFill="1" applyAlignment="1" applyProtection="1">
      <alignment vertical="center"/>
      <protection/>
    </xf>
    <xf numFmtId="37" fontId="4" fillId="35" borderId="10" xfId="0" applyNumberFormat="1" applyFont="1" applyFill="1" applyBorder="1" applyAlignment="1" applyProtection="1">
      <alignment vertical="center"/>
      <protection/>
    </xf>
    <xf numFmtId="0" fontId="0" fillId="35" borderId="0" xfId="0" applyFill="1" applyAlignment="1">
      <alignment vertical="center"/>
    </xf>
    <xf numFmtId="0" fontId="4" fillId="36" borderId="12" xfId="0" applyFont="1" applyFill="1" applyBorder="1" applyAlignment="1">
      <alignment horizontal="center" vertical="center"/>
    </xf>
    <xf numFmtId="0" fontId="4" fillId="36" borderId="18" xfId="0" applyFont="1" applyFill="1" applyBorder="1" applyAlignment="1">
      <alignment horizontal="center" vertical="center"/>
    </xf>
    <xf numFmtId="0" fontId="24" fillId="35" borderId="0" xfId="0" applyFont="1" applyFill="1" applyAlignment="1">
      <alignment vertical="center"/>
    </xf>
    <xf numFmtId="0" fontId="28" fillId="35" borderId="0" xfId="0" applyFont="1" applyFill="1" applyAlignment="1">
      <alignment vertical="center"/>
    </xf>
    <xf numFmtId="0" fontId="4" fillId="36" borderId="13" xfId="0" applyFont="1" applyFill="1" applyBorder="1" applyAlignment="1">
      <alignment horizontal="center" vertical="center"/>
    </xf>
    <xf numFmtId="37" fontId="4" fillId="35" borderId="13" xfId="0" applyNumberFormat="1" applyFont="1" applyFill="1" applyBorder="1" applyAlignment="1">
      <alignment vertical="center"/>
    </xf>
    <xf numFmtId="0" fontId="18" fillId="35" borderId="0" xfId="0" applyFont="1" applyFill="1" applyAlignment="1">
      <alignment vertical="center"/>
    </xf>
    <xf numFmtId="0" fontId="18" fillId="0" borderId="0" xfId="0" applyFont="1" applyAlignment="1">
      <alignment vertical="center"/>
    </xf>
    <xf numFmtId="0" fontId="18" fillId="35" borderId="0" xfId="0" applyFont="1" applyFill="1" applyAlignment="1" applyProtection="1">
      <alignment vertical="center"/>
      <protection/>
    </xf>
    <xf numFmtId="37" fontId="18" fillId="35" borderId="0" xfId="0" applyNumberFormat="1" applyFont="1" applyFill="1" applyAlignment="1" applyProtection="1">
      <alignment horizontal="centerContinuous" vertical="center"/>
      <protection/>
    </xf>
    <xf numFmtId="0" fontId="18" fillId="35" borderId="0" xfId="0" applyFont="1" applyFill="1" applyAlignment="1" applyProtection="1">
      <alignment horizontal="centerContinuous" vertical="center"/>
      <protection/>
    </xf>
    <xf numFmtId="37" fontId="18" fillId="35" borderId="0" xfId="0" applyNumberFormat="1" applyFont="1" applyFill="1" applyAlignment="1" applyProtection="1">
      <alignment horizontal="left" vertical="center"/>
      <protection/>
    </xf>
    <xf numFmtId="37" fontId="18" fillId="35" borderId="0" xfId="0" applyNumberFormat="1" applyFont="1" applyFill="1" applyAlignment="1" applyProtection="1">
      <alignment horizontal="fill" vertical="center"/>
      <protection/>
    </xf>
    <xf numFmtId="37" fontId="18" fillId="35" borderId="17" xfId="0" applyNumberFormat="1" applyFont="1" applyFill="1" applyBorder="1" applyAlignment="1" applyProtection="1">
      <alignment horizontal="centerContinuous" vertical="center"/>
      <protection/>
    </xf>
    <xf numFmtId="0" fontId="18" fillId="35" borderId="16" xfId="0" applyFont="1" applyFill="1" applyBorder="1" applyAlignment="1" applyProtection="1">
      <alignment horizontal="centerContinuous" vertical="center"/>
      <protection/>
    </xf>
    <xf numFmtId="0" fontId="18" fillId="35" borderId="14" xfId="0" applyFont="1" applyFill="1" applyBorder="1" applyAlignment="1" applyProtection="1">
      <alignment horizontal="centerContinuous" vertical="center"/>
      <protection/>
    </xf>
    <xf numFmtId="37" fontId="18" fillId="35" borderId="12" xfId="0" applyNumberFormat="1" applyFont="1" applyFill="1" applyBorder="1" applyAlignment="1" applyProtection="1">
      <alignment horizontal="center" vertical="center"/>
      <protection/>
    </xf>
    <xf numFmtId="37" fontId="19" fillId="35" borderId="10" xfId="0" applyNumberFormat="1" applyFont="1" applyFill="1" applyBorder="1" applyAlignment="1" applyProtection="1">
      <alignment horizontal="left" vertical="center"/>
      <protection/>
    </xf>
    <xf numFmtId="0" fontId="18" fillId="35" borderId="10" xfId="0" applyFont="1" applyFill="1" applyBorder="1" applyAlignment="1" applyProtection="1">
      <alignment vertical="center"/>
      <protection/>
    </xf>
    <xf numFmtId="37" fontId="18" fillId="35" borderId="13" xfId="0" applyNumberFormat="1" applyFont="1" applyFill="1" applyBorder="1" applyAlignment="1" applyProtection="1">
      <alignment horizontal="center" vertical="center"/>
      <protection/>
    </xf>
    <xf numFmtId="37" fontId="18" fillId="35" borderId="18" xfId="0" applyNumberFormat="1" applyFont="1" applyFill="1" applyBorder="1" applyAlignment="1" applyProtection="1">
      <alignment horizontal="center" vertical="center"/>
      <protection/>
    </xf>
    <xf numFmtId="0" fontId="18" fillId="35" borderId="0" xfId="0" applyFont="1" applyFill="1" applyBorder="1" applyAlignment="1" applyProtection="1">
      <alignment vertical="center"/>
      <protection/>
    </xf>
    <xf numFmtId="37" fontId="18" fillId="35" borderId="17" xfId="0" applyNumberFormat="1" applyFont="1" applyFill="1" applyBorder="1" applyAlignment="1" applyProtection="1">
      <alignment horizontal="left" vertical="center"/>
      <protection/>
    </xf>
    <xf numFmtId="0" fontId="18" fillId="35" borderId="14" xfId="0" applyFont="1" applyFill="1" applyBorder="1" applyAlignment="1" applyProtection="1">
      <alignment vertical="center"/>
      <protection/>
    </xf>
    <xf numFmtId="37" fontId="18" fillId="35" borderId="15" xfId="0" applyNumberFormat="1" applyFont="1" applyFill="1" applyBorder="1" applyAlignment="1" applyProtection="1">
      <alignment horizontal="center" vertical="center"/>
      <protection/>
    </xf>
    <xf numFmtId="37" fontId="18" fillId="35" borderId="11" xfId="0" applyNumberFormat="1" applyFont="1" applyFill="1" applyBorder="1" applyAlignment="1" applyProtection="1">
      <alignment horizontal="center" vertical="center"/>
      <protection/>
    </xf>
    <xf numFmtId="0" fontId="18" fillId="35" borderId="18" xfId="0" applyFont="1" applyFill="1" applyBorder="1" applyAlignment="1" applyProtection="1">
      <alignment vertical="center"/>
      <protection/>
    </xf>
    <xf numFmtId="37" fontId="18" fillId="35" borderId="14" xfId="0" applyNumberFormat="1" applyFont="1" applyFill="1" applyBorder="1" applyAlignment="1" applyProtection="1">
      <alignment horizontal="center" vertical="center"/>
      <protection/>
    </xf>
    <xf numFmtId="37" fontId="27" fillId="35" borderId="13" xfId="0" applyNumberFormat="1" applyFont="1" applyFill="1" applyBorder="1" applyAlignment="1" applyProtection="1">
      <alignment horizontal="left" vertical="center"/>
      <protection/>
    </xf>
    <xf numFmtId="37" fontId="27" fillId="35" borderId="13" xfId="0" applyNumberFormat="1" applyFont="1" applyFill="1" applyBorder="1" applyAlignment="1" applyProtection="1">
      <alignment horizontal="center" vertical="center"/>
      <protection/>
    </xf>
    <xf numFmtId="0" fontId="18" fillId="35" borderId="11" xfId="0" applyFont="1" applyFill="1" applyBorder="1" applyAlignment="1" applyProtection="1">
      <alignment vertical="center"/>
      <protection/>
    </xf>
    <xf numFmtId="0" fontId="18" fillId="35" borderId="13" xfId="0" applyFont="1" applyFill="1" applyBorder="1" applyAlignment="1" applyProtection="1">
      <alignment vertical="center"/>
      <protection/>
    </xf>
    <xf numFmtId="37" fontId="18" fillId="35" borderId="17" xfId="0" applyNumberFormat="1" applyFont="1" applyFill="1" applyBorder="1" applyAlignment="1" applyProtection="1">
      <alignment horizontal="center" vertical="center"/>
      <protection/>
    </xf>
    <xf numFmtId="37" fontId="18" fillId="35" borderId="11" xfId="0" applyNumberFormat="1" applyFont="1" applyFill="1" applyBorder="1" applyAlignment="1" applyProtection="1">
      <alignment vertical="center"/>
      <protection/>
    </xf>
    <xf numFmtId="183" fontId="4" fillId="35" borderId="11" xfId="0" applyNumberFormat="1" applyFont="1" applyFill="1" applyBorder="1" applyAlignment="1" applyProtection="1">
      <alignment vertical="center"/>
      <protection/>
    </xf>
    <xf numFmtId="37" fontId="4" fillId="35" borderId="11" xfId="0" applyNumberFormat="1" applyFont="1" applyFill="1" applyBorder="1" applyAlignment="1" applyProtection="1">
      <alignment horizontal="center" vertical="center"/>
      <protection/>
    </xf>
    <xf numFmtId="0" fontId="18" fillId="35" borderId="11" xfId="0" applyFont="1" applyFill="1" applyBorder="1" applyAlignment="1" applyProtection="1">
      <alignment horizontal="center" vertical="center"/>
      <protection/>
    </xf>
    <xf numFmtId="0" fontId="18" fillId="35" borderId="12" xfId="0" applyFont="1" applyFill="1" applyBorder="1" applyAlignment="1" applyProtection="1">
      <alignment vertical="center"/>
      <protection/>
    </xf>
    <xf numFmtId="37" fontId="19" fillId="35" borderId="12" xfId="0" applyNumberFormat="1" applyFont="1" applyFill="1" applyBorder="1" applyAlignment="1" applyProtection="1">
      <alignment horizontal="left" vertical="center"/>
      <protection/>
    </xf>
    <xf numFmtId="37" fontId="18" fillId="35" borderId="19" xfId="0" applyNumberFormat="1" applyFont="1" applyFill="1" applyBorder="1" applyAlignment="1" applyProtection="1">
      <alignment vertical="center"/>
      <protection/>
    </xf>
    <xf numFmtId="183" fontId="18" fillId="35" borderId="19" xfId="0" applyNumberFormat="1" applyFont="1" applyFill="1" applyBorder="1" applyAlignment="1" applyProtection="1">
      <alignment vertical="center"/>
      <protection/>
    </xf>
    <xf numFmtId="37" fontId="18" fillId="35" borderId="20" xfId="0" applyNumberFormat="1" applyFont="1" applyFill="1" applyBorder="1" applyAlignment="1" applyProtection="1">
      <alignment horizontal="left" vertical="center"/>
      <protection/>
    </xf>
    <xf numFmtId="0" fontId="18" fillId="35" borderId="21" xfId="0" applyFont="1" applyFill="1" applyBorder="1" applyAlignment="1" applyProtection="1">
      <alignment vertical="center"/>
      <protection/>
    </xf>
    <xf numFmtId="37" fontId="18" fillId="35" borderId="0" xfId="0" applyNumberFormat="1" applyFont="1" applyFill="1" applyBorder="1" applyAlignment="1" applyProtection="1">
      <alignment vertical="center"/>
      <protection/>
    </xf>
    <xf numFmtId="0" fontId="18" fillId="35" borderId="0" xfId="0" applyFont="1" applyFill="1" applyAlignment="1" applyProtection="1">
      <alignment horizontal="center" vertical="center"/>
      <protection/>
    </xf>
    <xf numFmtId="0" fontId="4" fillId="39" borderId="11" xfId="0" applyFont="1" applyFill="1" applyBorder="1" applyAlignment="1">
      <alignment horizontal="center" vertical="center" shrinkToFit="1"/>
    </xf>
    <xf numFmtId="0" fontId="24" fillId="39" borderId="14" xfId="0" applyFont="1" applyFill="1" applyBorder="1" applyAlignment="1" applyProtection="1">
      <alignment horizontal="center" vertical="center"/>
      <protection/>
    </xf>
    <xf numFmtId="3" fontId="18" fillId="33" borderId="11" xfId="0" applyNumberFormat="1" applyFont="1" applyFill="1" applyBorder="1" applyAlignment="1" applyProtection="1">
      <alignment vertical="center"/>
      <protection locked="0"/>
    </xf>
    <xf numFmtId="37" fontId="18" fillId="35" borderId="14" xfId="0" applyNumberFormat="1" applyFont="1" applyFill="1" applyBorder="1" applyAlignment="1" applyProtection="1">
      <alignment horizontal="fill" vertical="center"/>
      <protection/>
    </xf>
    <xf numFmtId="37" fontId="18" fillId="35" borderId="0" xfId="0" applyNumberFormat="1" applyFont="1" applyFill="1" applyAlignment="1" applyProtection="1">
      <alignment horizontal="right" vertical="center"/>
      <protection/>
    </xf>
    <xf numFmtId="0" fontId="18" fillId="33" borderId="10" xfId="0" applyFont="1" applyFill="1" applyBorder="1" applyAlignment="1" applyProtection="1">
      <alignment vertical="center"/>
      <protection locked="0"/>
    </xf>
    <xf numFmtId="0" fontId="18" fillId="35" borderId="0" xfId="0" applyFont="1" applyFill="1" applyAlignment="1" applyProtection="1">
      <alignment vertical="center"/>
      <protection locked="0"/>
    </xf>
    <xf numFmtId="0" fontId="18" fillId="33" borderId="16" xfId="0" applyFont="1" applyFill="1" applyBorder="1" applyAlignment="1" applyProtection="1">
      <alignment vertical="center"/>
      <protection locked="0"/>
    </xf>
    <xf numFmtId="37" fontId="18" fillId="35" borderId="10" xfId="0" applyNumberFormat="1" applyFont="1" applyFill="1" applyBorder="1" applyAlignment="1" applyProtection="1">
      <alignment horizontal="fill" vertical="center"/>
      <protection locked="0"/>
    </xf>
    <xf numFmtId="0" fontId="18" fillId="35" borderId="0" xfId="0" applyFont="1" applyFill="1" applyAlignment="1" applyProtection="1">
      <alignment horizontal="right" vertical="center"/>
      <protection/>
    </xf>
    <xf numFmtId="0" fontId="18" fillId="35" borderId="0" xfId="0" applyFont="1" applyFill="1" applyAlignment="1" applyProtection="1">
      <alignment horizontal="centerContinuous" vertical="center"/>
      <protection locked="0"/>
    </xf>
    <xf numFmtId="0" fontId="18" fillId="35" borderId="10" xfId="0" applyFont="1" applyFill="1" applyBorder="1" applyAlignment="1" applyProtection="1">
      <alignment vertical="center"/>
      <protection locked="0"/>
    </xf>
    <xf numFmtId="0" fontId="18" fillId="35"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5" borderId="0" xfId="0" applyNumberFormat="1" applyFont="1" applyFill="1" applyAlignment="1" applyProtection="1">
      <alignment horizontal="centerContinuous" vertical="center"/>
      <protection/>
    </xf>
    <xf numFmtId="37" fontId="4" fillId="35" borderId="17" xfId="0" applyNumberFormat="1" applyFont="1" applyFill="1" applyBorder="1" applyAlignment="1" applyProtection="1">
      <alignment horizontal="centerContinuous" vertical="center"/>
      <protection/>
    </xf>
    <xf numFmtId="0" fontId="4" fillId="35" borderId="16" xfId="0" applyFont="1" applyFill="1" applyBorder="1" applyAlignment="1" applyProtection="1">
      <alignment horizontal="centerContinuous" vertical="center"/>
      <protection/>
    </xf>
    <xf numFmtId="0" fontId="4" fillId="35" borderId="14" xfId="0" applyFont="1" applyFill="1" applyBorder="1" applyAlignment="1" applyProtection="1">
      <alignment horizontal="centerContinuous" vertical="center"/>
      <protection/>
    </xf>
    <xf numFmtId="37" fontId="4" fillId="35"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37" fontId="4" fillId="35" borderId="0" xfId="0" applyNumberFormat="1" applyFont="1" applyFill="1" applyAlignment="1" applyProtection="1">
      <alignment vertical="center"/>
      <protection/>
    </xf>
    <xf numFmtId="0" fontId="5" fillId="35" borderId="0" xfId="0" applyFont="1" applyFill="1" applyAlignment="1" applyProtection="1">
      <alignment horizontal="center" vertical="center"/>
      <protection/>
    </xf>
    <xf numFmtId="0" fontId="5" fillId="35" borderId="0" xfId="0" applyFont="1" applyFill="1" applyAlignment="1" applyProtection="1">
      <alignment horizontal="center" vertical="center" wrapText="1"/>
      <protection/>
    </xf>
    <xf numFmtId="0" fontId="4" fillId="35" borderId="0" xfId="0" applyFont="1" applyFill="1" applyAlignment="1" applyProtection="1" quotePrefix="1">
      <alignment vertical="center"/>
      <protection/>
    </xf>
    <xf numFmtId="3" fontId="4" fillId="35" borderId="0" xfId="0" applyNumberFormat="1" applyFont="1" applyFill="1" applyAlignment="1" applyProtection="1" quotePrefix="1">
      <alignment vertical="center"/>
      <protection/>
    </xf>
    <xf numFmtId="3" fontId="4" fillId="35" borderId="10" xfId="0" applyNumberFormat="1" applyFont="1" applyFill="1" applyBorder="1" applyAlignment="1" applyProtection="1">
      <alignment vertical="center"/>
      <protection/>
    </xf>
    <xf numFmtId="3" fontId="4" fillId="35" borderId="22" xfId="0" applyNumberFormat="1" applyFont="1" applyFill="1" applyBorder="1" applyAlignment="1" applyProtection="1">
      <alignment vertical="center"/>
      <protection/>
    </xf>
    <xf numFmtId="0" fontId="4" fillId="35" borderId="22" xfId="0" applyFont="1" applyFill="1" applyBorder="1" applyAlignment="1" applyProtection="1">
      <alignment vertical="center"/>
      <protection/>
    </xf>
    <xf numFmtId="171" fontId="4" fillId="35" borderId="10" xfId="0" applyNumberFormat="1" applyFont="1" applyFill="1" applyBorder="1" applyAlignment="1" applyProtection="1">
      <alignment vertical="center"/>
      <protection/>
    </xf>
    <xf numFmtId="0" fontId="4" fillId="35" borderId="0" xfId="0" applyFont="1" applyFill="1" applyBorder="1" applyAlignment="1" applyProtection="1" quotePrefix="1">
      <alignment vertical="center"/>
      <protection/>
    </xf>
    <xf numFmtId="3" fontId="4" fillId="35" borderId="23" xfId="0" applyNumberFormat="1" applyFont="1" applyFill="1" applyBorder="1" applyAlignment="1" applyProtection="1">
      <alignment vertical="center"/>
      <protection/>
    </xf>
    <xf numFmtId="0" fontId="7" fillId="0" borderId="0" xfId="0" applyFont="1" applyAlignment="1">
      <alignment vertical="center"/>
    </xf>
    <xf numFmtId="37" fontId="4" fillId="35" borderId="0" xfId="0" applyNumberFormat="1" applyFont="1" applyFill="1" applyAlignment="1" applyProtection="1">
      <alignment horizontal="right" vertical="center"/>
      <protection/>
    </xf>
    <xf numFmtId="0" fontId="5" fillId="35" borderId="10"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35" borderId="21" xfId="0" applyFont="1" applyFill="1" applyBorder="1" applyAlignment="1" applyProtection="1">
      <alignment horizontal="center" vertical="center"/>
      <protection/>
    </xf>
    <xf numFmtId="0" fontId="5" fillId="35" borderId="18" xfId="0" applyFont="1" applyFill="1" applyBorder="1" applyAlignment="1" applyProtection="1">
      <alignment horizontal="center" vertical="center"/>
      <protection/>
    </xf>
    <xf numFmtId="0" fontId="5" fillId="35" borderId="24"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0" fontId="4" fillId="35" borderId="26" xfId="0" applyFont="1" applyFill="1" applyBorder="1" applyAlignment="1" applyProtection="1">
      <alignment horizontal="center" vertical="center"/>
      <protection/>
    </xf>
    <xf numFmtId="0" fontId="4" fillId="33" borderId="13" xfId="0" applyFont="1" applyFill="1" applyBorder="1" applyAlignment="1" applyProtection="1">
      <alignment vertical="center"/>
      <protection locked="0"/>
    </xf>
    <xf numFmtId="175" fontId="4" fillId="33" borderId="13" xfId="42" applyNumberFormat="1" applyFont="1" applyFill="1" applyBorder="1" applyAlignment="1" applyProtection="1">
      <alignment vertical="center"/>
      <protection locked="0"/>
    </xf>
    <xf numFmtId="175" fontId="4" fillId="33" borderId="11" xfId="42" applyNumberFormat="1"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4" fillId="35" borderId="11"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locked="0"/>
    </xf>
    <xf numFmtId="1" fontId="4" fillId="35" borderId="0" xfId="0" applyNumberFormat="1" applyFont="1" applyFill="1" applyBorder="1" applyAlignment="1" applyProtection="1">
      <alignment horizontal="right" vertical="center"/>
      <protection/>
    </xf>
    <xf numFmtId="0" fontId="5" fillId="35" borderId="0" xfId="401" applyFont="1" applyFill="1" applyAlignment="1" applyProtection="1">
      <alignment horizontal="centerContinuous" vertical="center"/>
      <protection/>
    </xf>
    <xf numFmtId="0" fontId="4" fillId="35" borderId="10" xfId="0" applyFont="1" applyFill="1" applyBorder="1" applyAlignment="1" applyProtection="1">
      <alignment horizontal="fill" vertical="center"/>
      <protection/>
    </xf>
    <xf numFmtId="0" fontId="4" fillId="35" borderId="12" xfId="0" applyFont="1" applyFill="1" applyBorder="1" applyAlignment="1" applyProtection="1">
      <alignment horizontal="center" vertical="center"/>
      <protection/>
    </xf>
    <xf numFmtId="0" fontId="4" fillId="35" borderId="20" xfId="0" applyFont="1" applyFill="1" applyBorder="1" applyAlignment="1" applyProtection="1">
      <alignment horizontal="centerContinuous" vertical="center"/>
      <protection/>
    </xf>
    <xf numFmtId="0" fontId="4" fillId="35" borderId="21" xfId="0" applyFont="1" applyFill="1" applyBorder="1" applyAlignment="1" applyProtection="1">
      <alignment horizontal="centerContinuous" vertical="center"/>
      <protection/>
    </xf>
    <xf numFmtId="0" fontId="4" fillId="35" borderId="18" xfId="0" applyFont="1" applyFill="1" applyBorder="1" applyAlignment="1" applyProtection="1">
      <alignment horizontal="center" vertical="center"/>
      <protection/>
    </xf>
    <xf numFmtId="1" fontId="4" fillId="35" borderId="27" xfId="0" applyNumberFormat="1" applyFont="1" applyFill="1" applyBorder="1" applyAlignment="1" applyProtection="1">
      <alignment horizontal="center" vertical="center"/>
      <protection/>
    </xf>
    <xf numFmtId="0" fontId="4" fillId="35" borderId="11" xfId="0" applyFont="1" applyFill="1" applyBorder="1" applyAlignment="1" applyProtection="1">
      <alignment horizontal="left" vertical="center"/>
      <protection/>
    </xf>
    <xf numFmtId="0" fontId="4" fillId="35" borderId="13" xfId="0" applyFont="1" applyFill="1" applyBorder="1" applyAlignment="1" applyProtection="1">
      <alignment horizontal="center" vertical="center"/>
      <protection/>
    </xf>
    <xf numFmtId="2" fontId="4" fillId="35" borderId="11" xfId="0" applyNumberFormat="1" applyFont="1" applyFill="1" applyBorder="1" applyAlignment="1" applyProtection="1">
      <alignment vertical="center"/>
      <protection/>
    </xf>
    <xf numFmtId="3" fontId="4" fillId="35" borderId="11" xfId="0" applyNumberFormat="1" applyFont="1" applyFill="1" applyBorder="1" applyAlignment="1" applyProtection="1">
      <alignment vertical="center"/>
      <protection/>
    </xf>
    <xf numFmtId="0" fontId="4" fillId="33" borderId="11" xfId="0" applyFont="1" applyFill="1" applyBorder="1" applyAlignment="1" applyProtection="1">
      <alignment horizontal="center" vertical="center"/>
      <protection locked="0"/>
    </xf>
    <xf numFmtId="2" fontId="4" fillId="33" borderId="11" xfId="0" applyNumberFormat="1" applyFont="1" applyFill="1" applyBorder="1" applyAlignment="1" applyProtection="1">
      <alignment horizontal="center" vertical="center"/>
      <protection locked="0"/>
    </xf>
    <xf numFmtId="3" fontId="4" fillId="33" borderId="11" xfId="0" applyNumberFormat="1" applyFont="1" applyFill="1" applyBorder="1" applyAlignment="1" applyProtection="1">
      <alignment horizontal="center" vertical="center"/>
      <protection locked="0"/>
    </xf>
    <xf numFmtId="37" fontId="4" fillId="33" borderId="11" xfId="0" applyNumberFormat="1" applyFont="1" applyFill="1" applyBorder="1" applyAlignment="1" applyProtection="1">
      <alignment horizontal="center" vertical="center"/>
      <protection locked="0"/>
    </xf>
    <xf numFmtId="173" fontId="4" fillId="33" borderId="11" xfId="0" applyNumberFormat="1"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xf>
    <xf numFmtId="172" fontId="5" fillId="35" borderId="11" xfId="0" applyNumberFormat="1" applyFont="1" applyFill="1" applyBorder="1" applyAlignment="1" applyProtection="1">
      <alignment horizontal="center" vertical="center"/>
      <protection/>
    </xf>
    <xf numFmtId="2" fontId="5" fillId="35" borderId="11"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xf>
    <xf numFmtId="37" fontId="5" fillId="37" borderId="11" xfId="0" applyNumberFormat="1" applyFont="1" applyFill="1" applyBorder="1" applyAlignment="1" applyProtection="1">
      <alignment horizontal="center" vertical="center"/>
      <protection/>
    </xf>
    <xf numFmtId="173" fontId="5" fillId="35" borderId="11" xfId="0" applyNumberFormat="1" applyFont="1" applyFill="1" applyBorder="1" applyAlignment="1" applyProtection="1">
      <alignment horizontal="center" vertical="center"/>
      <protection/>
    </xf>
    <xf numFmtId="172" fontId="4" fillId="35" borderId="11" xfId="0" applyNumberFormat="1" applyFont="1" applyFill="1" applyBorder="1" applyAlignment="1" applyProtection="1">
      <alignment horizontal="center" vertical="center"/>
      <protection/>
    </xf>
    <xf numFmtId="2" fontId="4" fillId="35" borderId="11" xfId="0" applyNumberFormat="1" applyFont="1" applyFill="1" applyBorder="1" applyAlignment="1" applyProtection="1">
      <alignment horizontal="center" vertical="center"/>
      <protection/>
    </xf>
    <xf numFmtId="3" fontId="4" fillId="35" borderId="11" xfId="0" applyNumberFormat="1" applyFont="1" applyFill="1" applyBorder="1" applyAlignment="1" applyProtection="1">
      <alignment horizontal="center" vertical="center"/>
      <protection/>
    </xf>
    <xf numFmtId="173" fontId="4" fillId="35" borderId="11" xfId="0" applyNumberFormat="1" applyFont="1" applyFill="1" applyBorder="1" applyAlignment="1" applyProtection="1">
      <alignment horizontal="center" vertical="center"/>
      <protection/>
    </xf>
    <xf numFmtId="1" fontId="5" fillId="35" borderId="11" xfId="0" applyNumberFormat="1" applyFont="1" applyFill="1" applyBorder="1" applyAlignment="1" applyProtection="1">
      <alignment horizontal="center" vertical="center"/>
      <protection/>
    </xf>
    <xf numFmtId="3" fontId="5" fillId="37" borderId="11" xfId="0" applyNumberFormat="1" applyFont="1" applyFill="1" applyBorder="1" applyAlignment="1" applyProtection="1">
      <alignment horizontal="center" vertical="center"/>
      <protection/>
    </xf>
    <xf numFmtId="1" fontId="4" fillId="35" borderId="11"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5" borderId="0" xfId="0" applyNumberFormat="1" applyFont="1" applyFill="1" applyAlignment="1" applyProtection="1">
      <alignment horizontal="right" vertical="center"/>
      <protection/>
    </xf>
    <xf numFmtId="0" fontId="4" fillId="35" borderId="0" xfId="0" applyFont="1" applyFill="1" applyAlignment="1" applyProtection="1">
      <alignment horizontal="right" vertical="center"/>
      <protection/>
    </xf>
    <xf numFmtId="0" fontId="4" fillId="35" borderId="28" xfId="0" applyFont="1" applyFill="1" applyBorder="1" applyAlignment="1" applyProtection="1">
      <alignment vertical="center"/>
      <protection/>
    </xf>
    <xf numFmtId="0" fontId="4" fillId="35" borderId="12" xfId="0" applyFont="1" applyFill="1" applyBorder="1" applyAlignment="1" applyProtection="1">
      <alignment vertical="center"/>
      <protection/>
    </xf>
    <xf numFmtId="0" fontId="4" fillId="35" borderId="27" xfId="0" applyFont="1" applyFill="1" applyBorder="1" applyAlignment="1" applyProtection="1">
      <alignment horizontal="left" vertical="center"/>
      <protection/>
    </xf>
    <xf numFmtId="0" fontId="8" fillId="35" borderId="13" xfId="0" applyFont="1" applyFill="1" applyBorder="1" applyAlignment="1" applyProtection="1">
      <alignment horizontal="center" vertical="center"/>
      <protection/>
    </xf>
    <xf numFmtId="14" fontId="4" fillId="35" borderId="13" xfId="0" applyNumberFormat="1" applyFont="1" applyFill="1" applyBorder="1" applyAlignment="1" applyProtection="1" quotePrefix="1">
      <alignment horizontal="center" vertical="center"/>
      <protection/>
    </xf>
    <xf numFmtId="0" fontId="4" fillId="33" borderId="11" xfId="0" applyFont="1" applyFill="1" applyBorder="1" applyAlignment="1" applyProtection="1">
      <alignment vertical="center"/>
      <protection locked="0"/>
    </xf>
    <xf numFmtId="1" fontId="4" fillId="33" borderId="11" xfId="0" applyNumberFormat="1" applyFont="1" applyFill="1" applyBorder="1" applyAlignment="1" applyProtection="1">
      <alignment vertical="center"/>
      <protection locked="0"/>
    </xf>
    <xf numFmtId="2" fontId="4" fillId="33" borderId="11" xfId="0" applyNumberFormat="1" applyFont="1" applyFill="1" applyBorder="1" applyAlignment="1" applyProtection="1">
      <alignment vertical="center"/>
      <protection locked="0"/>
    </xf>
    <xf numFmtId="3" fontId="5" fillId="37" borderId="19" xfId="0" applyNumberFormat="1" applyFont="1" applyFill="1" applyBorder="1" applyAlignment="1" applyProtection="1">
      <alignment vertical="center"/>
      <protection/>
    </xf>
    <xf numFmtId="0" fontId="4" fillId="0" borderId="0" xfId="0" applyFont="1" applyBorder="1" applyAlignment="1">
      <alignment vertical="center"/>
    </xf>
    <xf numFmtId="0" fontId="4" fillId="34" borderId="0" xfId="400" applyFont="1" applyFill="1" applyAlignment="1" applyProtection="1">
      <alignment vertical="center"/>
      <protection/>
    </xf>
    <xf numFmtId="0" fontId="4" fillId="34" borderId="0" xfId="0" applyFont="1" applyFill="1" applyAlignment="1" applyProtection="1">
      <alignment vertical="center"/>
      <protection/>
    </xf>
    <xf numFmtId="1" fontId="4" fillId="35" borderId="13" xfId="0" applyNumberFormat="1" applyFont="1" applyFill="1" applyBorder="1" applyAlignment="1" applyProtection="1">
      <alignment horizontal="center" vertical="center"/>
      <protection/>
    </xf>
    <xf numFmtId="0" fontId="4" fillId="35" borderId="17" xfId="0"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7" fontId="4" fillId="35" borderId="17" xfId="0" applyNumberFormat="1" applyFont="1" applyFill="1" applyBorder="1" applyAlignment="1" applyProtection="1">
      <alignment vertical="center"/>
      <protection/>
    </xf>
    <xf numFmtId="0" fontId="4" fillId="33" borderId="17" xfId="0" applyFont="1" applyFill="1" applyBorder="1" applyAlignment="1" applyProtection="1">
      <alignment horizontal="left" vertical="center"/>
      <protection locked="0"/>
    </xf>
    <xf numFmtId="0" fontId="4" fillId="35" borderId="17" xfId="0" applyFont="1" applyFill="1" applyBorder="1" applyAlignment="1" applyProtection="1">
      <alignment vertical="center"/>
      <protection/>
    </xf>
    <xf numFmtId="3" fontId="24" fillId="40" borderId="21" xfId="0" applyNumberFormat="1" applyFont="1" applyFill="1" applyBorder="1" applyAlignment="1" applyProtection="1">
      <alignment horizontal="center" vertical="center"/>
      <protection/>
    </xf>
    <xf numFmtId="37" fontId="5" fillId="35" borderId="17" xfId="0" applyNumberFormat="1" applyFont="1" applyFill="1" applyBorder="1" applyAlignment="1" applyProtection="1">
      <alignment horizontal="left" vertical="center"/>
      <protection/>
    </xf>
    <xf numFmtId="0" fontId="4" fillId="35" borderId="13" xfId="0" applyNumberFormat="1" applyFont="1" applyFill="1" applyBorder="1" applyAlignment="1" applyProtection="1">
      <alignment horizontal="center" vertical="center"/>
      <protection/>
    </xf>
    <xf numFmtId="0" fontId="4" fillId="33" borderId="17" xfId="0" applyFont="1" applyFill="1" applyBorder="1" applyAlignment="1" applyProtection="1">
      <alignment vertical="center"/>
      <protection locked="0"/>
    </xf>
    <xf numFmtId="0" fontId="24" fillId="0" borderId="0" xfId="0" applyFont="1" applyAlignment="1">
      <alignment vertical="center"/>
    </xf>
    <xf numFmtId="0" fontId="25" fillId="35" borderId="0" xfId="0" applyFont="1" applyFill="1" applyAlignment="1" applyProtection="1">
      <alignment horizontal="center" vertical="center"/>
      <protection/>
    </xf>
    <xf numFmtId="1" fontId="4" fillId="35" borderId="12" xfId="0" applyNumberFormat="1" applyFont="1" applyFill="1" applyBorder="1" applyAlignment="1" applyProtection="1">
      <alignment horizontal="center" vertical="center"/>
      <protection/>
    </xf>
    <xf numFmtId="37" fontId="4" fillId="35" borderId="0" xfId="0" applyNumberFormat="1" applyFont="1" applyFill="1" applyAlignment="1" applyProtection="1">
      <alignment horizontal="fill" vertical="center"/>
      <protection/>
    </xf>
    <xf numFmtId="166" fontId="4" fillId="35" borderId="0" xfId="0" applyNumberFormat="1" applyFont="1" applyFill="1" applyAlignment="1" applyProtection="1">
      <alignment vertical="center"/>
      <protection/>
    </xf>
    <xf numFmtId="37" fontId="4" fillId="35" borderId="0" xfId="0" applyNumberFormat="1" applyFont="1" applyFill="1" applyAlignment="1" applyProtection="1" quotePrefix="1">
      <alignment horizontal="right" vertical="center"/>
      <protection/>
    </xf>
    <xf numFmtId="37" fontId="4" fillId="35" borderId="27" xfId="0" applyNumberFormat="1" applyFont="1" applyFill="1" applyBorder="1" applyAlignment="1" applyProtection="1">
      <alignment horizontal="left" vertical="center"/>
      <protection/>
    </xf>
    <xf numFmtId="3" fontId="4" fillId="35" borderId="11" xfId="0" applyNumberFormat="1" applyFont="1" applyFill="1" applyBorder="1" applyAlignment="1" applyProtection="1">
      <alignment horizontal="fill" vertical="center"/>
      <protection/>
    </xf>
    <xf numFmtId="3" fontId="24" fillId="40" borderId="11" xfId="0" applyNumberFormat="1" applyFont="1" applyFill="1" applyBorder="1" applyAlignment="1" applyProtection="1">
      <alignment horizontal="center" vertical="center"/>
      <protection/>
    </xf>
    <xf numFmtId="3" fontId="4" fillId="39" borderId="11"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3" fontId="5" fillId="37" borderId="11" xfId="0" applyNumberFormat="1" applyFont="1" applyFill="1" applyBorder="1" applyAlignment="1" applyProtection="1">
      <alignment vertical="center"/>
      <protection/>
    </xf>
    <xf numFmtId="0" fontId="4" fillId="0" borderId="0" xfId="0" applyFont="1" applyAlignment="1">
      <alignment horizontal="centerContinuous" vertical="center"/>
    </xf>
    <xf numFmtId="0" fontId="4" fillId="35" borderId="12" xfId="0" applyFont="1" applyFill="1" applyBorder="1" applyAlignment="1" applyProtection="1">
      <alignment horizontal="centerContinuous" vertical="center"/>
      <protection/>
    </xf>
    <xf numFmtId="1" fontId="4" fillId="35" borderId="17" xfId="0" applyNumberFormat="1" applyFont="1" applyFill="1" applyBorder="1" applyAlignment="1" applyProtection="1">
      <alignment horizontal="centerContinuous" vertical="center"/>
      <protection/>
    </xf>
    <xf numFmtId="164" fontId="4" fillId="35" borderId="11" xfId="0" applyNumberFormat="1" applyFont="1" applyFill="1" applyBorder="1" applyAlignment="1" applyProtection="1">
      <alignment vertical="center"/>
      <protection/>
    </xf>
    <xf numFmtId="37" fontId="4" fillId="35" borderId="11" xfId="0" applyNumberFormat="1" applyFont="1" applyFill="1" applyBorder="1" applyAlignment="1" applyProtection="1">
      <alignment vertical="center"/>
      <protection locked="0"/>
    </xf>
    <xf numFmtId="1" fontId="4" fillId="35" borderId="0" xfId="0" applyNumberFormat="1" applyFont="1" applyFill="1" applyAlignment="1" applyProtection="1">
      <alignment vertical="center"/>
      <protection/>
    </xf>
    <xf numFmtId="1" fontId="6" fillId="35" borderId="0" xfId="0" applyNumberFormat="1" applyFont="1" applyFill="1" applyAlignment="1" applyProtection="1">
      <alignment horizontal="center" vertical="center"/>
      <protection/>
    </xf>
    <xf numFmtId="37" fontId="4" fillId="35" borderId="19"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37" fontId="18" fillId="35" borderId="0" xfId="0" applyNumberFormat="1" applyFont="1" applyFill="1" applyBorder="1" applyAlignment="1" applyProtection="1">
      <alignment horizontal="left" vertical="center"/>
      <protection/>
    </xf>
    <xf numFmtId="37" fontId="18" fillId="35" borderId="0" xfId="0" applyNumberFormat="1" applyFont="1" applyFill="1" applyBorder="1" applyAlignment="1" applyProtection="1">
      <alignment horizontal="fill" vertical="center"/>
      <protection/>
    </xf>
    <xf numFmtId="0" fontId="12" fillId="0" borderId="0" xfId="380" applyFont="1">
      <alignment/>
      <protection/>
    </xf>
    <xf numFmtId="0" fontId="12" fillId="0" borderId="0" xfId="380" applyNumberFormat="1" applyFont="1" applyAlignment="1">
      <alignment horizontal="left" vertical="center"/>
      <protection/>
    </xf>
    <xf numFmtId="0" fontId="4" fillId="0" borderId="0" xfId="380" applyFont="1" applyAlignment="1">
      <alignment horizontal="left" vertical="center"/>
      <protection/>
    </xf>
    <xf numFmtId="49" fontId="4" fillId="33" borderId="0" xfId="380" applyNumberFormat="1" applyFont="1" applyFill="1" applyAlignment="1" applyProtection="1">
      <alignment horizontal="left" vertical="center"/>
      <protection locked="0"/>
    </xf>
    <xf numFmtId="185" fontId="22" fillId="0" borderId="0" xfId="380" applyNumberFormat="1" applyFont="1" applyAlignment="1">
      <alignment horizontal="left" vertical="center"/>
      <protection/>
    </xf>
    <xf numFmtId="49" fontId="4" fillId="0" borderId="0" xfId="380" applyNumberFormat="1" applyFont="1" applyAlignment="1">
      <alignment horizontal="left" vertical="center"/>
      <protection/>
    </xf>
    <xf numFmtId="0" fontId="22" fillId="0" borderId="0" xfId="380" applyFont="1" applyAlignment="1">
      <alignment horizontal="left" vertical="center"/>
      <protection/>
    </xf>
    <xf numFmtId="186" fontId="22" fillId="0" borderId="0" xfId="380" applyNumberFormat="1" applyFont="1" applyAlignment="1">
      <alignment horizontal="left" vertical="center"/>
      <protection/>
    </xf>
    <xf numFmtId="0" fontId="4" fillId="33" borderId="0" xfId="380" applyFont="1" applyFill="1" applyAlignment="1" applyProtection="1">
      <alignment horizontal="left" vertical="center"/>
      <protection locked="0"/>
    </xf>
    <xf numFmtId="0" fontId="12" fillId="33" borderId="0" xfId="380" applyFont="1" applyFill="1" applyAlignment="1" applyProtection="1">
      <alignment horizontal="left" vertical="center"/>
      <protection locked="0"/>
    </xf>
    <xf numFmtId="0" fontId="65" fillId="35" borderId="0" xfId="0" applyFont="1" applyFill="1" applyAlignment="1" applyProtection="1">
      <alignment horizontal="right" vertical="center"/>
      <protection locked="0"/>
    </xf>
    <xf numFmtId="0" fontId="8" fillId="35" borderId="0" xfId="0" applyFont="1" applyFill="1" applyAlignment="1" applyProtection="1">
      <alignment horizontal="left" vertical="center"/>
      <protection locked="0"/>
    </xf>
    <xf numFmtId="0" fontId="4" fillId="33" borderId="10" xfId="0" applyFont="1" applyFill="1" applyBorder="1" applyAlignment="1" applyProtection="1">
      <alignment vertical="center"/>
      <protection locked="0"/>
    </xf>
    <xf numFmtId="14" fontId="4" fillId="33" borderId="11" xfId="0" applyNumberFormat="1" applyFont="1" applyFill="1" applyBorder="1" applyAlignment="1" applyProtection="1">
      <alignment vertical="center"/>
      <protection locked="0"/>
    </xf>
    <xf numFmtId="14" fontId="4" fillId="33" borderId="11" xfId="0" applyNumberFormat="1"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3" fontId="24" fillId="40" borderId="17" xfId="0" applyNumberFormat="1" applyFont="1" applyFill="1" applyBorder="1" applyAlignment="1" applyProtection="1">
      <alignment horizontal="center" vertical="center"/>
      <protection/>
    </xf>
    <xf numFmtId="3" fontId="5" fillId="37" borderId="17" xfId="0" applyNumberFormat="1" applyFont="1" applyFill="1" applyBorder="1" applyAlignment="1" applyProtection="1">
      <alignment vertical="center"/>
      <protection/>
    </xf>
    <xf numFmtId="0" fontId="4" fillId="35" borderId="27" xfId="0" applyNumberFormat="1" applyFont="1" applyFill="1" applyBorder="1" applyAlignment="1" applyProtection="1">
      <alignment horizontal="center" vertical="center"/>
      <protection/>
    </xf>
    <xf numFmtId="3" fontId="4" fillId="35" borderId="17" xfId="0" applyNumberFormat="1" applyFont="1" applyFill="1" applyBorder="1" applyAlignment="1" applyProtection="1">
      <alignment vertical="center"/>
      <protection/>
    </xf>
    <xf numFmtId="3" fontId="4" fillId="37" borderId="17" xfId="0" applyNumberFormat="1" applyFont="1" applyFill="1" applyBorder="1" applyAlignment="1" applyProtection="1">
      <alignment vertical="center"/>
      <protection/>
    </xf>
    <xf numFmtId="49" fontId="4" fillId="33" borderId="11" xfId="0" applyNumberFormat="1" applyFont="1" applyFill="1" applyBorder="1" applyAlignment="1" applyProtection="1">
      <alignment horizontal="center" vertical="center"/>
      <protection locked="0"/>
    </xf>
    <xf numFmtId="184" fontId="4" fillId="33" borderId="11" xfId="0" applyNumberFormat="1" applyFont="1" applyFill="1" applyBorder="1" applyAlignment="1" applyProtection="1">
      <alignment vertical="center"/>
      <protection locked="0"/>
    </xf>
    <xf numFmtId="184" fontId="4" fillId="33" borderId="11" xfId="0" applyNumberFormat="1" applyFont="1" applyFill="1" applyBorder="1" applyAlignment="1" applyProtection="1">
      <alignment vertical="center"/>
      <protection locked="0"/>
    </xf>
    <xf numFmtId="37" fontId="18" fillId="35" borderId="0" xfId="0" applyNumberFormat="1" applyFont="1" applyFill="1" applyAlignment="1" applyProtection="1">
      <alignment horizontal="center" vertical="center"/>
      <protection locked="0"/>
    </xf>
    <xf numFmtId="37" fontId="18" fillId="35" borderId="0" xfId="0" applyNumberFormat="1" applyFont="1" applyFill="1" applyAlignment="1" applyProtection="1">
      <alignment horizontal="left" vertical="center"/>
      <protection locked="0"/>
    </xf>
    <xf numFmtId="0" fontId="18" fillId="35" borderId="22" xfId="0" applyFont="1" applyFill="1" applyBorder="1" applyAlignment="1" applyProtection="1">
      <alignment vertical="center"/>
      <protection/>
    </xf>
    <xf numFmtId="0" fontId="18" fillId="35" borderId="22" xfId="0" applyFont="1" applyFill="1" applyBorder="1" applyAlignment="1" applyProtection="1">
      <alignment vertical="center"/>
      <protection locked="0"/>
    </xf>
    <xf numFmtId="0" fontId="18" fillId="36" borderId="11" xfId="0" applyFont="1" applyFill="1" applyBorder="1" applyAlignment="1" applyProtection="1">
      <alignment horizontal="center" vertical="center"/>
      <protection/>
    </xf>
    <xf numFmtId="37" fontId="18" fillId="35" borderId="22" xfId="0" applyNumberFormat="1" applyFont="1" applyFill="1" applyBorder="1" applyAlignment="1" applyProtection="1">
      <alignment horizontal="center" vertical="center"/>
      <protection/>
    </xf>
    <xf numFmtId="37" fontId="8" fillId="35" borderId="20" xfId="0" applyNumberFormat="1" applyFont="1" applyFill="1" applyBorder="1" applyAlignment="1" applyProtection="1">
      <alignment horizontal="center" vertical="center"/>
      <protection/>
    </xf>
    <xf numFmtId="1" fontId="8" fillId="35" borderId="20" xfId="0" applyNumberFormat="1" applyFont="1" applyFill="1" applyBorder="1" applyAlignment="1" applyProtection="1">
      <alignment horizontal="center" vertical="center"/>
      <protection/>
    </xf>
    <xf numFmtId="37" fontId="8" fillId="35" borderId="12" xfId="0" applyNumberFormat="1" applyFont="1" applyFill="1" applyBorder="1" applyAlignment="1" applyProtection="1">
      <alignment horizontal="center" vertical="center"/>
      <protection/>
    </xf>
    <xf numFmtId="37" fontId="18" fillId="35" borderId="13" xfId="84" applyNumberFormat="1" applyFont="1" applyFill="1" applyBorder="1" applyAlignment="1" applyProtection="1">
      <alignment horizontal="center" vertical="center"/>
      <protection/>
    </xf>
    <xf numFmtId="37" fontId="18" fillId="35" borderId="18" xfId="84" applyNumberFormat="1" applyFont="1" applyFill="1" applyBorder="1" applyAlignment="1" applyProtection="1">
      <alignment horizontal="center" vertical="center"/>
      <protection/>
    </xf>
    <xf numFmtId="184" fontId="4" fillId="35" borderId="0" xfId="0" applyNumberFormat="1" applyFont="1" applyFill="1" applyAlignment="1">
      <alignment horizontal="center" vertical="center"/>
    </xf>
    <xf numFmtId="0" fontId="25" fillId="35" borderId="11" xfId="0" applyFont="1" applyFill="1" applyBorder="1" applyAlignment="1" applyProtection="1">
      <alignment horizontal="center" vertical="center"/>
      <protection/>
    </xf>
    <xf numFmtId="3" fontId="25" fillId="35" borderId="11" xfId="0" applyNumberFormat="1" applyFont="1" applyFill="1" applyBorder="1" applyAlignment="1" applyProtection="1">
      <alignment horizontal="center" vertical="center"/>
      <protection/>
    </xf>
    <xf numFmtId="3" fontId="24" fillId="40" borderId="12"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vertical="center"/>
      <protection/>
    </xf>
    <xf numFmtId="37" fontId="5" fillId="35" borderId="0" xfId="0" applyNumberFormat="1" applyFont="1" applyFill="1" applyBorder="1" applyAlignment="1" applyProtection="1">
      <alignment vertical="center"/>
      <protection/>
    </xf>
    <xf numFmtId="0" fontId="4" fillId="35" borderId="0" xfId="87" applyFont="1" applyFill="1" applyAlignment="1" applyProtection="1">
      <alignment horizontal="right" vertical="center"/>
      <protection/>
    </xf>
    <xf numFmtId="0" fontId="66" fillId="35" borderId="0" xfId="0" applyFont="1" applyFill="1" applyBorder="1" applyAlignment="1" applyProtection="1">
      <alignment horizontal="center" vertical="center"/>
      <protection/>
    </xf>
    <xf numFmtId="0" fontId="66" fillId="35" borderId="0" xfId="0" applyFont="1" applyFill="1" applyAlignment="1" applyProtection="1">
      <alignment horizontal="center" vertical="center"/>
      <protection/>
    </xf>
    <xf numFmtId="0" fontId="4" fillId="35" borderId="29" xfId="0" applyFont="1" applyFill="1" applyBorder="1" applyAlignment="1" applyProtection="1">
      <alignment vertical="center"/>
      <protection locked="0"/>
    </xf>
    <xf numFmtId="0" fontId="4" fillId="35" borderId="29" xfId="0" applyFont="1" applyFill="1" applyBorder="1" applyAlignment="1" applyProtection="1">
      <alignment vertical="center"/>
      <protection/>
    </xf>
    <xf numFmtId="37" fontId="4" fillId="35" borderId="29" xfId="0" applyNumberFormat="1" applyFont="1" applyFill="1" applyBorder="1" applyAlignment="1" applyProtection="1">
      <alignment vertical="center"/>
      <protection/>
    </xf>
    <xf numFmtId="164" fontId="4" fillId="35" borderId="13" xfId="0" applyNumberFormat="1" applyFont="1" applyFill="1" applyBorder="1" applyAlignment="1" applyProtection="1">
      <alignment vertical="center"/>
      <protection/>
    </xf>
    <xf numFmtId="37" fontId="4" fillId="35" borderId="13" xfId="0" applyNumberFormat="1" applyFont="1" applyFill="1" applyBorder="1" applyAlignment="1" applyProtection="1">
      <alignment vertical="center"/>
      <protection/>
    </xf>
    <xf numFmtId="37" fontId="4" fillId="35" borderId="12" xfId="75" applyNumberFormat="1" applyFont="1" applyFill="1" applyBorder="1" applyAlignment="1" applyProtection="1">
      <alignment horizontal="center"/>
      <protection/>
    </xf>
    <xf numFmtId="37" fontId="4" fillId="35" borderId="13" xfId="75" applyNumberFormat="1" applyFont="1" applyFill="1" applyBorder="1" applyAlignment="1" applyProtection="1">
      <alignment horizontal="center"/>
      <protection/>
    </xf>
    <xf numFmtId="0" fontId="4" fillId="41" borderId="0" xfId="84" applyFont="1" applyFill="1" applyBorder="1" applyProtection="1">
      <alignment/>
      <protection/>
    </xf>
    <xf numFmtId="190" fontId="4" fillId="41" borderId="24" xfId="84" applyNumberFormat="1" applyFont="1" applyFill="1" applyBorder="1" applyAlignment="1" applyProtection="1">
      <alignment horizontal="center"/>
      <protection/>
    </xf>
    <xf numFmtId="190" fontId="4" fillId="42" borderId="15" xfId="84" applyNumberFormat="1" applyFont="1" applyFill="1" applyBorder="1" applyAlignment="1" applyProtection="1">
      <alignment horizontal="center"/>
      <protection/>
    </xf>
    <xf numFmtId="0" fontId="4" fillId="0" borderId="0" xfId="84" applyFont="1" applyFill="1" applyBorder="1" applyProtection="1">
      <alignment/>
      <protection/>
    </xf>
    <xf numFmtId="0" fontId="4" fillId="41" borderId="28" xfId="84" applyFont="1" applyFill="1" applyBorder="1" applyProtection="1">
      <alignment/>
      <protection/>
    </xf>
    <xf numFmtId="0" fontId="4" fillId="41" borderId="24" xfId="84" applyFont="1" applyFill="1" applyBorder="1" applyProtection="1">
      <alignment/>
      <protection/>
    </xf>
    <xf numFmtId="183" fontId="4" fillId="41" borderId="24" xfId="84" applyNumberFormat="1" applyFont="1" applyFill="1" applyBorder="1" applyAlignment="1" applyProtection="1">
      <alignment horizontal="center"/>
      <protection/>
    </xf>
    <xf numFmtId="0" fontId="4" fillId="42" borderId="28" xfId="84" applyFont="1" applyFill="1" applyBorder="1" applyProtection="1">
      <alignment/>
      <protection/>
    </xf>
    <xf numFmtId="0" fontId="4" fillId="42" borderId="0" xfId="84" applyFont="1" applyFill="1" applyBorder="1" applyProtection="1">
      <alignment/>
      <protection/>
    </xf>
    <xf numFmtId="0" fontId="4" fillId="42" borderId="27" xfId="84" applyFont="1" applyFill="1" applyBorder="1" applyProtection="1">
      <alignment/>
      <protection/>
    </xf>
    <xf numFmtId="0" fontId="4" fillId="42" borderId="10" xfId="84" applyFont="1" applyFill="1" applyBorder="1" applyProtection="1">
      <alignment/>
      <protection/>
    </xf>
    <xf numFmtId="0" fontId="4" fillId="0" borderId="0" xfId="84" applyFont="1" applyProtection="1">
      <alignment/>
      <protection/>
    </xf>
    <xf numFmtId="190" fontId="4" fillId="41" borderId="15" xfId="84" applyNumberFormat="1" applyFont="1" applyFill="1" applyBorder="1" applyAlignment="1" applyProtection="1">
      <alignment horizontal="center"/>
      <protection/>
    </xf>
    <xf numFmtId="184" fontId="4" fillId="43" borderId="24" xfId="84" applyNumberFormat="1" applyFont="1" applyFill="1" applyBorder="1" applyAlignment="1" applyProtection="1">
      <alignment horizontal="center"/>
      <protection locked="0"/>
    </xf>
    <xf numFmtId="37" fontId="4" fillId="44" borderId="19" xfId="0" applyNumberFormat="1" applyFont="1" applyFill="1" applyBorder="1" applyAlignment="1" applyProtection="1">
      <alignment vertical="center"/>
      <protection/>
    </xf>
    <xf numFmtId="1" fontId="8" fillId="35" borderId="12" xfId="0" applyNumberFormat="1" applyFont="1" applyFill="1" applyBorder="1" applyAlignment="1" applyProtection="1">
      <alignment horizontal="center" vertical="center"/>
      <protection/>
    </xf>
    <xf numFmtId="192" fontId="18" fillId="35" borderId="11" xfId="0" applyNumberFormat="1" applyFont="1" applyFill="1" applyBorder="1" applyAlignment="1" applyProtection="1">
      <alignment vertical="center"/>
      <protection/>
    </xf>
    <xf numFmtId="190" fontId="4" fillId="42" borderId="24" xfId="84" applyNumberFormat="1" applyFont="1" applyFill="1" applyBorder="1" applyAlignment="1" applyProtection="1">
      <alignment horizontal="center"/>
      <protection/>
    </xf>
    <xf numFmtId="0" fontId="4" fillId="42" borderId="27" xfId="0" applyFont="1" applyFill="1" applyBorder="1" applyAlignment="1">
      <alignment vertical="center"/>
    </xf>
    <xf numFmtId="0" fontId="4" fillId="42" borderId="10" xfId="0" applyFont="1" applyFill="1" applyBorder="1" applyAlignment="1">
      <alignment vertical="center"/>
    </xf>
    <xf numFmtId="190" fontId="4" fillId="42" borderId="15" xfId="0" applyNumberFormat="1" applyFont="1" applyFill="1" applyBorder="1" applyAlignment="1">
      <alignment horizontal="center" vertical="center"/>
    </xf>
    <xf numFmtId="0" fontId="0" fillId="0" borderId="13" xfId="0" applyBorder="1" applyAlignment="1">
      <alignment horizontal="center" vertical="center" wrapText="1"/>
    </xf>
    <xf numFmtId="0" fontId="18" fillId="35" borderId="15" xfId="0" applyFont="1" applyFill="1" applyBorder="1" applyAlignment="1" applyProtection="1">
      <alignment vertical="center"/>
      <protection/>
    </xf>
    <xf numFmtId="175" fontId="4" fillId="33" borderId="17" xfId="42" applyNumberFormat="1" applyFont="1" applyFill="1" applyBorder="1" applyAlignment="1" applyProtection="1">
      <alignment vertical="center"/>
      <protection locked="0"/>
    </xf>
    <xf numFmtId="0" fontId="24" fillId="35" borderId="0" xfId="0" applyFont="1" applyFill="1" applyAlignment="1">
      <alignment horizontal="center" vertical="center"/>
    </xf>
    <xf numFmtId="0" fontId="28" fillId="35" borderId="0" xfId="0" applyFont="1" applyFill="1" applyAlignment="1">
      <alignment horizontal="center" vertical="center"/>
    </xf>
    <xf numFmtId="0" fontId="24" fillId="35" borderId="27" xfId="0" applyFont="1" applyFill="1" applyBorder="1" applyAlignment="1">
      <alignment horizontal="center" vertical="center"/>
    </xf>
    <xf numFmtId="0" fontId="28" fillId="35" borderId="10" xfId="0" applyFont="1" applyFill="1" applyBorder="1" applyAlignment="1">
      <alignment horizontal="center" vertical="center"/>
    </xf>
    <xf numFmtId="175" fontId="0" fillId="35" borderId="0" xfId="42" applyNumberFormat="1" applyFont="1" applyFill="1" applyAlignment="1">
      <alignment vertical="center"/>
    </xf>
    <xf numFmtId="37" fontId="4" fillId="35" borderId="10" xfId="0" applyNumberFormat="1" applyFont="1" applyFill="1" applyBorder="1" applyAlignment="1" applyProtection="1">
      <alignment horizontal="center" vertical="center"/>
      <protection/>
    </xf>
    <xf numFmtId="175" fontId="4" fillId="35" borderId="0" xfId="42" applyNumberFormat="1" applyFont="1" applyFill="1" applyAlignment="1" applyProtection="1">
      <alignment vertical="center"/>
      <protection/>
    </xf>
    <xf numFmtId="175" fontId="4" fillId="35" borderId="10" xfId="42" applyNumberFormat="1" applyFont="1" applyFill="1" applyBorder="1" applyAlignment="1" applyProtection="1">
      <alignment vertical="center"/>
      <protection/>
    </xf>
    <xf numFmtId="175" fontId="4" fillId="35" borderId="30" xfId="42" applyNumberFormat="1" applyFont="1" applyFill="1" applyBorder="1" applyAlignment="1" applyProtection="1">
      <alignmen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horizontal="center" vertical="center" wrapText="1"/>
    </xf>
    <xf numFmtId="37" fontId="25" fillId="35"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5"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2"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24" fillId="35" borderId="0" xfId="0" applyFont="1" applyFill="1" applyBorder="1" applyAlignment="1">
      <alignment vertical="center"/>
    </xf>
    <xf numFmtId="0" fontId="28" fillId="0" borderId="0" xfId="0" applyFont="1" applyAlignment="1">
      <alignment vertical="center"/>
    </xf>
    <xf numFmtId="0" fontId="4" fillId="0" borderId="0" xfId="380" applyFont="1" applyAlignment="1">
      <alignment horizontal="left" vertical="center" wrapText="1"/>
      <protection/>
    </xf>
    <xf numFmtId="0" fontId="12" fillId="0" borderId="0" xfId="380" applyFont="1" applyAlignment="1">
      <alignment horizontal="left" vertical="center" wrapText="1"/>
      <protection/>
    </xf>
    <xf numFmtId="0" fontId="23" fillId="0" borderId="0" xfId="380"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5" borderId="0" xfId="0" applyNumberFormat="1" applyFont="1" applyFill="1" applyAlignment="1" applyProtection="1">
      <alignment horizontal="center" vertical="center"/>
      <protection/>
    </xf>
    <xf numFmtId="37" fontId="18" fillId="35" borderId="12" xfId="0" applyNumberFormat="1" applyFont="1" applyFill="1" applyBorder="1" applyAlignment="1" applyProtection="1">
      <alignment horizontal="center" vertical="center" wrapText="1"/>
      <protection/>
    </xf>
    <xf numFmtId="0" fontId="20" fillId="0" borderId="13" xfId="0" applyFont="1" applyBorder="1" applyAlignment="1">
      <alignment horizontal="center" vertical="center" wrapText="1"/>
    </xf>
    <xf numFmtId="37" fontId="27" fillId="35"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5"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5" borderId="17" xfId="0" applyNumberFormat="1" applyFont="1" applyFill="1" applyBorder="1" applyAlignment="1" applyProtection="1">
      <alignment horizontal="fill" vertical="center"/>
      <protection/>
    </xf>
    <xf numFmtId="0" fontId="0" fillId="0" borderId="14" xfId="0" applyBorder="1" applyAlignment="1">
      <alignment vertical="center"/>
    </xf>
    <xf numFmtId="0" fontId="18" fillId="35" borderId="0" xfId="0" applyFont="1" applyFill="1" applyAlignment="1" applyProtection="1">
      <alignment horizontal="center" vertical="center"/>
      <protection/>
    </xf>
    <xf numFmtId="0" fontId="18" fillId="36" borderId="12" xfId="0" applyFont="1" applyFill="1" applyBorder="1" applyAlignment="1" applyProtection="1">
      <alignment horizontal="center" vertical="center" wrapText="1"/>
      <protection/>
    </xf>
    <xf numFmtId="0" fontId="0" fillId="0" borderId="13" xfId="0" applyBorder="1" applyAlignment="1">
      <alignment vertical="center" wrapText="1"/>
    </xf>
    <xf numFmtId="0" fontId="7" fillId="35" borderId="0" xfId="0" applyFont="1" applyFill="1" applyAlignment="1" applyProtection="1">
      <alignment horizontal="center" vertical="center"/>
      <protection/>
    </xf>
    <xf numFmtId="0" fontId="5" fillId="35" borderId="0" xfId="0" applyFont="1" applyFill="1" applyAlignment="1" applyProtection="1">
      <alignment horizontal="center" vertical="center"/>
      <protection/>
    </xf>
    <xf numFmtId="0" fontId="4" fillId="35" borderId="27" xfId="0" applyFont="1" applyFill="1" applyBorder="1" applyAlignment="1" applyProtection="1">
      <alignment horizontal="center" vertical="center"/>
      <protection/>
    </xf>
    <xf numFmtId="0" fontId="0" fillId="0" borderId="15" xfId="0" applyBorder="1" applyAlignment="1" applyProtection="1">
      <alignment vertical="center"/>
      <protection/>
    </xf>
    <xf numFmtId="1" fontId="4" fillId="35" borderId="27" xfId="0" applyNumberFormat="1"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3" fontId="4" fillId="35" borderId="22" xfId="87" applyNumberFormat="1" applyFont="1" applyFill="1" applyBorder="1" applyAlignment="1" applyProtection="1">
      <alignment horizontal="right" vertical="center"/>
      <protection/>
    </xf>
    <xf numFmtId="0" fontId="0" fillId="0" borderId="21" xfId="87" applyBorder="1" applyAlignment="1">
      <alignment horizontal="right" vertical="center"/>
      <protection/>
    </xf>
    <xf numFmtId="0" fontId="4" fillId="35" borderId="0" xfId="87" applyFont="1" applyFill="1" applyAlignment="1" applyProtection="1">
      <alignment horizontal="right" vertical="center"/>
      <protection/>
    </xf>
    <xf numFmtId="0" fontId="4" fillId="0" borderId="24" xfId="87" applyFont="1" applyBorder="1" applyAlignment="1">
      <alignment horizontal="right" vertical="center"/>
      <protection/>
    </xf>
    <xf numFmtId="0" fontId="4" fillId="35"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3" fillId="41" borderId="20" xfId="84" applyFont="1" applyFill="1" applyBorder="1" applyAlignment="1" applyProtection="1">
      <alignment horizontal="center"/>
      <protection/>
    </xf>
    <xf numFmtId="0" fontId="23" fillId="41" borderId="22" xfId="84" applyFont="1" applyFill="1" applyBorder="1" applyAlignment="1" applyProtection="1">
      <alignment horizontal="center"/>
      <protection/>
    </xf>
    <xf numFmtId="0" fontId="23" fillId="41" borderId="21" xfId="84" applyFont="1" applyFill="1" applyBorder="1" applyAlignment="1" applyProtection="1">
      <alignment horizontal="center"/>
      <protection/>
    </xf>
    <xf numFmtId="0" fontId="0" fillId="0" borderId="22" xfId="84" applyBorder="1" applyAlignment="1" applyProtection="1">
      <alignment horizontal="center"/>
      <protection/>
    </xf>
    <xf numFmtId="0" fontId="0" fillId="0" borderId="21" xfId="84" applyBorder="1" applyAlignment="1" applyProtection="1">
      <alignment horizontal="center"/>
      <protection/>
    </xf>
    <xf numFmtId="37" fontId="4" fillId="35" borderId="10" xfId="0" applyNumberFormat="1" applyFont="1" applyFill="1" applyBorder="1" applyAlignment="1" applyProtection="1">
      <alignment horizontal="fill" vertical="center"/>
      <protection locked="0"/>
    </xf>
    <xf numFmtId="37" fontId="4" fillId="35" borderId="12" xfId="0" applyNumberFormat="1" applyFont="1" applyFill="1" applyBorder="1" applyAlignment="1" applyProtection="1">
      <alignment horizontal="center" vertical="center" wrapText="1"/>
      <protection/>
    </xf>
    <xf numFmtId="37" fontId="4" fillId="35" borderId="0" xfId="0" applyNumberFormat="1" applyFont="1" applyFill="1" applyAlignment="1" applyProtection="1">
      <alignment horizontal="center" vertical="center"/>
      <protection/>
    </xf>
    <xf numFmtId="37" fontId="23" fillId="35" borderId="0" xfId="0" applyNumberFormat="1"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xf>
  </cellXfs>
  <cellStyles count="3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3 2" xfId="64"/>
    <cellStyle name="Hyperlink 7"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2 2" xfId="79"/>
    <cellStyle name="Normal 11 3" xfId="80"/>
    <cellStyle name="Normal 11 4" xfId="81"/>
    <cellStyle name="Normal 11 5" xfId="82"/>
    <cellStyle name="Normal 12" xfId="83"/>
    <cellStyle name="Normal 12 10" xfId="84"/>
    <cellStyle name="Normal 12 11" xfId="85"/>
    <cellStyle name="Normal 12 12" xfId="86"/>
    <cellStyle name="Normal 12 2" xfId="87"/>
    <cellStyle name="Normal 12 2 2" xfId="88"/>
    <cellStyle name="Normal 12 3" xfId="89"/>
    <cellStyle name="Normal 12 4" xfId="90"/>
    <cellStyle name="Normal 12 5" xfId="91"/>
    <cellStyle name="Normal 12 6" xfId="92"/>
    <cellStyle name="Normal 12 7" xfId="93"/>
    <cellStyle name="Normal 12 8" xfId="94"/>
    <cellStyle name="Normal 12 9" xfId="95"/>
    <cellStyle name="Normal 13" xfId="96"/>
    <cellStyle name="Normal 13 10" xfId="97"/>
    <cellStyle name="Normal 13 11" xfId="98"/>
    <cellStyle name="Normal 13 12" xfId="99"/>
    <cellStyle name="Normal 13 2" xfId="100"/>
    <cellStyle name="Normal 13 2 2" xfId="101"/>
    <cellStyle name="Normal 13 3" xfId="102"/>
    <cellStyle name="Normal 13 4" xfId="103"/>
    <cellStyle name="Normal 13 5" xfId="104"/>
    <cellStyle name="Normal 13 6" xfId="105"/>
    <cellStyle name="Normal 13 7" xfId="106"/>
    <cellStyle name="Normal 13 8" xfId="107"/>
    <cellStyle name="Normal 13 9" xfId="108"/>
    <cellStyle name="Normal 14" xfId="109"/>
    <cellStyle name="Normal 14 2" xfId="110"/>
    <cellStyle name="Normal 14 3" xfId="111"/>
    <cellStyle name="Normal 14 4" xfId="112"/>
    <cellStyle name="Normal 14 5" xfId="113"/>
    <cellStyle name="Normal 14 6" xfId="114"/>
    <cellStyle name="Normal 15" xfId="115"/>
    <cellStyle name="Normal 15 2" xfId="116"/>
    <cellStyle name="Normal 15 3" xfId="117"/>
    <cellStyle name="Normal 15 4" xfId="118"/>
    <cellStyle name="Normal 16" xfId="119"/>
    <cellStyle name="Normal 16 2" xfId="120"/>
    <cellStyle name="Normal 16 3" xfId="121"/>
    <cellStyle name="Normal 16 4" xfId="122"/>
    <cellStyle name="Normal 17" xfId="123"/>
    <cellStyle name="Normal 17 2" xfId="124"/>
    <cellStyle name="Normal 17 3" xfId="125"/>
    <cellStyle name="Normal 17 4" xfId="126"/>
    <cellStyle name="Normal 18" xfId="127"/>
    <cellStyle name="Normal 18 2" xfId="128"/>
    <cellStyle name="Normal 18 2 2" xfId="129"/>
    <cellStyle name="Normal 18 2 3" xfId="130"/>
    <cellStyle name="Normal 18 3" xfId="131"/>
    <cellStyle name="Normal 18 4" xfId="132"/>
    <cellStyle name="Normal 18 5" xfId="133"/>
    <cellStyle name="Normal 18 6" xfId="134"/>
    <cellStyle name="Normal 18 7"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2" xfId="144"/>
    <cellStyle name="Normal 2 10" xfId="145"/>
    <cellStyle name="Normal 2 10 10" xfId="146"/>
    <cellStyle name="Normal 2 10 2" xfId="147"/>
    <cellStyle name="Normal 2 10 2 2" xfId="148"/>
    <cellStyle name="Normal 2 10 3" xfId="149"/>
    <cellStyle name="Normal 2 10 3 2" xfId="150"/>
    <cellStyle name="Normal 2 10 4" xfId="151"/>
    <cellStyle name="Normal 2 10 4 2" xfId="152"/>
    <cellStyle name="Normal 2 10 5" xfId="153"/>
    <cellStyle name="Normal 2 10 5 2" xfId="154"/>
    <cellStyle name="Normal 2 10 6" xfId="155"/>
    <cellStyle name="Normal 2 10 6 2" xfId="156"/>
    <cellStyle name="Normal 2 10 7" xfId="157"/>
    <cellStyle name="Normal 2 10 7 2" xfId="158"/>
    <cellStyle name="Normal 2 10 8" xfId="159"/>
    <cellStyle name="Normal 2 10 8 2" xfId="160"/>
    <cellStyle name="Normal 2 10 9" xfId="161"/>
    <cellStyle name="Normal 2 11" xfId="162"/>
    <cellStyle name="Normal 2 11 10" xfId="163"/>
    <cellStyle name="Normal 2 11 2" xfId="164"/>
    <cellStyle name="Normal 2 11 2 2" xfId="165"/>
    <cellStyle name="Normal 2 11 3" xfId="166"/>
    <cellStyle name="Normal 2 11 3 2" xfId="167"/>
    <cellStyle name="Normal 2 11 4" xfId="168"/>
    <cellStyle name="Normal 2 11 4 2" xfId="169"/>
    <cellStyle name="Normal 2 11 5" xfId="170"/>
    <cellStyle name="Normal 2 11 5 2" xfId="171"/>
    <cellStyle name="Normal 2 11 6" xfId="172"/>
    <cellStyle name="Normal 2 11 6 2" xfId="173"/>
    <cellStyle name="Normal 2 11 7" xfId="174"/>
    <cellStyle name="Normal 2 11 7 2" xfId="175"/>
    <cellStyle name="Normal 2 11 8" xfId="176"/>
    <cellStyle name="Normal 2 11 8 2" xfId="177"/>
    <cellStyle name="Normal 2 11 9" xfId="178"/>
    <cellStyle name="Normal 2 12" xfId="179"/>
    <cellStyle name="Normal 2 13" xfId="180"/>
    <cellStyle name="Normal 2 14" xfId="181"/>
    <cellStyle name="Normal 2 15" xfId="182"/>
    <cellStyle name="Normal 2 16"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3 3" xfId="240"/>
    <cellStyle name="Normal 2 3 4" xfId="241"/>
    <cellStyle name="Normal 2 3 5" xfId="242"/>
    <cellStyle name="Normal 2 3 6" xfId="243"/>
    <cellStyle name="Normal 2 3 7" xfId="244"/>
    <cellStyle name="Normal 2 3 8" xfId="245"/>
    <cellStyle name="Normal 2 3 9" xfId="246"/>
    <cellStyle name="Normal 2 4" xfId="247"/>
    <cellStyle name="Normal 2 4 10" xfId="248"/>
    <cellStyle name="Normal 2 4 11" xfId="249"/>
    <cellStyle name="Normal 2 4 2" xfId="250"/>
    <cellStyle name="Normal 2 4 2 2" xfId="251"/>
    <cellStyle name="Normal 2 4 3" xfId="252"/>
    <cellStyle name="Normal 2 4 3 2" xfId="253"/>
    <cellStyle name="Normal 2 4 3 3" xfId="254"/>
    <cellStyle name="Normal 2 4 4" xfId="255"/>
    <cellStyle name="Normal 2 4 5" xfId="256"/>
    <cellStyle name="Normal 2 4 6" xfId="257"/>
    <cellStyle name="Normal 2 4 7" xfId="258"/>
    <cellStyle name="Normal 2 4 8" xfId="259"/>
    <cellStyle name="Normal 2 4 9" xfId="260"/>
    <cellStyle name="Normal 2 5" xfId="261"/>
    <cellStyle name="Normal 2 5 10" xfId="262"/>
    <cellStyle name="Normal 2 5 11" xfId="263"/>
    <cellStyle name="Normal 2 5 12" xfId="264"/>
    <cellStyle name="Normal 2 5 2" xfId="265"/>
    <cellStyle name="Normal 2 5 2 2" xfId="266"/>
    <cellStyle name="Normal 2 5 3" xfId="267"/>
    <cellStyle name="Normal 2 5 3 2" xfId="268"/>
    <cellStyle name="Normal 2 5 4" xfId="269"/>
    <cellStyle name="Normal 2 5 5" xfId="270"/>
    <cellStyle name="Normal 2 5 6" xfId="271"/>
    <cellStyle name="Normal 2 5 7" xfId="272"/>
    <cellStyle name="Normal 2 5 8" xfId="273"/>
    <cellStyle name="Normal 2 5 9" xfId="274"/>
    <cellStyle name="Normal 2 6" xfId="275"/>
    <cellStyle name="Normal 2 6 10" xfId="276"/>
    <cellStyle name="Normal 2 6 11" xfId="277"/>
    <cellStyle name="Normal 2 6 12" xfId="278"/>
    <cellStyle name="Normal 2 6 2" xfId="279"/>
    <cellStyle name="Normal 2 6 2 2" xfId="280"/>
    <cellStyle name="Normal 2 6 3" xfId="281"/>
    <cellStyle name="Normal 2 6 3 2" xfId="282"/>
    <cellStyle name="Normal 2 6 4" xfId="283"/>
    <cellStyle name="Normal 2 6 5" xfId="284"/>
    <cellStyle name="Normal 2 6 6" xfId="285"/>
    <cellStyle name="Normal 2 6 7" xfId="286"/>
    <cellStyle name="Normal 2 6 8" xfId="287"/>
    <cellStyle name="Normal 2 6 9" xfId="288"/>
    <cellStyle name="Normal 2 7" xfId="289"/>
    <cellStyle name="Normal 2 7 10"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2" xfId="309"/>
    <cellStyle name="Normal 2 8 2 2" xfId="310"/>
    <cellStyle name="Normal 2 8 3" xfId="311"/>
    <cellStyle name="Normal 2 8 3 2" xfId="312"/>
    <cellStyle name="Normal 2 8 4" xfId="313"/>
    <cellStyle name="Normal 2 8 4 2" xfId="314"/>
    <cellStyle name="Normal 2 8 5" xfId="315"/>
    <cellStyle name="Normal 2 8 5 2" xfId="316"/>
    <cellStyle name="Normal 2 8 6" xfId="317"/>
    <cellStyle name="Normal 2 8 6 2" xfId="318"/>
    <cellStyle name="Normal 2 8 7" xfId="319"/>
    <cellStyle name="Normal 2 8 7 2" xfId="320"/>
    <cellStyle name="Normal 2 8 8" xfId="321"/>
    <cellStyle name="Normal 2 8 8 2" xfId="322"/>
    <cellStyle name="Normal 2 8 9" xfId="323"/>
    <cellStyle name="Normal 2 9" xfId="324"/>
    <cellStyle name="Normal 2 9 10" xfId="325"/>
    <cellStyle name="Normal 2 9 2" xfId="326"/>
    <cellStyle name="Normal 2 9 2 2" xfId="327"/>
    <cellStyle name="Normal 2 9 3" xfId="328"/>
    <cellStyle name="Normal 2 9 3 2" xfId="329"/>
    <cellStyle name="Normal 2 9 4" xfId="330"/>
    <cellStyle name="Normal 2 9 4 2" xfId="331"/>
    <cellStyle name="Normal 2 9 5" xfId="332"/>
    <cellStyle name="Normal 2 9 5 2" xfId="333"/>
    <cellStyle name="Normal 2 9 6" xfId="334"/>
    <cellStyle name="Normal 2 9 6 2" xfId="335"/>
    <cellStyle name="Normal 2 9 7" xfId="336"/>
    <cellStyle name="Normal 2 9 7 2" xfId="337"/>
    <cellStyle name="Normal 2 9 8" xfId="338"/>
    <cellStyle name="Normal 2 9 8 2" xfId="339"/>
    <cellStyle name="Normal 2 9 9" xfId="340"/>
    <cellStyle name="Normal 20" xfId="341"/>
    <cellStyle name="Normal 20 2" xfId="342"/>
    <cellStyle name="Normal 20 3" xfId="343"/>
    <cellStyle name="Normal 22" xfId="344"/>
    <cellStyle name="Normal 22 2" xfId="345"/>
    <cellStyle name="Normal 22 3" xfId="346"/>
    <cellStyle name="Normal 23" xfId="347"/>
    <cellStyle name="Normal 23 2" xfId="348"/>
    <cellStyle name="Normal 23 3" xfId="349"/>
    <cellStyle name="Normal 24" xfId="350"/>
    <cellStyle name="Normal 24 2" xfId="351"/>
    <cellStyle name="Normal 24 3" xfId="352"/>
    <cellStyle name="Normal 25" xfId="353"/>
    <cellStyle name="Normal 25 2" xfId="354"/>
    <cellStyle name="Normal 25 3" xfId="355"/>
    <cellStyle name="Normal 3" xfId="356"/>
    <cellStyle name="Normal 3 2" xfId="357"/>
    <cellStyle name="Normal 3 3" xfId="358"/>
    <cellStyle name="Normal 3 3 2" xfId="359"/>
    <cellStyle name="Normal 3 3 3" xfId="360"/>
    <cellStyle name="Normal 3 4" xfId="361"/>
    <cellStyle name="Normal 3 5" xfId="362"/>
    <cellStyle name="Normal 3 6" xfId="363"/>
    <cellStyle name="Normal 3 7" xfId="364"/>
    <cellStyle name="Normal 4" xfId="365"/>
    <cellStyle name="Normal 4 2" xfId="366"/>
    <cellStyle name="Normal 4 3" xfId="367"/>
    <cellStyle name="Normal 4 3 2" xfId="368"/>
    <cellStyle name="Normal 4 3 3" xfId="369"/>
    <cellStyle name="Normal 4 4" xfId="370"/>
    <cellStyle name="Normal 4 5" xfId="371"/>
    <cellStyle name="Normal 5" xfId="372"/>
    <cellStyle name="Normal 5 2" xfId="373"/>
    <cellStyle name="Normal 5 3" xfId="374"/>
    <cellStyle name="Normal 6" xfId="375"/>
    <cellStyle name="Normal 6 2" xfId="376"/>
    <cellStyle name="Normal 6 3" xfId="377"/>
    <cellStyle name="Normal 6 4" xfId="378"/>
    <cellStyle name="Normal 6 5" xfId="379"/>
    <cellStyle name="Normal 7" xfId="380"/>
    <cellStyle name="Normal 7 2" xfId="381"/>
    <cellStyle name="Normal 7 2 2" xfId="382"/>
    <cellStyle name="Normal 7 2 2 2" xfId="383"/>
    <cellStyle name="Normal 7 2 3" xfId="384"/>
    <cellStyle name="Normal 7 2 4" xfId="385"/>
    <cellStyle name="Normal 7 3" xfId="386"/>
    <cellStyle name="Normal 7 4" xfId="387"/>
    <cellStyle name="Normal 7 5" xfId="388"/>
    <cellStyle name="Normal 7 5 2" xfId="389"/>
    <cellStyle name="Normal 7 5 3" xfId="390"/>
    <cellStyle name="Normal 7 6" xfId="391"/>
    <cellStyle name="Normal 8" xfId="392"/>
    <cellStyle name="Normal 8 2" xfId="393"/>
    <cellStyle name="Normal 9" xfId="394"/>
    <cellStyle name="Normal 9 2" xfId="395"/>
    <cellStyle name="Normal 9 2 2" xfId="396"/>
    <cellStyle name="Normal 9 3" xfId="397"/>
    <cellStyle name="Normal 9 4" xfId="398"/>
    <cellStyle name="Normal 9 5" xfId="399"/>
    <cellStyle name="Normal_debt" xfId="400"/>
    <cellStyle name="Normal_lpform" xfId="401"/>
    <cellStyle name="Normal_Township 07" xfId="402"/>
    <cellStyle name="Note" xfId="403"/>
    <cellStyle name="Output" xfId="404"/>
    <cellStyle name="Percent" xfId="405"/>
    <cellStyle name="Title" xfId="406"/>
    <cellStyle name="Total" xfId="407"/>
    <cellStyle name="Warning Text" xfId="408"/>
  </cellStyles>
  <dxfs count="8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77"/>
  <sheetViews>
    <sheetView view="pageBreakPreview" zoomScale="99" zoomScaleSheetLayoutView="99" zoomScalePageLayoutView="0" workbookViewId="0" topLeftCell="A55">
      <selection activeCell="F57" sqref="F57"/>
    </sheetView>
  </sheetViews>
  <sheetFormatPr defaultColWidth="8.796875" defaultRowHeight="15"/>
  <cols>
    <col min="1" max="1" width="15.796875" style="25" customWidth="1"/>
    <col min="2" max="2" width="27" style="25" customWidth="1"/>
    <col min="3" max="3" width="8.796875" style="25" customWidth="1"/>
    <col min="4" max="5" width="13.296875" style="25" customWidth="1"/>
    <col min="6" max="6" width="10.796875" style="25" customWidth="1"/>
    <col min="7" max="16384" width="8.8984375" style="25" customWidth="1"/>
  </cols>
  <sheetData>
    <row r="1" spans="1:6" ht="15.75">
      <c r="A1" s="355" t="s">
        <v>169</v>
      </c>
      <c r="B1" s="356"/>
      <c r="C1" s="356"/>
      <c r="D1" s="356"/>
      <c r="E1" s="356"/>
      <c r="F1" s="356"/>
    </row>
    <row r="2" spans="1:6" ht="15.75">
      <c r="A2" s="27" t="s">
        <v>170</v>
      </c>
      <c r="B2" s="28"/>
      <c r="C2" s="279" t="s">
        <v>223</v>
      </c>
      <c r="D2" s="29"/>
      <c r="E2" s="30"/>
      <c r="F2" s="31"/>
    </row>
    <row r="3" spans="1:6" ht="15.75">
      <c r="A3" s="27"/>
      <c r="B3" s="28"/>
      <c r="C3" s="28"/>
      <c r="D3" s="28"/>
      <c r="E3" s="32"/>
      <c r="F3" s="31"/>
    </row>
    <row r="4" spans="1:6" ht="15.75">
      <c r="A4" s="27" t="s">
        <v>171</v>
      </c>
      <c r="B4" s="28"/>
      <c r="C4" s="33">
        <v>2012</v>
      </c>
      <c r="D4" s="34"/>
      <c r="E4" s="32"/>
      <c r="F4" s="31"/>
    </row>
    <row r="5" spans="1:6" ht="15.75">
      <c r="A5" s="28"/>
      <c r="B5" s="28"/>
      <c r="C5" s="28"/>
      <c r="D5" s="28"/>
      <c r="E5" s="28"/>
      <c r="F5" s="28"/>
    </row>
    <row r="6" spans="1:6" ht="18.75" customHeight="1">
      <c r="A6" s="35" t="s">
        <v>211</v>
      </c>
      <c r="B6" s="36"/>
      <c r="C6" s="36"/>
      <c r="D6" s="36"/>
      <c r="E6" s="36"/>
      <c r="F6" s="36"/>
    </row>
    <row r="7" spans="1:6" ht="15.75">
      <c r="A7" s="35" t="s">
        <v>210</v>
      </c>
      <c r="B7" s="36"/>
      <c r="C7" s="36"/>
      <c r="D7" s="36"/>
      <c r="E7" s="36"/>
      <c r="F7" s="36"/>
    </row>
    <row r="8" spans="1:6" ht="15.75">
      <c r="A8" s="35"/>
      <c r="B8" s="36"/>
      <c r="C8" s="36"/>
      <c r="D8" s="36"/>
      <c r="E8" s="36"/>
      <c r="F8" s="36"/>
    </row>
    <row r="9" spans="1:6" ht="15.75">
      <c r="A9" s="353" t="s">
        <v>16</v>
      </c>
      <c r="B9" s="354"/>
      <c r="C9" s="354"/>
      <c r="D9" s="354"/>
      <c r="E9" s="354"/>
      <c r="F9" s="354"/>
    </row>
    <row r="10" spans="1:6" ht="15.75">
      <c r="A10" s="28"/>
      <c r="B10" s="28"/>
      <c r="C10" s="28"/>
      <c r="D10" s="28"/>
      <c r="E10" s="28"/>
      <c r="F10" s="28"/>
    </row>
    <row r="11" spans="1:6" ht="15.75">
      <c r="A11" s="37" t="str">
        <f>CONCATENATE("The input for the following comes directly from the ",C4-1," Budget:")</f>
        <v>The input for the following comes directly from the 2011 Budget:</v>
      </c>
      <c r="B11" s="38"/>
      <c r="C11" s="38"/>
      <c r="D11" s="38"/>
      <c r="E11" s="28"/>
      <c r="F11" s="28"/>
    </row>
    <row r="12" spans="1:6" ht="15.75">
      <c r="A12" s="39" t="s">
        <v>172</v>
      </c>
      <c r="B12" s="38"/>
      <c r="C12" s="38"/>
      <c r="D12" s="38"/>
      <c r="E12" s="28"/>
      <c r="F12" s="28"/>
    </row>
    <row r="13" spans="1:6" ht="15.75">
      <c r="A13" s="39" t="s">
        <v>193</v>
      </c>
      <c r="B13" s="38"/>
      <c r="C13" s="38"/>
      <c r="D13" s="38"/>
      <c r="E13" s="28"/>
      <c r="F13" s="28"/>
    </row>
    <row r="14" spans="1:6" ht="15.75">
      <c r="A14" s="28"/>
      <c r="B14" s="28"/>
      <c r="C14" s="40"/>
      <c r="D14" s="41">
        <f>C4-1</f>
        <v>2011</v>
      </c>
      <c r="E14" s="42" t="str">
        <f>CONCATENATE("",C4-2,"")</f>
        <v>2010</v>
      </c>
      <c r="F14" s="43">
        <f>C4-2</f>
        <v>2010</v>
      </c>
    </row>
    <row r="15" spans="1:6" ht="15.75">
      <c r="A15" s="27" t="s">
        <v>173</v>
      </c>
      <c r="B15" s="28"/>
      <c r="C15" s="44" t="s">
        <v>26</v>
      </c>
      <c r="D15" s="45" t="s">
        <v>192</v>
      </c>
      <c r="E15" s="45" t="s">
        <v>24</v>
      </c>
      <c r="F15" s="45" t="s">
        <v>20</v>
      </c>
    </row>
    <row r="16" spans="1:6" ht="15.75">
      <c r="A16" s="28"/>
      <c r="B16" s="51" t="s">
        <v>224</v>
      </c>
      <c r="C16" s="288" t="s">
        <v>227</v>
      </c>
      <c r="D16" s="48">
        <v>57000</v>
      </c>
      <c r="E16" s="53">
        <v>49285</v>
      </c>
      <c r="F16" s="49">
        <v>6.88</v>
      </c>
    </row>
    <row r="17" spans="1:6" ht="15.75">
      <c r="A17" s="28"/>
      <c r="B17" s="51" t="s">
        <v>225</v>
      </c>
      <c r="C17" s="288" t="s">
        <v>227</v>
      </c>
      <c r="D17" s="48">
        <v>24000</v>
      </c>
      <c r="E17" s="53">
        <v>11318</v>
      </c>
      <c r="F17" s="49">
        <v>2.19</v>
      </c>
    </row>
    <row r="18" spans="1:6" ht="15.75">
      <c r="A18" s="28"/>
      <c r="B18" s="51" t="s">
        <v>226</v>
      </c>
      <c r="C18" s="288" t="s">
        <v>227</v>
      </c>
      <c r="D18" s="48">
        <v>56655</v>
      </c>
      <c r="E18" s="53">
        <v>46041</v>
      </c>
      <c r="F18" s="49">
        <v>2.809</v>
      </c>
    </row>
    <row r="19" spans="1:6" ht="15.75">
      <c r="A19" s="28"/>
      <c r="B19" s="51"/>
      <c r="C19" s="288"/>
      <c r="D19" s="48"/>
      <c r="E19" s="53"/>
      <c r="F19" s="49"/>
    </row>
    <row r="20" spans="1:6" ht="15.75">
      <c r="A20" s="28"/>
      <c r="B20" s="51"/>
      <c r="C20" s="288"/>
      <c r="D20" s="48"/>
      <c r="E20" s="53"/>
      <c r="F20" s="49"/>
    </row>
    <row r="21" spans="1:6" ht="15.75">
      <c r="A21" s="28"/>
      <c r="B21" s="51"/>
      <c r="C21" s="288"/>
      <c r="D21" s="48"/>
      <c r="E21" s="53"/>
      <c r="F21" s="49"/>
    </row>
    <row r="22" spans="1:6" ht="15.75">
      <c r="A22" s="54" t="str">
        <f>CONCATENATE("Total Tax Levy Funds Levy Amounts and Levy Rates for ",C4-1," Budget")</f>
        <v>Total Tax Levy Funds Levy Amounts and Levy Rates for 2011 Budget</v>
      </c>
      <c r="B22" s="55"/>
      <c r="C22" s="55"/>
      <c r="D22" s="56"/>
      <c r="E22" s="57">
        <f>SUM(E16:E21)</f>
        <v>106644</v>
      </c>
      <c r="F22" s="58">
        <f>SUM(F16:F21)</f>
        <v>11.879000000000001</v>
      </c>
    </row>
    <row r="23" spans="1:6" ht="15.75">
      <c r="A23" s="27" t="s">
        <v>11</v>
      </c>
      <c r="B23" s="28"/>
      <c r="C23" s="28"/>
      <c r="D23" s="28"/>
      <c r="E23" s="28"/>
      <c r="F23" s="28"/>
    </row>
    <row r="24" spans="1:6" ht="15.75">
      <c r="A24" s="28"/>
      <c r="B24" s="49" t="s">
        <v>228</v>
      </c>
      <c r="C24" s="28"/>
      <c r="D24" s="48">
        <v>10399</v>
      </c>
      <c r="E24" s="28"/>
      <c r="F24" s="28"/>
    </row>
    <row r="25" spans="1:6" ht="15.75">
      <c r="A25" s="28"/>
      <c r="B25" s="49" t="s">
        <v>229</v>
      </c>
      <c r="C25" s="28"/>
      <c r="D25" s="48">
        <v>1818</v>
      </c>
      <c r="E25" s="28"/>
      <c r="F25" s="28"/>
    </row>
    <row r="26" spans="1:6" ht="15.75">
      <c r="A26" s="28"/>
      <c r="B26" s="49" t="s">
        <v>240</v>
      </c>
      <c r="C26" s="28"/>
      <c r="D26" s="48">
        <v>43112</v>
      </c>
      <c r="E26" s="28"/>
      <c r="F26" s="28"/>
    </row>
    <row r="27" spans="1:6" ht="15.75">
      <c r="A27" s="28"/>
      <c r="B27" s="49"/>
      <c r="C27" s="28"/>
      <c r="D27" s="48"/>
      <c r="E27" s="28"/>
      <c r="F27" s="28"/>
    </row>
    <row r="28" spans="1:6" ht="15.75">
      <c r="A28" s="28"/>
      <c r="B28" s="49"/>
      <c r="C28" s="28"/>
      <c r="D28" s="48"/>
      <c r="E28" s="28"/>
      <c r="F28" s="28"/>
    </row>
    <row r="29" spans="1:6" ht="15.75">
      <c r="A29" s="28"/>
      <c r="B29" s="49"/>
      <c r="C29" s="28"/>
      <c r="D29" s="48"/>
      <c r="E29" s="28"/>
      <c r="F29" s="28"/>
    </row>
    <row r="30" spans="1:6" ht="15.75">
      <c r="A30" s="54" t="str">
        <f>CONCATENATE("Total Expenditures for ",C4-1," Budgeted Year")</f>
        <v>Total Expenditures for 2011 Budgeted Year</v>
      </c>
      <c r="B30" s="59"/>
      <c r="C30" s="60"/>
      <c r="D30" s="61">
        <f>SUM(D16:D21,D24:D29)</f>
        <v>192984</v>
      </c>
      <c r="E30" s="28"/>
      <c r="F30" s="28"/>
    </row>
    <row r="31" spans="1:6" ht="15.75">
      <c r="A31" s="62"/>
      <c r="B31" s="63"/>
      <c r="C31" s="28"/>
      <c r="D31" s="64"/>
      <c r="E31" s="28"/>
      <c r="F31" s="28"/>
    </row>
    <row r="32" spans="1:6" ht="15.75">
      <c r="A32" s="28" t="s">
        <v>7</v>
      </c>
      <c r="B32" s="63"/>
      <c r="C32" s="28"/>
      <c r="D32" s="28"/>
      <c r="E32" s="28"/>
      <c r="F32" s="28"/>
    </row>
    <row r="33" spans="1:6" ht="15.75">
      <c r="A33" s="28">
        <v>1</v>
      </c>
      <c r="B33" s="49"/>
      <c r="C33" s="28"/>
      <c r="D33" s="28"/>
      <c r="E33" s="28"/>
      <c r="F33" s="28"/>
    </row>
    <row r="34" spans="1:6" ht="15.75">
      <c r="A34" s="28">
        <v>2</v>
      </c>
      <c r="B34" s="49"/>
      <c r="C34" s="28"/>
      <c r="D34" s="28"/>
      <c r="E34" s="28"/>
      <c r="F34" s="28"/>
    </row>
    <row r="35" spans="1:6" ht="15.75">
      <c r="A35" s="28">
        <v>3</v>
      </c>
      <c r="B35" s="49"/>
      <c r="C35" s="28"/>
      <c r="D35" s="28"/>
      <c r="E35" s="28"/>
      <c r="F35" s="28"/>
    </row>
    <row r="36" spans="1:6" ht="15.75">
      <c r="A36" s="28">
        <v>4</v>
      </c>
      <c r="B36" s="49"/>
      <c r="C36" s="28"/>
      <c r="D36" s="28"/>
      <c r="E36" s="28"/>
      <c r="F36" s="28"/>
    </row>
    <row r="37" spans="1:6" ht="15.75">
      <c r="A37" s="28">
        <v>5</v>
      </c>
      <c r="B37" s="49"/>
      <c r="C37" s="28"/>
      <c r="D37" s="28"/>
      <c r="E37" s="28"/>
      <c r="F37" s="28"/>
    </row>
    <row r="38" spans="1:6" ht="15.75">
      <c r="A38" s="28" t="s">
        <v>8</v>
      </c>
      <c r="B38" s="63"/>
      <c r="C38" s="28"/>
      <c r="D38" s="28"/>
      <c r="E38" s="28"/>
      <c r="F38" s="28"/>
    </row>
    <row r="39" spans="1:6" ht="15.75">
      <c r="A39" s="28">
        <v>1</v>
      </c>
      <c r="B39" s="49"/>
      <c r="C39" s="28"/>
      <c r="D39" s="28"/>
      <c r="E39" s="28"/>
      <c r="F39" s="28"/>
    </row>
    <row r="40" spans="1:6" ht="15.75">
      <c r="A40" s="28">
        <v>2</v>
      </c>
      <c r="B40" s="49"/>
      <c r="C40" s="28"/>
      <c r="D40" s="28"/>
      <c r="E40" s="28"/>
      <c r="F40" s="28"/>
    </row>
    <row r="41" spans="1:6" ht="15.75">
      <c r="A41" s="28">
        <v>3</v>
      </c>
      <c r="B41" s="49"/>
      <c r="C41" s="28"/>
      <c r="D41" s="28"/>
      <c r="E41" s="28"/>
      <c r="F41" s="28"/>
    </row>
    <row r="42" spans="1:6" ht="15.75">
      <c r="A42" s="28">
        <v>4</v>
      </c>
      <c r="B42" s="49"/>
      <c r="C42" s="28"/>
      <c r="D42" s="28"/>
      <c r="E42" s="28"/>
      <c r="F42" s="28"/>
    </row>
    <row r="43" spans="1:6" ht="15.75">
      <c r="A43" s="28">
        <v>5</v>
      </c>
      <c r="B43" s="49"/>
      <c r="C43" s="28"/>
      <c r="D43" s="28"/>
      <c r="E43" s="28"/>
      <c r="F43" s="28"/>
    </row>
    <row r="44" spans="1:6" ht="15.75">
      <c r="A44" s="28" t="s">
        <v>9</v>
      </c>
      <c r="B44" s="63"/>
      <c r="C44" s="28"/>
      <c r="D44" s="28"/>
      <c r="E44" s="28"/>
      <c r="F44" s="28"/>
    </row>
    <row r="45" spans="1:6" ht="15.75">
      <c r="A45" s="28">
        <v>1</v>
      </c>
      <c r="B45" s="49"/>
      <c r="C45" s="28"/>
      <c r="D45" s="28"/>
      <c r="E45" s="28"/>
      <c r="F45" s="28"/>
    </row>
    <row r="46" spans="1:6" ht="15.75">
      <c r="A46" s="28">
        <v>2</v>
      </c>
      <c r="B46" s="49"/>
      <c r="C46" s="28"/>
      <c r="D46" s="28"/>
      <c r="E46" s="28"/>
      <c r="F46" s="28"/>
    </row>
    <row r="47" spans="1:6" ht="15.75">
      <c r="A47" s="28">
        <v>3</v>
      </c>
      <c r="B47" s="49"/>
      <c r="C47" s="28"/>
      <c r="D47" s="28"/>
      <c r="E47" s="28"/>
      <c r="F47" s="28"/>
    </row>
    <row r="48" spans="1:6" ht="15.75">
      <c r="A48" s="28">
        <v>4</v>
      </c>
      <c r="B48" s="49"/>
      <c r="C48" s="28"/>
      <c r="D48" s="28"/>
      <c r="E48" s="28"/>
      <c r="F48" s="28"/>
    </row>
    <row r="49" spans="1:6" ht="15.75">
      <c r="A49" s="28">
        <v>5</v>
      </c>
      <c r="B49" s="49"/>
      <c r="C49" s="28"/>
      <c r="D49" s="28"/>
      <c r="E49" s="28"/>
      <c r="F49" s="28"/>
    </row>
    <row r="50" spans="1:6" ht="15.75">
      <c r="A50" s="28" t="s">
        <v>10</v>
      </c>
      <c r="B50" s="63"/>
      <c r="C50" s="28"/>
      <c r="D50" s="28"/>
      <c r="E50" s="28"/>
      <c r="F50" s="28"/>
    </row>
    <row r="51" spans="1:6" ht="15.75">
      <c r="A51" s="28">
        <v>1</v>
      </c>
      <c r="B51" s="49"/>
      <c r="C51" s="28"/>
      <c r="D51" s="28"/>
      <c r="E51" s="28"/>
      <c r="F51" s="28"/>
    </row>
    <row r="52" spans="1:6" ht="15.75">
      <c r="A52" s="28">
        <v>2</v>
      </c>
      <c r="B52" s="49"/>
      <c r="C52" s="28"/>
      <c r="D52" s="28"/>
      <c r="E52" s="28"/>
      <c r="F52" s="28"/>
    </row>
    <row r="53" spans="1:6" ht="15.75">
      <c r="A53" s="28">
        <v>3</v>
      </c>
      <c r="B53" s="49"/>
      <c r="C53" s="28"/>
      <c r="D53" s="28"/>
      <c r="E53" s="28"/>
      <c r="F53" s="28"/>
    </row>
    <row r="54" spans="1:6" ht="15.75">
      <c r="A54" s="28">
        <v>4</v>
      </c>
      <c r="B54" s="49"/>
      <c r="C54" s="28"/>
      <c r="D54" s="28"/>
      <c r="E54" s="28"/>
      <c r="F54" s="28"/>
    </row>
    <row r="55" spans="1:6" ht="15.75">
      <c r="A55" s="28">
        <v>5</v>
      </c>
      <c r="B55" s="49"/>
      <c r="C55" s="28"/>
      <c r="D55" s="28"/>
      <c r="E55" s="28"/>
      <c r="F55" s="28"/>
    </row>
    <row r="56" spans="1:6" ht="15.75">
      <c r="A56" s="54" t="str">
        <f>CONCATENATE("County's Final Assessed Valuation for ",C4-1," (November 1,",C4-2," Abstract):")</f>
        <v>County's Final Assessed Valuation for 2011 (November 1,2010 Abstract):</v>
      </c>
      <c r="B56" s="55"/>
      <c r="C56" s="55"/>
      <c r="D56" s="55"/>
      <c r="E56" s="60"/>
      <c r="F56" s="53">
        <f>6049263+4052185+16391248+783268+331229+1116727</f>
        <v>28723920</v>
      </c>
    </row>
    <row r="57" spans="1:6" ht="15.75">
      <c r="A57" s="27"/>
      <c r="B57" s="28"/>
      <c r="C57" s="28"/>
      <c r="D57" s="28"/>
      <c r="E57" s="28"/>
      <c r="F57" s="28"/>
    </row>
    <row r="58" spans="1:6" ht="15.75">
      <c r="A58" s="28"/>
      <c r="B58" s="28"/>
      <c r="C58" s="28"/>
      <c r="D58" s="28"/>
      <c r="E58" s="28"/>
      <c r="F58" s="28"/>
    </row>
    <row r="59" spans="1:6" ht="15.75">
      <c r="A59" s="65" t="str">
        <f>CONCATENATE("From the ",C4-1," Budget:")</f>
        <v>From the 2011 Budget:</v>
      </c>
      <c r="B59" s="38"/>
      <c r="C59" s="28"/>
      <c r="D59" s="351" t="str">
        <f>CONCATENATE("",C4-3," Tax Rate (",C4-2," Column)")</f>
        <v>2009 Tax Rate (2010 Column)</v>
      </c>
      <c r="E59" s="66"/>
      <c r="F59" s="28"/>
    </row>
    <row r="60" spans="1:6" ht="15.75">
      <c r="A60" s="65" t="s">
        <v>25</v>
      </c>
      <c r="B60" s="67"/>
      <c r="C60" s="28"/>
      <c r="D60" s="352"/>
      <c r="E60" s="66"/>
      <c r="F60" s="28"/>
    </row>
    <row r="61" spans="1:6" ht="15.75">
      <c r="A61" s="28"/>
      <c r="B61" s="68" t="str">
        <f aca="true" t="shared" si="0" ref="B61:B66">B16</f>
        <v>MCO # 1</v>
      </c>
      <c r="C61" s="28"/>
      <c r="D61" s="49">
        <v>3.194</v>
      </c>
      <c r="E61" s="66"/>
      <c r="F61" s="28"/>
    </row>
    <row r="62" spans="1:6" ht="15.75">
      <c r="A62" s="28"/>
      <c r="B62" s="68" t="str">
        <f t="shared" si="0"/>
        <v>Tipton # 2</v>
      </c>
      <c r="C62" s="28"/>
      <c r="D62" s="49">
        <v>2.762</v>
      </c>
      <c r="E62" s="66"/>
      <c r="F62" s="28"/>
    </row>
    <row r="63" spans="1:6" ht="15.75">
      <c r="A63" s="28"/>
      <c r="B63" s="68" t="str">
        <f t="shared" si="0"/>
        <v>Solomon Rapids F.D. # 3</v>
      </c>
      <c r="C63" s="28"/>
      <c r="D63" s="49">
        <v>2.66</v>
      </c>
      <c r="E63" s="66"/>
      <c r="F63" s="28"/>
    </row>
    <row r="64" spans="1:6" ht="15.75">
      <c r="A64" s="28"/>
      <c r="B64" s="68">
        <f t="shared" si="0"/>
        <v>0</v>
      </c>
      <c r="C64" s="28"/>
      <c r="D64" s="49"/>
      <c r="E64" s="66"/>
      <c r="F64" s="28"/>
    </row>
    <row r="65" spans="1:6" ht="15.75">
      <c r="A65" s="28"/>
      <c r="B65" s="68">
        <f t="shared" si="0"/>
        <v>0</v>
      </c>
      <c r="C65" s="28"/>
      <c r="D65" s="49"/>
      <c r="E65" s="66"/>
      <c r="F65" s="28"/>
    </row>
    <row r="66" spans="1:6" ht="15.75">
      <c r="A66" s="28"/>
      <c r="B66" s="68">
        <f t="shared" si="0"/>
        <v>0</v>
      </c>
      <c r="C66" s="28"/>
      <c r="D66" s="49"/>
      <c r="E66" s="66"/>
      <c r="F66" s="28"/>
    </row>
    <row r="67" spans="1:6" ht="15.75">
      <c r="A67" s="55" t="s">
        <v>27</v>
      </c>
      <c r="B67" s="55"/>
      <c r="C67" s="60"/>
      <c r="D67" s="58">
        <f>SUM(D61:D66)</f>
        <v>8.616</v>
      </c>
      <c r="E67" s="66"/>
      <c r="F67" s="28"/>
    </row>
    <row r="68" spans="1:6" ht="15.75">
      <c r="A68" s="28"/>
      <c r="B68" s="28"/>
      <c r="C68" s="28"/>
      <c r="D68" s="28"/>
      <c r="E68" s="28"/>
      <c r="F68" s="28"/>
    </row>
    <row r="69" spans="1:6" ht="15.75">
      <c r="A69" s="69" t="str">
        <f>CONCATENATE("Total Tax Levied (",C4-2," budget column)")</f>
        <v>Total Tax Levied (2010 budget column)</v>
      </c>
      <c r="B69" s="70"/>
      <c r="C69" s="55"/>
      <c r="D69" s="55"/>
      <c r="E69" s="60"/>
      <c r="F69" s="53">
        <v>78778</v>
      </c>
    </row>
    <row r="70" spans="1:6" ht="15.75">
      <c r="A70" s="71" t="str">
        <f>CONCATENATE("Assessed Valuation  (",C4-2," budget column)")</f>
        <v>Assessed Valuation  (2010 budget column)</v>
      </c>
      <c r="B70" s="72"/>
      <c r="C70" s="73"/>
      <c r="D70" s="73"/>
      <c r="E70" s="56"/>
      <c r="F70" s="53">
        <v>27974094</v>
      </c>
    </row>
    <row r="71" spans="1:6" ht="15.75">
      <c r="A71" s="62"/>
      <c r="B71" s="31"/>
      <c r="C71" s="31"/>
      <c r="D71" s="31"/>
      <c r="E71" s="31"/>
      <c r="F71" s="74"/>
    </row>
    <row r="72" spans="1:6" ht="15.75">
      <c r="A72" s="75" t="str">
        <f>CONCATENATE("From the ",C4-1," Budget, Budget Summary Page:")</f>
        <v>From the 2011 Budget, Budget Summary Page:</v>
      </c>
      <c r="B72" s="76"/>
      <c r="C72" s="66"/>
      <c r="D72" s="66"/>
      <c r="E72" s="66"/>
      <c r="F72" s="66"/>
    </row>
    <row r="73" spans="1:6" ht="15.75">
      <c r="A73" s="77" t="s">
        <v>0</v>
      </c>
      <c r="B73" s="77"/>
      <c r="C73" s="78"/>
      <c r="D73" s="79">
        <f>C4-3</f>
        <v>2009</v>
      </c>
      <c r="E73" s="80">
        <f>C4-2</f>
        <v>2010</v>
      </c>
      <c r="F73" s="66"/>
    </row>
    <row r="74" spans="1:6" ht="15.75">
      <c r="A74" s="81" t="s">
        <v>1</v>
      </c>
      <c r="B74" s="81"/>
      <c r="C74" s="82"/>
      <c r="D74" s="48"/>
      <c r="E74" s="48"/>
      <c r="F74" s="66"/>
    </row>
    <row r="75" spans="1:6" s="84" customFormat="1" ht="15.75">
      <c r="A75" s="83" t="s">
        <v>2</v>
      </c>
      <c r="B75" s="83"/>
      <c r="C75" s="82"/>
      <c r="D75" s="48"/>
      <c r="E75" s="48"/>
      <c r="F75" s="78"/>
    </row>
    <row r="76" spans="1:6" s="84" customFormat="1" ht="15.75">
      <c r="A76" s="83" t="s">
        <v>3</v>
      </c>
      <c r="B76" s="83"/>
      <c r="C76" s="82"/>
      <c r="D76" s="48"/>
      <c r="E76" s="48"/>
      <c r="F76" s="78"/>
    </row>
    <row r="77" spans="1:6" s="84" customFormat="1" ht="15.75">
      <c r="A77" s="83" t="s">
        <v>4</v>
      </c>
      <c r="B77" s="83"/>
      <c r="C77" s="82"/>
      <c r="D77" s="48"/>
      <c r="E77" s="48"/>
      <c r="F77" s="78"/>
    </row>
    <row r="78" s="84" customFormat="1" ht="15.75"/>
  </sheetData>
  <sheetProtection/>
  <mergeCells count="3">
    <mergeCell ref="D59:D60"/>
    <mergeCell ref="A9:F9"/>
    <mergeCell ref="A1:F1"/>
  </mergeCells>
  <printOptions/>
  <pageMargins left="0.5" right="0.5" top="1" bottom="0.5" header="0.5" footer="0.25"/>
  <pageSetup blackAndWhite="1" fitToHeight="3" fitToWidth="1" horizontalDpi="120" verticalDpi="120" orientation="portrait" scale="84" r:id="rId1"/>
</worksheet>
</file>

<file path=xl/worksheets/sheet10.xml><?xml version="1.0" encoding="utf-8"?>
<worksheet xmlns="http://schemas.openxmlformats.org/spreadsheetml/2006/main" xmlns:r="http://schemas.openxmlformats.org/officeDocument/2006/relationships">
  <sheetPr>
    <pageSetUpPr fitToPage="1"/>
  </sheetPr>
  <dimension ref="A1:I48"/>
  <sheetViews>
    <sheetView view="pageBreakPreview" zoomScale="104" zoomScaleNormal="75" zoomScaleSheetLayoutView="104" zoomScalePageLayoutView="0" workbookViewId="0" topLeftCell="A1">
      <selection activeCell="H11" sqref="H11"/>
    </sheetView>
  </sheetViews>
  <sheetFormatPr defaultColWidth="8.796875" defaultRowHeight="15"/>
  <cols>
    <col min="1" max="1" width="25.796875" style="25" customWidth="1"/>
    <col min="2" max="4" width="9.796875" style="25" customWidth="1"/>
    <col min="5" max="5" width="17.09765625" style="25" customWidth="1"/>
    <col min="6" max="8" width="15.796875" style="25" customWidth="1"/>
    <col min="9" max="16384" width="8.8984375" style="25" customWidth="1"/>
  </cols>
  <sheetData>
    <row r="1" spans="1:8" ht="15.75">
      <c r="A1" s="161" t="str">
        <f>inputPrYr!$C$2</f>
        <v>MITCHELL COUNTY</v>
      </c>
      <c r="B1" s="28"/>
      <c r="C1" s="28"/>
      <c r="D1" s="28"/>
      <c r="E1" s="28"/>
      <c r="F1" s="28"/>
      <c r="G1" s="28"/>
      <c r="H1" s="220">
        <f>inputPrYr!C4</f>
        <v>2012</v>
      </c>
    </row>
    <row r="2" spans="1:8" ht="15.75">
      <c r="A2" s="28"/>
      <c r="B2" s="28"/>
      <c r="C2" s="28"/>
      <c r="D2" s="28"/>
      <c r="E2" s="28"/>
      <c r="F2" s="28"/>
      <c r="G2" s="28"/>
      <c r="H2" s="173"/>
    </row>
    <row r="3" spans="1:8" ht="15.75">
      <c r="A3" s="28"/>
      <c r="B3" s="36"/>
      <c r="C3" s="36"/>
      <c r="D3" s="36"/>
      <c r="E3" s="36"/>
      <c r="F3" s="36"/>
      <c r="G3" s="36"/>
      <c r="H3" s="221"/>
    </row>
    <row r="4" spans="1:8" ht="15.75">
      <c r="A4" s="189" t="s">
        <v>105</v>
      </c>
      <c r="B4" s="36"/>
      <c r="C4" s="36"/>
      <c r="D4" s="36"/>
      <c r="E4" s="36"/>
      <c r="F4" s="36"/>
      <c r="G4" s="36"/>
      <c r="H4" s="36"/>
    </row>
    <row r="5" spans="1:8" ht="15.75">
      <c r="A5" s="55"/>
      <c r="B5" s="190"/>
      <c r="C5" s="190"/>
      <c r="D5" s="190"/>
      <c r="E5" s="190"/>
      <c r="F5" s="190"/>
      <c r="G5" s="190"/>
      <c r="H5" s="190"/>
    </row>
    <row r="6" spans="1:8" ht="15.75">
      <c r="A6" s="222"/>
      <c r="B6" s="223"/>
      <c r="C6" s="223"/>
      <c r="D6" s="223"/>
      <c r="E6" s="191" t="s">
        <v>27</v>
      </c>
      <c r="F6" s="223"/>
      <c r="G6" s="223"/>
      <c r="H6" s="223"/>
    </row>
    <row r="7" spans="1:8" ht="15.75">
      <c r="A7" s="222"/>
      <c r="B7" s="194"/>
      <c r="C7" s="194" t="s">
        <v>93</v>
      </c>
      <c r="D7" s="194" t="s">
        <v>94</v>
      </c>
      <c r="E7" s="194" t="s">
        <v>46</v>
      </c>
      <c r="F7" s="194" t="s">
        <v>95</v>
      </c>
      <c r="G7" s="194" t="s">
        <v>96</v>
      </c>
      <c r="H7" s="194" t="s">
        <v>96</v>
      </c>
    </row>
    <row r="8" spans="1:8" ht="15.75">
      <c r="A8" s="222"/>
      <c r="B8" s="194" t="s">
        <v>97</v>
      </c>
      <c r="C8" s="194" t="s">
        <v>98</v>
      </c>
      <c r="D8" s="194" t="s">
        <v>82</v>
      </c>
      <c r="E8" s="194" t="s">
        <v>99</v>
      </c>
      <c r="F8" s="194" t="s">
        <v>133</v>
      </c>
      <c r="G8" s="194" t="s">
        <v>100</v>
      </c>
      <c r="H8" s="194" t="s">
        <v>100</v>
      </c>
    </row>
    <row r="9" spans="1:8" ht="15.75">
      <c r="A9" s="224" t="s">
        <v>101</v>
      </c>
      <c r="B9" s="197" t="s">
        <v>79</v>
      </c>
      <c r="C9" s="225" t="s">
        <v>102</v>
      </c>
      <c r="D9" s="197" t="s">
        <v>60</v>
      </c>
      <c r="E9" s="225" t="s">
        <v>150</v>
      </c>
      <c r="F9" s="226" t="str">
        <f>CONCATENATE("Jan 1,",H1-1,"")</f>
        <v>Jan 1,2011</v>
      </c>
      <c r="G9" s="197">
        <f>H1-1</f>
        <v>2011</v>
      </c>
      <c r="H9" s="197">
        <f>H1</f>
        <v>2012</v>
      </c>
    </row>
    <row r="10" spans="1:8" ht="15.75">
      <c r="A10" s="227" t="s">
        <v>233</v>
      </c>
      <c r="B10" s="280">
        <v>40392</v>
      </c>
      <c r="C10" s="228">
        <v>120</v>
      </c>
      <c r="D10" s="229">
        <v>4.54</v>
      </c>
      <c r="E10" s="53">
        <v>96000</v>
      </c>
      <c r="F10" s="53">
        <v>96000</v>
      </c>
      <c r="G10" s="53">
        <v>12155</v>
      </c>
      <c r="H10" s="53">
        <v>12155</v>
      </c>
    </row>
    <row r="11" spans="1:8" ht="15.75">
      <c r="A11" s="227"/>
      <c r="B11" s="227"/>
      <c r="C11" s="228"/>
      <c r="D11" s="229"/>
      <c r="E11" s="53"/>
      <c r="F11" s="53"/>
      <c r="G11" s="53"/>
      <c r="H11" s="53"/>
    </row>
    <row r="12" spans="1:8" ht="15.75">
      <c r="A12" s="227"/>
      <c r="B12" s="280"/>
      <c r="C12" s="228"/>
      <c r="D12" s="229"/>
      <c r="E12" s="53"/>
      <c r="F12" s="53"/>
      <c r="G12" s="53"/>
      <c r="H12" s="53"/>
    </row>
    <row r="13" spans="1:8" ht="15.75">
      <c r="A13" s="227"/>
      <c r="B13" s="227"/>
      <c r="C13" s="228"/>
      <c r="D13" s="229"/>
      <c r="E13" s="53"/>
      <c r="F13" s="53"/>
      <c r="G13" s="53"/>
      <c r="H13" s="53"/>
    </row>
    <row r="14" spans="1:8" ht="15.75">
      <c r="A14" s="227"/>
      <c r="B14" s="227"/>
      <c r="C14" s="228"/>
      <c r="D14" s="229"/>
      <c r="E14" s="53"/>
      <c r="F14" s="53"/>
      <c r="G14" s="53"/>
      <c r="H14" s="53"/>
    </row>
    <row r="15" spans="1:8" ht="15.75">
      <c r="A15" s="227"/>
      <c r="B15" s="227"/>
      <c r="C15" s="228"/>
      <c r="D15" s="229"/>
      <c r="E15" s="53"/>
      <c r="F15" s="53"/>
      <c r="G15" s="53"/>
      <c r="H15" s="53"/>
    </row>
    <row r="16" spans="1:8" ht="15.75">
      <c r="A16" s="227"/>
      <c r="B16" s="227"/>
      <c r="C16" s="228"/>
      <c r="D16" s="229"/>
      <c r="E16" s="53"/>
      <c r="F16" s="53"/>
      <c r="G16" s="53"/>
      <c r="H16" s="53"/>
    </row>
    <row r="17" spans="1:8" ht="15.75">
      <c r="A17" s="227"/>
      <c r="B17" s="227"/>
      <c r="C17" s="228"/>
      <c r="D17" s="229"/>
      <c r="E17" s="53"/>
      <c r="F17" s="53"/>
      <c r="G17" s="53"/>
      <c r="H17" s="53"/>
    </row>
    <row r="18" spans="1:8" ht="15.75">
      <c r="A18" s="227"/>
      <c r="B18" s="227"/>
      <c r="C18" s="228"/>
      <c r="D18" s="229"/>
      <c r="E18" s="53"/>
      <c r="F18" s="53"/>
      <c r="G18" s="53"/>
      <c r="H18" s="53"/>
    </row>
    <row r="19" spans="1:8" ht="15.75">
      <c r="A19" s="227"/>
      <c r="B19" s="227"/>
      <c r="C19" s="228"/>
      <c r="D19" s="229"/>
      <c r="E19" s="53"/>
      <c r="F19" s="53"/>
      <c r="G19" s="53"/>
      <c r="H19" s="53"/>
    </row>
    <row r="20" spans="1:8" ht="15.75">
      <c r="A20" s="227"/>
      <c r="B20" s="227"/>
      <c r="C20" s="228"/>
      <c r="D20" s="229"/>
      <c r="E20" s="53"/>
      <c r="F20" s="53"/>
      <c r="G20" s="53"/>
      <c r="H20" s="53"/>
    </row>
    <row r="21" spans="1:8" ht="15.75">
      <c r="A21" s="227"/>
      <c r="B21" s="227"/>
      <c r="C21" s="228"/>
      <c r="D21" s="229"/>
      <c r="E21" s="53"/>
      <c r="F21" s="53"/>
      <c r="G21" s="53"/>
      <c r="H21" s="53"/>
    </row>
    <row r="22" spans="1:8" ht="15.75">
      <c r="A22" s="227"/>
      <c r="B22" s="227"/>
      <c r="C22" s="228"/>
      <c r="D22" s="229"/>
      <c r="E22" s="53"/>
      <c r="F22" s="53"/>
      <c r="G22" s="53"/>
      <c r="H22" s="53"/>
    </row>
    <row r="23" spans="1:8" ht="15.75">
      <c r="A23" s="227"/>
      <c r="B23" s="227"/>
      <c r="C23" s="228"/>
      <c r="D23" s="229"/>
      <c r="E23" s="53"/>
      <c r="F23" s="53"/>
      <c r="G23" s="53"/>
      <c r="H23" s="53"/>
    </row>
    <row r="24" spans="1:8" ht="15.75">
      <c r="A24" s="227"/>
      <c r="B24" s="227"/>
      <c r="C24" s="228"/>
      <c r="D24" s="229"/>
      <c r="E24" s="53"/>
      <c r="F24" s="53"/>
      <c r="G24" s="53"/>
      <c r="H24" s="53"/>
    </row>
    <row r="25" spans="1:8" ht="15.75">
      <c r="A25" s="227"/>
      <c r="B25" s="227"/>
      <c r="C25" s="228"/>
      <c r="D25" s="229"/>
      <c r="E25" s="53"/>
      <c r="F25" s="53"/>
      <c r="G25" s="53"/>
      <c r="H25" s="53"/>
    </row>
    <row r="26" spans="1:8" ht="15.75">
      <c r="A26" s="227"/>
      <c r="B26" s="227"/>
      <c r="C26" s="228"/>
      <c r="D26" s="229"/>
      <c r="E26" s="53"/>
      <c r="F26" s="53"/>
      <c r="G26" s="53"/>
      <c r="H26" s="53"/>
    </row>
    <row r="27" spans="1:8" ht="15.75">
      <c r="A27" s="227"/>
      <c r="B27" s="227"/>
      <c r="C27" s="228"/>
      <c r="D27" s="229"/>
      <c r="E27" s="53"/>
      <c r="F27" s="53"/>
      <c r="G27" s="53"/>
      <c r="H27" s="53"/>
    </row>
    <row r="28" spans="1:8" ht="15.75">
      <c r="A28" s="227"/>
      <c r="B28" s="227"/>
      <c r="C28" s="228"/>
      <c r="D28" s="229"/>
      <c r="E28" s="53"/>
      <c r="F28" s="53"/>
      <c r="G28" s="53"/>
      <c r="H28" s="53"/>
    </row>
    <row r="29" spans="1:8" ht="15.75">
      <c r="A29" s="227"/>
      <c r="B29" s="227"/>
      <c r="C29" s="228"/>
      <c r="D29" s="229"/>
      <c r="E29" s="53"/>
      <c r="F29" s="53"/>
      <c r="G29" s="53"/>
      <c r="H29" s="53"/>
    </row>
    <row r="30" spans="1:8" ht="15.75">
      <c r="A30" s="227"/>
      <c r="B30" s="227"/>
      <c r="C30" s="228"/>
      <c r="D30" s="229"/>
      <c r="E30" s="53"/>
      <c r="F30" s="53"/>
      <c r="G30" s="53"/>
      <c r="H30" s="53"/>
    </row>
    <row r="31" spans="1:8" ht="15.75">
      <c r="A31" s="227"/>
      <c r="B31" s="227"/>
      <c r="C31" s="228"/>
      <c r="D31" s="229"/>
      <c r="E31" s="53"/>
      <c r="F31" s="53"/>
      <c r="G31" s="53"/>
      <c r="H31" s="53"/>
    </row>
    <row r="32" spans="1:8" ht="15.75">
      <c r="A32" s="227"/>
      <c r="B32" s="227"/>
      <c r="C32" s="228"/>
      <c r="D32" s="229"/>
      <c r="E32" s="53"/>
      <c r="F32" s="53"/>
      <c r="G32" s="53"/>
      <c r="H32" s="53"/>
    </row>
    <row r="33" spans="1:8" ht="15.75">
      <c r="A33" s="227"/>
      <c r="B33" s="227"/>
      <c r="C33" s="228"/>
      <c r="D33" s="229"/>
      <c r="E33" s="53"/>
      <c r="F33" s="53"/>
      <c r="G33" s="53"/>
      <c r="H33" s="53"/>
    </row>
    <row r="34" spans="1:8" ht="15.75">
      <c r="A34" s="227"/>
      <c r="B34" s="227"/>
      <c r="C34" s="228"/>
      <c r="D34" s="229"/>
      <c r="E34" s="53"/>
      <c r="F34" s="53"/>
      <c r="G34" s="53"/>
      <c r="H34" s="53"/>
    </row>
    <row r="35" spans="1:8" ht="15.75">
      <c r="A35" s="227"/>
      <c r="B35" s="227"/>
      <c r="C35" s="228"/>
      <c r="D35" s="229"/>
      <c r="E35" s="53"/>
      <c r="F35" s="53"/>
      <c r="G35" s="53"/>
      <c r="H35" s="53"/>
    </row>
    <row r="36" spans="1:8" ht="15.75">
      <c r="A36" s="227"/>
      <c r="B36" s="227"/>
      <c r="C36" s="228"/>
      <c r="D36" s="229"/>
      <c r="E36" s="53"/>
      <c r="F36" s="53"/>
      <c r="G36" s="53"/>
      <c r="H36" s="53"/>
    </row>
    <row r="37" spans="1:9" ht="16.5" thickBot="1">
      <c r="A37" s="196" t="s">
        <v>47</v>
      </c>
      <c r="B37" s="28"/>
      <c r="C37" s="28"/>
      <c r="D37" s="28"/>
      <c r="E37" s="28"/>
      <c r="F37" s="230">
        <f>SUM(F10:F36)</f>
        <v>96000</v>
      </c>
      <c r="G37" s="230">
        <f>SUM(G10:G36)</f>
        <v>12155</v>
      </c>
      <c r="H37" s="230">
        <f>SUM(H10:H36)</f>
        <v>12155</v>
      </c>
      <c r="I37" s="231"/>
    </row>
    <row r="38" spans="1:8" ht="16.5" thickTop="1">
      <c r="A38" s="28"/>
      <c r="B38" s="28"/>
      <c r="C38" s="28"/>
      <c r="D38" s="28"/>
      <c r="E38" s="28"/>
      <c r="F38" s="28"/>
      <c r="G38" s="161"/>
      <c r="H38" s="161"/>
    </row>
    <row r="39" spans="1:8" ht="15.75">
      <c r="A39" s="232" t="s">
        <v>23</v>
      </c>
      <c r="B39" s="233"/>
      <c r="C39" s="233"/>
      <c r="D39" s="233"/>
      <c r="E39" s="233"/>
      <c r="F39" s="233"/>
      <c r="G39" s="161"/>
      <c r="H39" s="161"/>
    </row>
    <row r="40" spans="1:8" ht="15.75">
      <c r="A40" s="84"/>
      <c r="B40" s="84"/>
      <c r="C40" s="219"/>
      <c r="D40" s="84"/>
      <c r="E40" s="84"/>
      <c r="F40" s="84"/>
      <c r="G40" s="218"/>
      <c r="H40" s="218"/>
    </row>
    <row r="41" spans="1:8" ht="15.75">
      <c r="A41" s="84"/>
      <c r="B41" s="84"/>
      <c r="C41" s="84"/>
      <c r="D41" s="84"/>
      <c r="E41" s="84"/>
      <c r="F41" s="84"/>
      <c r="G41" s="84"/>
      <c r="H41" s="84"/>
    </row>
    <row r="42" spans="1:8" ht="15.75">
      <c r="A42" s="84"/>
      <c r="B42" s="84"/>
      <c r="C42" s="84"/>
      <c r="D42" s="84"/>
      <c r="E42" s="84"/>
      <c r="F42" s="84"/>
      <c r="G42" s="84"/>
      <c r="H42" s="84"/>
    </row>
    <row r="43" spans="1:8" ht="15.75">
      <c r="A43" s="84"/>
      <c r="B43" s="84"/>
      <c r="C43" s="84"/>
      <c r="D43" s="84"/>
      <c r="E43" s="84"/>
      <c r="F43" s="84"/>
      <c r="G43" s="84"/>
      <c r="H43" s="84"/>
    </row>
    <row r="44" spans="1:8" ht="15.75">
      <c r="A44" s="84"/>
      <c r="B44" s="84"/>
      <c r="C44" s="84"/>
      <c r="D44" s="84"/>
      <c r="E44" s="84"/>
      <c r="F44" s="84"/>
      <c r="G44" s="84"/>
      <c r="H44" s="84"/>
    </row>
    <row r="45" spans="1:8" ht="15.75">
      <c r="A45" s="84"/>
      <c r="B45" s="84"/>
      <c r="C45" s="84"/>
      <c r="D45" s="84"/>
      <c r="E45" s="84"/>
      <c r="F45" s="84"/>
      <c r="G45" s="84"/>
      <c r="H45" s="84"/>
    </row>
    <row r="46" spans="1:8" ht="15.75">
      <c r="A46" s="84"/>
      <c r="B46" s="84"/>
      <c r="C46" s="84"/>
      <c r="D46" s="84"/>
      <c r="E46" s="84"/>
      <c r="F46" s="84"/>
      <c r="G46" s="84"/>
      <c r="H46" s="84"/>
    </row>
    <row r="47" spans="1:8" ht="15.75">
      <c r="A47" s="84"/>
      <c r="B47" s="84"/>
      <c r="C47" s="84"/>
      <c r="D47" s="84"/>
      <c r="E47" s="84"/>
      <c r="F47" s="84"/>
      <c r="G47" s="84"/>
      <c r="H47" s="84"/>
    </row>
    <row r="48" spans="1:8" ht="15.75">
      <c r="A48" s="84"/>
      <c r="B48" s="84"/>
      <c r="C48" s="84"/>
      <c r="D48" s="84"/>
      <c r="E48" s="84"/>
      <c r="F48" s="84"/>
      <c r="G48" s="84"/>
      <c r="H48" s="84"/>
    </row>
  </sheetData>
  <sheetProtection sheet="1"/>
  <printOptions/>
  <pageMargins left="1" right="0.5" top="0.78" bottom="0.4" header="0.5" footer="0"/>
  <pageSetup blackAndWhite="1" fitToHeight="1" fitToWidth="1" horizontalDpi="120" verticalDpi="120" orientation="landscape" scale="79" r:id="rId1"/>
  <headerFooter alignWithMargins="0">
    <oddHeader>&amp;RState of Kansas
County
</oddHeader>
    <oddFooter>&amp;CPage No. 7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91"/>
  <sheetViews>
    <sheetView view="pageBreakPreview" zoomScale="97" zoomScaleSheetLayoutView="97" zoomScalePageLayoutView="0" workbookViewId="0" topLeftCell="A9">
      <selection activeCell="C79" sqref="C79"/>
    </sheetView>
  </sheetViews>
  <sheetFormatPr defaultColWidth="8.796875" defaultRowHeight="15"/>
  <cols>
    <col min="1" max="1" width="2.3984375" style="25" customWidth="1"/>
    <col min="2" max="2" width="31.09765625" style="25" customWidth="1"/>
    <col min="3" max="4" width="15.796875" style="25" customWidth="1"/>
    <col min="5" max="5" width="16.09765625" style="25" customWidth="1"/>
    <col min="6" max="16384" width="8.8984375" style="25" customWidth="1"/>
  </cols>
  <sheetData>
    <row r="1" spans="2:5" ht="15.75">
      <c r="B1" s="161" t="str">
        <f>(inputPrYr!C2)</f>
        <v>MITCHELL COUNTY</v>
      </c>
      <c r="C1" s="28"/>
      <c r="D1" s="28"/>
      <c r="E1" s="220">
        <f>inputPrYr!C4</f>
        <v>2012</v>
      </c>
    </row>
    <row r="2" spans="2:5" ht="15.75">
      <c r="B2" s="28"/>
      <c r="C2" s="28"/>
      <c r="D2" s="28"/>
      <c r="E2" s="173"/>
    </row>
    <row r="3" spans="2:5" ht="15.75">
      <c r="B3" s="93" t="s">
        <v>108</v>
      </c>
      <c r="C3" s="248"/>
      <c r="D3" s="248"/>
      <c r="E3" s="249"/>
    </row>
    <row r="4" spans="2:5" ht="15.75">
      <c r="B4" s="28"/>
      <c r="C4" s="247"/>
      <c r="D4" s="247"/>
      <c r="E4" s="247"/>
    </row>
    <row r="5" spans="2:5" ht="15.75">
      <c r="B5" s="27" t="s">
        <v>48</v>
      </c>
      <c r="C5" s="298" t="s">
        <v>237</v>
      </c>
      <c r="D5" s="297" t="s">
        <v>238</v>
      </c>
      <c r="E5" s="299" t="s">
        <v>239</v>
      </c>
    </row>
    <row r="6" spans="2:5" ht="15.75">
      <c r="B6" s="307" t="str">
        <f>inputPrYr!B16</f>
        <v>MCO # 1</v>
      </c>
      <c r="C6" s="285">
        <v>2010</v>
      </c>
      <c r="D6" s="285">
        <v>2011</v>
      </c>
      <c r="E6" s="234">
        <v>2012</v>
      </c>
    </row>
    <row r="7" spans="2:5" ht="15.75">
      <c r="B7" s="89" t="s">
        <v>145</v>
      </c>
      <c r="C7" s="341">
        <v>-2481</v>
      </c>
      <c r="D7" s="286">
        <f>C34</f>
        <v>1355</v>
      </c>
      <c r="E7" s="199">
        <f>D34</f>
        <v>3908</v>
      </c>
    </row>
    <row r="8" spans="2:5" ht="15.75">
      <c r="B8" s="224" t="s">
        <v>147</v>
      </c>
      <c r="C8" s="237"/>
      <c r="D8" s="237"/>
      <c r="E8" s="68"/>
    </row>
    <row r="9" spans="2:5" ht="15.75">
      <c r="B9" s="89" t="s">
        <v>49</v>
      </c>
      <c r="C9" s="282">
        <v>18960</v>
      </c>
      <c r="D9" s="286">
        <v>46938</v>
      </c>
      <c r="E9" s="251" t="s">
        <v>42</v>
      </c>
    </row>
    <row r="10" spans="2:5" ht="15.75">
      <c r="B10" s="89" t="s">
        <v>50</v>
      </c>
      <c r="C10" s="282">
        <v>234</v>
      </c>
      <c r="D10" s="282"/>
      <c r="E10" s="53"/>
    </row>
    <row r="11" spans="2:5" ht="15.75">
      <c r="B11" s="89" t="s">
        <v>51</v>
      </c>
      <c r="C11" s="282">
        <v>1434</v>
      </c>
      <c r="D11" s="282">
        <v>1885</v>
      </c>
      <c r="E11" s="199">
        <v>3662</v>
      </c>
    </row>
    <row r="12" spans="2:5" ht="15.75">
      <c r="B12" s="89" t="s">
        <v>52</v>
      </c>
      <c r="C12" s="282">
        <v>20</v>
      </c>
      <c r="D12" s="282">
        <v>25</v>
      </c>
      <c r="E12" s="199">
        <v>52</v>
      </c>
    </row>
    <row r="13" spans="2:5" ht="15.75">
      <c r="B13" s="237" t="s">
        <v>103</v>
      </c>
      <c r="C13" s="282">
        <v>604</v>
      </c>
      <c r="D13" s="282">
        <v>680</v>
      </c>
      <c r="E13" s="199">
        <v>645.99</v>
      </c>
    </row>
    <row r="14" spans="2:5" ht="15.75">
      <c r="B14" s="237" t="s">
        <v>178</v>
      </c>
      <c r="C14" s="282"/>
      <c r="D14" s="282"/>
      <c r="E14" s="199"/>
    </row>
    <row r="15" spans="2:5" ht="15.75">
      <c r="B15" s="243" t="s">
        <v>241</v>
      </c>
      <c r="C15" s="282">
        <v>10440</v>
      </c>
      <c r="D15" s="282">
        <v>10025</v>
      </c>
      <c r="E15" s="53">
        <v>7500</v>
      </c>
    </row>
    <row r="16" spans="2:5" ht="15.75">
      <c r="B16" s="243"/>
      <c r="C16" s="282"/>
      <c r="D16" s="282"/>
      <c r="E16" s="53"/>
    </row>
    <row r="17" spans="2:5" ht="15.75">
      <c r="B17" s="243"/>
      <c r="C17" s="282"/>
      <c r="D17" s="282"/>
      <c r="E17" s="53"/>
    </row>
    <row r="18" spans="2:5" ht="15.75">
      <c r="B18" s="238" t="s">
        <v>53</v>
      </c>
      <c r="C18" s="282"/>
      <c r="D18" s="282"/>
      <c r="E18" s="53"/>
    </row>
    <row r="19" spans="2:5" ht="15.75">
      <c r="B19" s="239" t="s">
        <v>21</v>
      </c>
      <c r="C19" s="282"/>
      <c r="D19" s="282"/>
      <c r="E19" s="53"/>
    </row>
    <row r="20" spans="2:5" ht="15.75">
      <c r="B20" s="239" t="s">
        <v>215</v>
      </c>
      <c r="C20" s="283">
        <f>IF(C21*0.1&lt;C19,"Exceed 10% Rule","")</f>
      </c>
      <c r="D20" s="283">
        <f>IF(D21*0.1&lt;D19,"Exceed 10% Rule","")</f>
      </c>
      <c r="E20" s="252">
        <f>IF(E21*0.1+E40&lt;E19,"Exceed 10% Rule","")</f>
      </c>
    </row>
    <row r="21" spans="2:5" ht="15.75">
      <c r="B21" s="241" t="s">
        <v>54</v>
      </c>
      <c r="C21" s="284">
        <f>SUM(C9:C19)</f>
        <v>31692</v>
      </c>
      <c r="D21" s="284">
        <f>SUM(D9:D19)</f>
        <v>59553</v>
      </c>
      <c r="E21" s="255">
        <f>SUM(E9:E19)</f>
        <v>11859.99</v>
      </c>
    </row>
    <row r="22" spans="2:5" ht="15.75">
      <c r="B22" s="241" t="s">
        <v>55</v>
      </c>
      <c r="C22" s="284">
        <f>C7+C21</f>
        <v>29211</v>
      </c>
      <c r="D22" s="284">
        <f>D7+D21</f>
        <v>60908</v>
      </c>
      <c r="E22" s="255">
        <f>E7+E21</f>
        <v>15767.99</v>
      </c>
    </row>
    <row r="23" spans="2:5" ht="15.75">
      <c r="B23" s="89" t="s">
        <v>57</v>
      </c>
      <c r="C23" s="239"/>
      <c r="D23" s="239"/>
      <c r="E23" s="50"/>
    </row>
    <row r="24" spans="2:5" ht="15.75">
      <c r="B24" s="243" t="s">
        <v>242</v>
      </c>
      <c r="C24" s="282">
        <v>27845</v>
      </c>
      <c r="D24" s="282">
        <v>45000</v>
      </c>
      <c r="E24" s="53">
        <v>45000</v>
      </c>
    </row>
    <row r="25" spans="2:5" ht="15.75">
      <c r="B25" s="243" t="s">
        <v>243</v>
      </c>
      <c r="C25" s="282">
        <v>11</v>
      </c>
      <c r="D25" s="282">
        <v>7500</v>
      </c>
      <c r="E25" s="53">
        <v>7500</v>
      </c>
    </row>
    <row r="26" spans="2:5" ht="15.75">
      <c r="B26" s="243" t="s">
        <v>252</v>
      </c>
      <c r="C26" s="282"/>
      <c r="D26" s="282">
        <v>4500</v>
      </c>
      <c r="E26" s="53">
        <v>4500</v>
      </c>
    </row>
    <row r="27" spans="2:5" ht="15.75">
      <c r="B27" s="243"/>
      <c r="C27" s="282"/>
      <c r="D27" s="282"/>
      <c r="E27" s="53"/>
    </row>
    <row r="28" spans="2:5" ht="15.75">
      <c r="B28" s="243"/>
      <c r="C28" s="282"/>
      <c r="D28" s="282"/>
      <c r="E28" s="53"/>
    </row>
    <row r="29" spans="2:5" ht="15.75">
      <c r="B29" s="243"/>
      <c r="C29" s="282"/>
      <c r="D29" s="282"/>
      <c r="E29" s="53"/>
    </row>
    <row r="30" spans="2:5" ht="15.75">
      <c r="B30" s="239" t="s">
        <v>22</v>
      </c>
      <c r="C30" s="282"/>
      <c r="D30" s="282"/>
      <c r="E30" s="61"/>
    </row>
    <row r="31" spans="2:5" ht="15.75">
      <c r="B31" s="239" t="s">
        <v>21</v>
      </c>
      <c r="C31" s="282"/>
      <c r="D31" s="282"/>
      <c r="E31" s="53"/>
    </row>
    <row r="32" spans="2:5" ht="15.75">
      <c r="B32" s="239" t="s">
        <v>214</v>
      </c>
      <c r="C32" s="283">
        <f>IF(C33*0.1&lt;C31,"Exceed 10% Rule","")</f>
      </c>
      <c r="D32" s="283">
        <f>IF(D33*0.1&lt;D31,"Exceed 10% Rule","")</f>
      </c>
      <c r="E32" s="252">
        <f>IF(E33*0.1&lt;E31,"Exceed 10% Rule","")</f>
      </c>
    </row>
    <row r="33" spans="2:5" ht="15.75">
      <c r="B33" s="241" t="s">
        <v>58</v>
      </c>
      <c r="C33" s="284">
        <f>SUM(C24:C31)</f>
        <v>27856</v>
      </c>
      <c r="D33" s="284">
        <f>SUM(D24:D31)</f>
        <v>57000</v>
      </c>
      <c r="E33" s="255">
        <f>SUM(E24:E31)</f>
        <v>57000</v>
      </c>
    </row>
    <row r="34" spans="2:5" ht="15.75">
      <c r="B34" s="89" t="s">
        <v>146</v>
      </c>
      <c r="C34" s="287">
        <f>C22-C33</f>
        <v>1355</v>
      </c>
      <c r="D34" s="287">
        <f>D22-D33</f>
        <v>3908</v>
      </c>
      <c r="E34" s="251" t="s">
        <v>42</v>
      </c>
    </row>
    <row r="35" spans="2:6" ht="15.75">
      <c r="B35" s="221" t="str">
        <f>CONCATENATE("",E$1-2,"/",E$1-1," Budget Authority Amount:")</f>
        <v>2010/2011 Budget Authority Amount:</v>
      </c>
      <c r="C35" s="213">
        <f>inputOth!B33</f>
        <v>40000</v>
      </c>
      <c r="D35" s="213">
        <f>inputPrYr!D16</f>
        <v>57000</v>
      </c>
      <c r="E35" s="251" t="s">
        <v>42</v>
      </c>
      <c r="F35" s="244"/>
    </row>
    <row r="36" spans="2:6" ht="15.75">
      <c r="B36" s="221"/>
      <c r="C36" s="387" t="s">
        <v>216</v>
      </c>
      <c r="D36" s="388"/>
      <c r="E36" s="53"/>
      <c r="F36" s="244">
        <f>IF(E33/0.95-E33&lt;E36,"Exceeds 5%","")</f>
      </c>
    </row>
    <row r="37" spans="2:5" ht="15.75">
      <c r="B37" s="310" t="str">
        <f>CONCATENATE(C88,"     ",D88)</f>
        <v>     </v>
      </c>
      <c r="C37" s="389" t="s">
        <v>217</v>
      </c>
      <c r="D37" s="390"/>
      <c r="E37" s="199">
        <f>E33+E36</f>
        <v>57000</v>
      </c>
    </row>
    <row r="38" spans="2:5" ht="15.75">
      <c r="B38" s="310" t="str">
        <f>CONCATENATE(C89,"     ",D89)</f>
        <v>     </v>
      </c>
      <c r="C38" s="245"/>
      <c r="D38" s="173" t="s">
        <v>59</v>
      </c>
      <c r="E38" s="61">
        <f>IF(E37-E22&gt;0,E37-E22,0)</f>
        <v>41232.01</v>
      </c>
    </row>
    <row r="39" spans="2:5" ht="15.75">
      <c r="B39" s="173"/>
      <c r="C39" s="308" t="s">
        <v>218</v>
      </c>
      <c r="D39" s="302">
        <f>inputOth!$E$24</f>
        <v>0.05</v>
      </c>
      <c r="E39" s="199">
        <f>ROUND(IF(D39&gt;0,($E$38*D39),0),0)</f>
        <v>2062</v>
      </c>
    </row>
    <row r="40" spans="2:5" ht="15.75">
      <c r="B40" s="28"/>
      <c r="C40" s="391" t="str">
        <f>CONCATENATE("Amount of  ",$E$1-1," Ad Valorem Tax")</f>
        <v>Amount of  2011 Ad Valorem Tax</v>
      </c>
      <c r="D40" s="392"/>
      <c r="E40" s="253">
        <f>E38+E39</f>
        <v>43294.01</v>
      </c>
    </row>
    <row r="41" spans="2:5" ht="15.75">
      <c r="B41" s="28"/>
      <c r="C41" s="247"/>
      <c r="D41" s="247"/>
      <c r="E41" s="247"/>
    </row>
    <row r="42" spans="2:5" ht="15.75">
      <c r="B42" s="27" t="s">
        <v>48</v>
      </c>
      <c r="C42" s="298" t="str">
        <f aca="true" t="shared" si="0" ref="C42:E43">C5</f>
        <v>PriorYear Actual</v>
      </c>
      <c r="D42" s="297" t="str">
        <f t="shared" si="0"/>
        <v>Current Year Estimate</v>
      </c>
      <c r="E42" s="299" t="str">
        <f t="shared" si="0"/>
        <v>Proposed Budget Year</v>
      </c>
    </row>
    <row r="43" spans="2:5" ht="15.75">
      <c r="B43" s="306" t="str">
        <f>(inputPrYr!B17)</f>
        <v>Tipton # 2</v>
      </c>
      <c r="C43" s="285">
        <f t="shared" si="0"/>
        <v>2010</v>
      </c>
      <c r="D43" s="285">
        <f t="shared" si="0"/>
        <v>2011</v>
      </c>
      <c r="E43" s="242">
        <f t="shared" si="0"/>
        <v>2012</v>
      </c>
    </row>
    <row r="44" spans="2:5" ht="15.75">
      <c r="B44" s="89" t="s">
        <v>145</v>
      </c>
      <c r="C44" s="282">
        <v>8254</v>
      </c>
      <c r="D44" s="286">
        <f>C71</f>
        <v>7881</v>
      </c>
      <c r="E44" s="199">
        <f>D71</f>
        <v>1046</v>
      </c>
    </row>
    <row r="45" spans="2:5" ht="15.75">
      <c r="B45" s="235" t="s">
        <v>147</v>
      </c>
      <c r="C45" s="237"/>
      <c r="D45" s="237"/>
      <c r="E45" s="68"/>
    </row>
    <row r="46" spans="2:5" ht="15.75">
      <c r="B46" s="89" t="s">
        <v>49</v>
      </c>
      <c r="C46" s="282">
        <v>11130</v>
      </c>
      <c r="D46" s="286">
        <v>10779</v>
      </c>
      <c r="E46" s="251" t="s">
        <v>42</v>
      </c>
    </row>
    <row r="47" spans="2:5" ht="15.75">
      <c r="B47" s="89" t="s">
        <v>50</v>
      </c>
      <c r="C47" s="282">
        <v>102</v>
      </c>
      <c r="D47" s="282"/>
      <c r="E47" s="53"/>
    </row>
    <row r="48" spans="2:5" ht="15.75">
      <c r="B48" s="89" t="s">
        <v>51</v>
      </c>
      <c r="C48" s="282">
        <v>2034</v>
      </c>
      <c r="D48" s="282">
        <v>1804</v>
      </c>
      <c r="E48" s="199">
        <v>1475</v>
      </c>
    </row>
    <row r="49" spans="2:5" ht="15.75">
      <c r="B49" s="89" t="s">
        <v>52</v>
      </c>
      <c r="C49" s="282">
        <v>36</v>
      </c>
      <c r="D49" s="282">
        <v>20</v>
      </c>
      <c r="E49" s="199">
        <v>22</v>
      </c>
    </row>
    <row r="50" spans="2:5" ht="15.75">
      <c r="B50" s="237" t="s">
        <v>103</v>
      </c>
      <c r="C50" s="282">
        <v>204</v>
      </c>
      <c r="D50" s="282">
        <v>562</v>
      </c>
      <c r="E50" s="199">
        <v>452</v>
      </c>
    </row>
    <row r="51" spans="2:5" ht="15.75">
      <c r="B51" s="237" t="s">
        <v>178</v>
      </c>
      <c r="C51" s="282"/>
      <c r="D51" s="282"/>
      <c r="E51" s="199"/>
    </row>
    <row r="52" spans="2:5" ht="15.75">
      <c r="B52" s="243" t="s">
        <v>241</v>
      </c>
      <c r="C52" s="282">
        <v>3483</v>
      </c>
      <c r="D52" s="282">
        <v>4000</v>
      </c>
      <c r="E52" s="53">
        <v>4000</v>
      </c>
    </row>
    <row r="53" spans="2:5" ht="15.75">
      <c r="B53" s="243"/>
      <c r="C53" s="282"/>
      <c r="D53" s="282"/>
      <c r="E53" s="53"/>
    </row>
    <row r="54" spans="2:5" ht="15.75">
      <c r="B54" s="243"/>
      <c r="C54" s="282"/>
      <c r="D54" s="282"/>
      <c r="E54" s="53"/>
    </row>
    <row r="55" spans="2:5" ht="15.75">
      <c r="B55" s="238" t="s">
        <v>53</v>
      </c>
      <c r="C55" s="282"/>
      <c r="D55" s="282"/>
      <c r="E55" s="53"/>
    </row>
    <row r="56" spans="2:5" ht="15.75">
      <c r="B56" s="239" t="s">
        <v>21</v>
      </c>
      <c r="C56" s="282"/>
      <c r="D56" s="282"/>
      <c r="E56" s="53"/>
    </row>
    <row r="57" spans="2:5" ht="15.75">
      <c r="B57" s="239" t="s">
        <v>215</v>
      </c>
      <c r="C57" s="283">
        <f>IF(C58*0.1&lt;C56,"Exceed 10% Rule","")</f>
      </c>
      <c r="D57" s="283">
        <f>IF(D58*0.1&lt;D56,"Exceed 10% Rule","")</f>
      </c>
      <c r="E57" s="252">
        <f>IF(E58*0.1+E77&lt;E56,"Exceed 10% Rule","")</f>
      </c>
    </row>
    <row r="58" spans="2:5" ht="15.75">
      <c r="B58" s="241" t="s">
        <v>54</v>
      </c>
      <c r="C58" s="284">
        <f>SUM(C46:C56)</f>
        <v>16989</v>
      </c>
      <c r="D58" s="284">
        <f>SUM(D46:D56)</f>
        <v>17165</v>
      </c>
      <c r="E58" s="255">
        <f>SUM(E46:E56)</f>
        <v>5949</v>
      </c>
    </row>
    <row r="59" spans="2:5" ht="15.75">
      <c r="B59" s="241" t="s">
        <v>55</v>
      </c>
      <c r="C59" s="284">
        <f>C44+C58</f>
        <v>25243</v>
      </c>
      <c r="D59" s="284">
        <f>D44+D58</f>
        <v>25046</v>
      </c>
      <c r="E59" s="255">
        <f>E44+E58</f>
        <v>6995</v>
      </c>
    </row>
    <row r="60" spans="2:5" ht="15.75">
      <c r="B60" s="89" t="s">
        <v>57</v>
      </c>
      <c r="C60" s="239"/>
      <c r="D60" s="239"/>
      <c r="E60" s="50"/>
    </row>
    <row r="61" spans="2:5" ht="15.75">
      <c r="B61" s="243" t="s">
        <v>242</v>
      </c>
      <c r="C61" s="282">
        <v>17362</v>
      </c>
      <c r="D61" s="282">
        <v>24000</v>
      </c>
      <c r="E61" s="53">
        <v>24000</v>
      </c>
    </row>
    <row r="62" spans="2:5" ht="15.75">
      <c r="B62" s="243"/>
      <c r="C62" s="282"/>
      <c r="D62" s="282"/>
      <c r="E62" s="53"/>
    </row>
    <row r="63" spans="2:5" ht="15.75">
      <c r="B63" s="243"/>
      <c r="C63" s="282"/>
      <c r="D63" s="282"/>
      <c r="E63" s="53"/>
    </row>
    <row r="64" spans="2:5" ht="15.75">
      <c r="B64" s="243"/>
      <c r="C64" s="282"/>
      <c r="D64" s="282"/>
      <c r="E64" s="53"/>
    </row>
    <row r="65" spans="2:5" ht="15.75">
      <c r="B65" s="243"/>
      <c r="C65" s="282"/>
      <c r="D65" s="282"/>
      <c r="E65" s="53"/>
    </row>
    <row r="66" spans="2:5" ht="15.75">
      <c r="B66" s="243"/>
      <c r="C66" s="282"/>
      <c r="D66" s="282"/>
      <c r="E66" s="53"/>
    </row>
    <row r="67" spans="2:5" ht="15.75">
      <c r="B67" s="239" t="s">
        <v>22</v>
      </c>
      <c r="C67" s="282"/>
      <c r="D67" s="282"/>
      <c r="E67" s="61"/>
    </row>
    <row r="68" spans="2:5" ht="15.75">
      <c r="B68" s="239" t="s">
        <v>21</v>
      </c>
      <c r="C68" s="282"/>
      <c r="D68" s="282"/>
      <c r="E68" s="53"/>
    </row>
    <row r="69" spans="2:5" ht="15.75">
      <c r="B69" s="239" t="s">
        <v>214</v>
      </c>
      <c r="C69" s="283">
        <f>IF(C70*0.1&lt;C68,"Exceed 10% Rule","")</f>
      </c>
      <c r="D69" s="283">
        <f>IF(D70*0.1&lt;D68,"Exceed 10% Rule","")</f>
      </c>
      <c r="E69" s="252">
        <f>IF(E70*0.1&lt;E68,"Exceed 10% Rule","")</f>
      </c>
    </row>
    <row r="70" spans="2:5" ht="15.75">
      <c r="B70" s="241" t="s">
        <v>58</v>
      </c>
      <c r="C70" s="284">
        <f>SUM(C61:C68)</f>
        <v>17362</v>
      </c>
      <c r="D70" s="284">
        <f>SUM(D61:D68)</f>
        <v>24000</v>
      </c>
      <c r="E70" s="255">
        <f>SUM(E61:E68)</f>
        <v>24000</v>
      </c>
    </row>
    <row r="71" spans="2:5" ht="15.75">
      <c r="B71" s="89" t="s">
        <v>146</v>
      </c>
      <c r="C71" s="287">
        <f>C59-C70</f>
        <v>7881</v>
      </c>
      <c r="D71" s="287">
        <f>D59-D70</f>
        <v>1046</v>
      </c>
      <c r="E71" s="251" t="s">
        <v>42</v>
      </c>
    </row>
    <row r="72" spans="2:6" ht="15.75">
      <c r="B72" s="221" t="str">
        <f>CONCATENATE("",E$1-2,"/",E$1-1," Budget Authority Amount:")</f>
        <v>2010/2011 Budget Authority Amount:</v>
      </c>
      <c r="C72" s="213">
        <f>inputOth!B34</f>
        <v>24000</v>
      </c>
      <c r="D72" s="213">
        <f>inputPrYr!D17</f>
        <v>24000</v>
      </c>
      <c r="E72" s="251" t="s">
        <v>42</v>
      </c>
      <c r="F72" s="244"/>
    </row>
    <row r="73" spans="2:6" ht="15.75">
      <c r="B73" s="221"/>
      <c r="C73" s="387" t="s">
        <v>216</v>
      </c>
      <c r="D73" s="388"/>
      <c r="E73" s="53"/>
      <c r="F73" s="244">
        <f>IF(E70/0.95-E70&lt;E73,"Exceeds 5%","")</f>
      </c>
    </row>
    <row r="74" spans="2:5" ht="15.75">
      <c r="B74" s="309" t="str">
        <f>CONCATENATE(C90,"     ",D90)</f>
        <v>     </v>
      </c>
      <c r="C74" s="389" t="s">
        <v>217</v>
      </c>
      <c r="D74" s="390"/>
      <c r="E74" s="199">
        <f>E70+E73</f>
        <v>24000</v>
      </c>
    </row>
    <row r="75" spans="2:5" ht="15.75">
      <c r="B75" s="309" t="str">
        <f>CONCATENATE(C91,"     ",D91)</f>
        <v>     </v>
      </c>
      <c r="C75" s="245"/>
      <c r="D75" s="173" t="s">
        <v>59</v>
      </c>
      <c r="E75" s="61">
        <f>IF(E74-E59&gt;0,E74-E59,0)</f>
        <v>17005</v>
      </c>
    </row>
    <row r="76" spans="2:5" ht="15.75">
      <c r="B76" s="173"/>
      <c r="C76" s="308" t="s">
        <v>218</v>
      </c>
      <c r="D76" s="302">
        <f>inputOth!$E$24</f>
        <v>0.05</v>
      </c>
      <c r="E76" s="199">
        <f>ROUND(IF(D76&gt;0,($E$75*D76),0),0)</f>
        <v>850</v>
      </c>
    </row>
    <row r="77" spans="2:5" ht="15.75">
      <c r="B77" s="28"/>
      <c r="C77" s="391" t="str">
        <f>CONCATENATE("Amount of  ",$E$1-1," Ad Valorem Tax")</f>
        <v>Amount of  2011 Ad Valorem Tax</v>
      </c>
      <c r="D77" s="392"/>
      <c r="E77" s="253">
        <f>E75+E76</f>
        <v>17855</v>
      </c>
    </row>
    <row r="78" spans="2:5" ht="15.75">
      <c r="B78" s="221" t="s">
        <v>62</v>
      </c>
      <c r="C78" s="254">
        <v>8</v>
      </c>
      <c r="D78" s="28"/>
      <c r="E78" s="28"/>
    </row>
    <row r="88" spans="3:4" ht="15.75" hidden="1">
      <c r="C88" s="25">
        <f>IF(C33&gt;C35,"See Tab A","")</f>
      </c>
      <c r="D88" s="25">
        <f>IF(D33&gt;D35,"See Tab C","")</f>
      </c>
    </row>
    <row r="89" spans="3:4" ht="15.75" hidden="1">
      <c r="C89" s="25">
        <f>IF(C34&lt;0,"See Tab B","")</f>
      </c>
      <c r="D89" s="25">
        <f>IF(D34&lt;0,"See Tab D","")</f>
      </c>
    </row>
    <row r="90" spans="3:4" ht="15.75" hidden="1">
      <c r="C90" s="25">
        <f>IF(C70&gt;C72,"See Tab A","")</f>
      </c>
      <c r="D90" s="25">
        <f>IF(D70&gt;D72,"See Tab C","")</f>
      </c>
    </row>
    <row r="91" spans="3:4" ht="15.75" hidden="1">
      <c r="C91" s="25">
        <f>IF(C71&lt;0,"See Tab B","")</f>
      </c>
      <c r="D91" s="25">
        <f>IF(D71&lt;0,"See Tab D","")</f>
      </c>
    </row>
  </sheetData>
  <sheetProtection/>
  <mergeCells count="6">
    <mergeCell ref="C36:D36"/>
    <mergeCell ref="C37:D37"/>
    <mergeCell ref="C73:D73"/>
    <mergeCell ref="C74:D74"/>
    <mergeCell ref="C77:D77"/>
    <mergeCell ref="C40:D40"/>
  </mergeCells>
  <conditionalFormatting sqref="E68">
    <cfRule type="cellIs" priority="4" dxfId="82" operator="greaterThan" stopIfTrue="1">
      <formula>$E$70*0.1</formula>
    </cfRule>
  </conditionalFormatting>
  <conditionalFormatting sqref="E73">
    <cfRule type="cellIs" priority="5" dxfId="82" operator="greaterThan" stopIfTrue="1">
      <formula>$E$70/0.95-$E$70</formula>
    </cfRule>
  </conditionalFormatting>
  <conditionalFormatting sqref="E36">
    <cfRule type="cellIs" priority="6" dxfId="82" operator="greaterThan" stopIfTrue="1">
      <formula>$E$33/0.95-$E$33</formula>
    </cfRule>
  </conditionalFormatting>
  <conditionalFormatting sqref="E31">
    <cfRule type="cellIs" priority="7" dxfId="82" operator="greaterThan" stopIfTrue="1">
      <formula>$E$33*0.1</formula>
    </cfRule>
  </conditionalFormatting>
  <conditionalFormatting sqref="C33">
    <cfRule type="cellIs" priority="8" dxfId="2" operator="greaterThan" stopIfTrue="1">
      <formula>$C$35</formula>
    </cfRule>
  </conditionalFormatting>
  <conditionalFormatting sqref="C71 C34">
    <cfRule type="cellIs" priority="9" dxfId="2" operator="lessThan" stopIfTrue="1">
      <formula>0</formula>
    </cfRule>
  </conditionalFormatting>
  <conditionalFormatting sqref="D33">
    <cfRule type="cellIs" priority="10" dxfId="2" operator="greaterThan" stopIfTrue="1">
      <formula>$D$35</formula>
    </cfRule>
  </conditionalFormatting>
  <conditionalFormatting sqref="C70">
    <cfRule type="cellIs" priority="11" dxfId="2" operator="greaterThan" stopIfTrue="1">
      <formula>$C$72</formula>
    </cfRule>
  </conditionalFormatting>
  <conditionalFormatting sqref="D70">
    <cfRule type="cellIs" priority="12" dxfId="2" operator="greaterThan" stopIfTrue="1">
      <formula>$D$72</formula>
    </cfRule>
  </conditionalFormatting>
  <conditionalFormatting sqref="C68">
    <cfRule type="cellIs" priority="13" dxfId="2" operator="greaterThan" stopIfTrue="1">
      <formula>$C$70*0.1</formula>
    </cfRule>
  </conditionalFormatting>
  <conditionalFormatting sqref="D68">
    <cfRule type="cellIs" priority="14" dxfId="2" operator="greaterThan" stopIfTrue="1">
      <formula>$D$70*0.1</formula>
    </cfRule>
  </conditionalFormatting>
  <conditionalFormatting sqref="E56">
    <cfRule type="cellIs" priority="15" dxfId="82" operator="greaterThan" stopIfTrue="1">
      <formula>$E$58*0.1+E77</formula>
    </cfRule>
  </conditionalFormatting>
  <conditionalFormatting sqref="C56">
    <cfRule type="cellIs" priority="16" dxfId="2" operator="greaterThan" stopIfTrue="1">
      <formula>$C$58*0.1</formula>
    </cfRule>
  </conditionalFormatting>
  <conditionalFormatting sqref="D56">
    <cfRule type="cellIs" priority="17" dxfId="2" operator="greaterThan" stopIfTrue="1">
      <formula>$D$58*0.1</formula>
    </cfRule>
  </conditionalFormatting>
  <conditionalFormatting sqref="C31">
    <cfRule type="cellIs" priority="18" dxfId="2" operator="greaterThan" stopIfTrue="1">
      <formula>$C$33*0.1</formula>
    </cfRule>
  </conditionalFormatting>
  <conditionalFormatting sqref="D31">
    <cfRule type="cellIs" priority="19" dxfId="2" operator="greaterThan" stopIfTrue="1">
      <formula>$D$33*0.1</formula>
    </cfRule>
  </conditionalFormatting>
  <conditionalFormatting sqref="E19">
    <cfRule type="cellIs" priority="20" dxfId="82" operator="greaterThan" stopIfTrue="1">
      <formula>$E$21*0.1+E40</formula>
    </cfRule>
  </conditionalFormatting>
  <conditionalFormatting sqref="C19">
    <cfRule type="cellIs" priority="21" dxfId="2" operator="greaterThan" stopIfTrue="1">
      <formula>$C$21*0.1</formula>
    </cfRule>
  </conditionalFormatting>
  <conditionalFormatting sqref="D19">
    <cfRule type="cellIs" priority="22" dxfId="2" operator="greaterThan" stopIfTrue="1">
      <formula>$D$21*0.1</formula>
    </cfRule>
  </conditionalFormatting>
  <conditionalFormatting sqref="D34">
    <cfRule type="cellIs" priority="2" dxfId="0" operator="lessThan" stopIfTrue="1">
      <formula>0</formula>
    </cfRule>
    <cfRule type="cellIs" priority="3" dxfId="0" operator="lessThan" stopIfTrue="1">
      <formula>0</formula>
    </cfRule>
  </conditionalFormatting>
  <conditionalFormatting sqref="D7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91"/>
  <sheetViews>
    <sheetView view="pageBreakPreview" zoomScale="97" zoomScaleSheetLayoutView="97" zoomScalePageLayoutView="0" workbookViewId="0" topLeftCell="A45">
      <selection activeCell="D78" sqref="D78"/>
    </sheetView>
  </sheetViews>
  <sheetFormatPr defaultColWidth="8.796875" defaultRowHeight="15"/>
  <cols>
    <col min="1" max="1" width="2.3984375" style="25" customWidth="1"/>
    <col min="2" max="2" width="31.09765625" style="25" customWidth="1"/>
    <col min="3" max="4" width="15.796875" style="25" customWidth="1"/>
    <col min="5" max="5" width="16.09765625" style="25" customWidth="1"/>
    <col min="6" max="16384" width="8.8984375" style="25" customWidth="1"/>
  </cols>
  <sheetData>
    <row r="1" spans="2:5" ht="15.75">
      <c r="B1" s="161" t="str">
        <f>(inputPrYr!C2)</f>
        <v>MITCHELL COUNTY</v>
      </c>
      <c r="C1" s="28"/>
      <c r="D1" s="28"/>
      <c r="E1" s="220">
        <f>inputPrYr!C4</f>
        <v>2012</v>
      </c>
    </row>
    <row r="2" spans="2:5" ht="15.75">
      <c r="B2" s="28"/>
      <c r="C2" s="28"/>
      <c r="D2" s="28"/>
      <c r="E2" s="173"/>
    </row>
    <row r="3" spans="2:5" ht="15.75">
      <c r="B3" s="93" t="s">
        <v>108</v>
      </c>
      <c r="C3" s="248"/>
      <c r="D3" s="248"/>
      <c r="E3" s="249"/>
    </row>
    <row r="4" spans="2:5" ht="15.75">
      <c r="B4" s="28"/>
      <c r="C4" s="247"/>
      <c r="D4" s="247"/>
      <c r="E4" s="247"/>
    </row>
    <row r="5" spans="2:5" ht="15.75">
      <c r="B5" s="27" t="s">
        <v>48</v>
      </c>
      <c r="C5" s="298" t="s">
        <v>237</v>
      </c>
      <c r="D5" s="297" t="s">
        <v>238</v>
      </c>
      <c r="E5" s="299" t="s">
        <v>239</v>
      </c>
    </row>
    <row r="6" spans="2:5" ht="15.75">
      <c r="B6" s="307" t="str">
        <f>inputPrYr!B18</f>
        <v>Solomon Rapids F.D. # 3</v>
      </c>
      <c r="C6" s="285">
        <v>2010</v>
      </c>
      <c r="D6" s="285">
        <v>2011</v>
      </c>
      <c r="E6" s="234">
        <v>2012</v>
      </c>
    </row>
    <row r="7" spans="2:5" ht="15.75">
      <c r="B7" s="89" t="s">
        <v>145</v>
      </c>
      <c r="C7" s="282">
        <v>7495</v>
      </c>
      <c r="D7" s="286">
        <f>C34</f>
        <v>10722</v>
      </c>
      <c r="E7" s="199">
        <f>D34</f>
        <v>3411</v>
      </c>
    </row>
    <row r="8" spans="2:5" ht="15.75">
      <c r="B8" s="224" t="s">
        <v>147</v>
      </c>
      <c r="C8" s="237"/>
      <c r="D8" s="237"/>
      <c r="E8" s="68"/>
    </row>
    <row r="9" spans="2:5" ht="15.75">
      <c r="B9" s="89" t="s">
        <v>49</v>
      </c>
      <c r="C9" s="282">
        <v>41060</v>
      </c>
      <c r="D9" s="286">
        <v>43849</v>
      </c>
      <c r="E9" s="251" t="s">
        <v>42</v>
      </c>
    </row>
    <row r="10" spans="2:5" ht="15.75">
      <c r="B10" s="89" t="s">
        <v>50</v>
      </c>
      <c r="C10" s="282">
        <v>249</v>
      </c>
      <c r="D10" s="282">
        <v>50</v>
      </c>
      <c r="E10" s="53"/>
    </row>
    <row r="11" spans="2:5" ht="15.75">
      <c r="B11" s="89" t="s">
        <v>51</v>
      </c>
      <c r="C11" s="282">
        <v>2683</v>
      </c>
      <c r="D11" s="282">
        <v>3406</v>
      </c>
      <c r="E11" s="199">
        <v>3417</v>
      </c>
    </row>
    <row r="12" spans="2:5" ht="15.75">
      <c r="B12" s="89" t="s">
        <v>52</v>
      </c>
      <c r="C12" s="282">
        <v>45</v>
      </c>
      <c r="D12" s="282">
        <v>61</v>
      </c>
      <c r="E12" s="199">
        <v>60</v>
      </c>
    </row>
    <row r="13" spans="2:5" ht="15.75">
      <c r="B13" s="237" t="s">
        <v>103</v>
      </c>
      <c r="C13" s="282">
        <v>990</v>
      </c>
      <c r="D13" s="282">
        <v>978</v>
      </c>
      <c r="E13" s="199">
        <v>953</v>
      </c>
    </row>
    <row r="14" spans="2:5" ht="15.75">
      <c r="B14" s="237" t="s">
        <v>178</v>
      </c>
      <c r="C14" s="282"/>
      <c r="D14" s="282"/>
      <c r="E14" s="199"/>
    </row>
    <row r="15" spans="2:5" ht="15.75">
      <c r="B15" s="243" t="s">
        <v>245</v>
      </c>
      <c r="C15" s="282">
        <v>96000</v>
      </c>
      <c r="D15" s="282"/>
      <c r="E15" s="53"/>
    </row>
    <row r="16" spans="2:5" ht="15.75">
      <c r="B16" s="243" t="s">
        <v>241</v>
      </c>
      <c r="C16" s="282">
        <v>2784</v>
      </c>
      <c r="D16" s="282">
        <v>1000</v>
      </c>
      <c r="E16" s="53">
        <v>1000</v>
      </c>
    </row>
    <row r="17" spans="2:5" ht="15.75">
      <c r="B17" s="243"/>
      <c r="C17" s="282"/>
      <c r="D17" s="282"/>
      <c r="E17" s="53"/>
    </row>
    <row r="18" spans="2:5" ht="15.75">
      <c r="B18" s="238" t="s">
        <v>53</v>
      </c>
      <c r="C18" s="282"/>
      <c r="D18" s="282"/>
      <c r="E18" s="53"/>
    </row>
    <row r="19" spans="2:5" ht="15.75">
      <c r="B19" s="239" t="s">
        <v>21</v>
      </c>
      <c r="C19" s="282"/>
      <c r="D19" s="282"/>
      <c r="E19" s="53"/>
    </row>
    <row r="20" spans="2:5" ht="15.75">
      <c r="B20" s="239" t="s">
        <v>215</v>
      </c>
      <c r="C20" s="283">
        <f>IF(C21*0.1&lt;C19,"Exceed 10% Rule","")</f>
      </c>
      <c r="D20" s="283">
        <f>IF(D21*0.1&lt;D19,"Exceed 10% Rule","")</f>
      </c>
      <c r="E20" s="252">
        <f>IF(E21*0.1+E40&lt;E19,"Exceed 10% Rule","")</f>
      </c>
    </row>
    <row r="21" spans="2:5" ht="15.75">
      <c r="B21" s="241" t="s">
        <v>54</v>
      </c>
      <c r="C21" s="284">
        <f>SUM(C9:C19)</f>
        <v>143811</v>
      </c>
      <c r="D21" s="284">
        <f>SUM(D9:D19)</f>
        <v>49344</v>
      </c>
      <c r="E21" s="255">
        <f>SUM(E9:E19)</f>
        <v>5430</v>
      </c>
    </row>
    <row r="22" spans="2:5" ht="15.75">
      <c r="B22" s="241" t="s">
        <v>55</v>
      </c>
      <c r="C22" s="284">
        <f>C7+C21</f>
        <v>151306</v>
      </c>
      <c r="D22" s="284">
        <f>D7+D21</f>
        <v>60066</v>
      </c>
      <c r="E22" s="255">
        <f>E7+E21</f>
        <v>8841</v>
      </c>
    </row>
    <row r="23" spans="2:5" ht="15.75">
      <c r="B23" s="89" t="s">
        <v>57</v>
      </c>
      <c r="C23" s="239"/>
      <c r="D23" s="239"/>
      <c r="E23" s="50"/>
    </row>
    <row r="24" spans="2:5" ht="15.75">
      <c r="B24" s="243" t="s">
        <v>242</v>
      </c>
      <c r="C24" s="282">
        <v>46427</v>
      </c>
      <c r="D24" s="282">
        <v>32000</v>
      </c>
      <c r="E24" s="53">
        <v>32000</v>
      </c>
    </row>
    <row r="25" spans="2:5" ht="15.75">
      <c r="B25" s="243" t="s">
        <v>243</v>
      </c>
      <c r="C25" s="282">
        <v>69157</v>
      </c>
      <c r="D25" s="282">
        <v>4500</v>
      </c>
      <c r="E25" s="53">
        <v>4500</v>
      </c>
    </row>
    <row r="26" spans="2:5" ht="15.75">
      <c r="B26" s="243" t="s">
        <v>246</v>
      </c>
      <c r="C26" s="282">
        <v>25000</v>
      </c>
      <c r="D26" s="282">
        <v>8000</v>
      </c>
      <c r="E26" s="53">
        <v>8000</v>
      </c>
    </row>
    <row r="27" spans="2:5" ht="15.75">
      <c r="B27" s="243" t="s">
        <v>253</v>
      </c>
      <c r="C27" s="282"/>
      <c r="D27" s="282">
        <v>12155</v>
      </c>
      <c r="E27" s="53">
        <v>12155</v>
      </c>
    </row>
    <row r="28" spans="2:5" ht="15.75">
      <c r="B28" s="243"/>
      <c r="C28" s="282"/>
      <c r="D28" s="282"/>
      <c r="E28" s="53"/>
    </row>
    <row r="29" spans="2:5" ht="15.75">
      <c r="B29" s="243"/>
      <c r="C29" s="282"/>
      <c r="D29" s="282"/>
      <c r="E29" s="53"/>
    </row>
    <row r="30" spans="2:5" ht="15.75">
      <c r="B30" s="239" t="s">
        <v>22</v>
      </c>
      <c r="C30" s="282"/>
      <c r="D30" s="282"/>
      <c r="E30" s="61"/>
    </row>
    <row r="31" spans="2:5" ht="15.75">
      <c r="B31" s="239" t="s">
        <v>21</v>
      </c>
      <c r="C31" s="282"/>
      <c r="D31" s="282"/>
      <c r="E31" s="53"/>
    </row>
    <row r="32" spans="2:5" ht="15.75">
      <c r="B32" s="239" t="s">
        <v>214</v>
      </c>
      <c r="C32" s="283">
        <f>IF(C33*0.1&lt;C31,"Exceed 10% Rule","")</f>
      </c>
      <c r="D32" s="283">
        <f>IF(D33*0.1&lt;D31,"Exceed 10% Rule","")</f>
      </c>
      <c r="E32" s="252">
        <f>IF(E33*0.1&lt;E31,"Exceed 10% Rule","")</f>
      </c>
    </row>
    <row r="33" spans="2:5" ht="15.75">
      <c r="B33" s="241" t="s">
        <v>58</v>
      </c>
      <c r="C33" s="284">
        <f>SUM(C24:C31)</f>
        <v>140584</v>
      </c>
      <c r="D33" s="284">
        <f>SUM(D24:D31)</f>
        <v>56655</v>
      </c>
      <c r="E33" s="255">
        <f>SUM(E24:E31)</f>
        <v>56655</v>
      </c>
    </row>
    <row r="34" spans="2:5" ht="15.75">
      <c r="B34" s="89" t="s">
        <v>146</v>
      </c>
      <c r="C34" s="287">
        <f>C22-C33</f>
        <v>10722</v>
      </c>
      <c r="D34" s="287">
        <f>D22-D33</f>
        <v>3411</v>
      </c>
      <c r="E34" s="251" t="s">
        <v>42</v>
      </c>
    </row>
    <row r="35" spans="2:6" ht="15.75">
      <c r="B35" s="221" t="str">
        <f>CONCATENATE("",E$1-2,"/",E$1-1," Budget Authority Amount:")</f>
        <v>2010/2011 Budget Authority Amount:</v>
      </c>
      <c r="C35" s="213">
        <f>inputOth!D35</f>
        <v>143784</v>
      </c>
      <c r="D35" s="213">
        <f>inputPrYr!D18</f>
        <v>56655</v>
      </c>
      <c r="E35" s="251" t="s">
        <v>42</v>
      </c>
      <c r="F35" s="244"/>
    </row>
    <row r="36" spans="2:6" ht="15.75">
      <c r="B36" s="221"/>
      <c r="C36" s="387" t="s">
        <v>216</v>
      </c>
      <c r="D36" s="388"/>
      <c r="E36" s="227"/>
      <c r="F36" s="244">
        <f>IF(E33/0.95-E33&lt;E36,"Exceeds 5%","")</f>
      </c>
    </row>
    <row r="37" spans="2:5" ht="15.75">
      <c r="B37" s="310" t="str">
        <f>CONCATENATE(C88,"     ",D88)</f>
        <v>     </v>
      </c>
      <c r="C37" s="389" t="s">
        <v>217</v>
      </c>
      <c r="D37" s="390"/>
      <c r="E37" s="199">
        <f>E33+E36</f>
        <v>56655</v>
      </c>
    </row>
    <row r="38" spans="2:5" ht="15.75">
      <c r="B38" s="310" t="str">
        <f>CONCATENATE(C89,"     ",D89)</f>
        <v>     </v>
      </c>
      <c r="C38" s="245"/>
      <c r="D38" s="173" t="s">
        <v>59</v>
      </c>
      <c r="E38" s="61">
        <f>IF(E37-E22&gt;0,E37-E22,0)</f>
        <v>47814</v>
      </c>
    </row>
    <row r="39" spans="2:5" ht="15.75">
      <c r="B39" s="173"/>
      <c r="C39" s="308" t="s">
        <v>218</v>
      </c>
      <c r="D39" s="302">
        <f>inputOth!$E$24</f>
        <v>0.05</v>
      </c>
      <c r="E39" s="199">
        <f>ROUND(IF(D39&gt;0,($E$38*D39),0),0)</f>
        <v>2391</v>
      </c>
    </row>
    <row r="40" spans="2:5" ht="15.75">
      <c r="B40" s="28"/>
      <c r="C40" s="391" t="str">
        <f>CONCATENATE("Amount of  ",$E$1-1," Ad Valorem Tax")</f>
        <v>Amount of  2011 Ad Valorem Tax</v>
      </c>
      <c r="D40" s="392"/>
      <c r="E40" s="253">
        <f>E38+E39</f>
        <v>50205</v>
      </c>
    </row>
    <row r="41" spans="2:5" ht="15.75">
      <c r="B41" s="27" t="s">
        <v>48</v>
      </c>
      <c r="C41" s="247"/>
      <c r="D41" s="247"/>
      <c r="E41" s="247"/>
    </row>
    <row r="42" spans="2:5" ht="15.75">
      <c r="B42" s="28"/>
      <c r="C42" s="298" t="str">
        <f aca="true" t="shared" si="0" ref="C42:E43">C5</f>
        <v>PriorYear Actual</v>
      </c>
      <c r="D42" s="297" t="str">
        <f t="shared" si="0"/>
        <v>Current Year Estimate</v>
      </c>
      <c r="E42" s="299" t="str">
        <f t="shared" si="0"/>
        <v>Proposed Budget Year</v>
      </c>
    </row>
    <row r="43" spans="2:5" ht="15.75">
      <c r="B43" s="306"/>
      <c r="C43" s="285">
        <f t="shared" si="0"/>
        <v>2010</v>
      </c>
      <c r="D43" s="285">
        <f t="shared" si="0"/>
        <v>2011</v>
      </c>
      <c r="E43" s="234">
        <f t="shared" si="0"/>
        <v>2012</v>
      </c>
    </row>
    <row r="44" spans="2:5" ht="15.75">
      <c r="B44" s="89" t="s">
        <v>145</v>
      </c>
      <c r="C44" s="282"/>
      <c r="D44" s="286">
        <f>C71</f>
        <v>0</v>
      </c>
      <c r="E44" s="199">
        <f>D71</f>
        <v>0</v>
      </c>
    </row>
    <row r="45" spans="2:5" ht="15.75">
      <c r="B45" s="235" t="s">
        <v>147</v>
      </c>
      <c r="C45" s="237"/>
      <c r="D45" s="237"/>
      <c r="E45" s="68"/>
    </row>
    <row r="46" spans="2:5" ht="15.75">
      <c r="B46" s="89" t="s">
        <v>49</v>
      </c>
      <c r="C46" s="282"/>
      <c r="D46" s="286"/>
      <c r="E46" s="251" t="s">
        <v>42</v>
      </c>
    </row>
    <row r="47" spans="2:5" ht="15.75">
      <c r="B47" s="89" t="s">
        <v>50</v>
      </c>
      <c r="C47" s="282"/>
      <c r="D47" s="282"/>
      <c r="E47" s="53"/>
    </row>
    <row r="48" spans="2:5" ht="15.75">
      <c r="B48" s="89" t="s">
        <v>51</v>
      </c>
      <c r="C48" s="282"/>
      <c r="D48" s="282"/>
      <c r="E48" s="199"/>
    </row>
    <row r="49" spans="2:5" ht="15.75">
      <c r="B49" s="89" t="s">
        <v>52</v>
      </c>
      <c r="C49" s="282"/>
      <c r="D49" s="282"/>
      <c r="E49" s="199"/>
    </row>
    <row r="50" spans="2:5" ht="15.75">
      <c r="B50" s="237" t="s">
        <v>103</v>
      </c>
      <c r="C50" s="282"/>
      <c r="D50" s="282"/>
      <c r="E50" s="199"/>
    </row>
    <row r="51" spans="2:5" ht="15.75">
      <c r="B51" s="237" t="s">
        <v>178</v>
      </c>
      <c r="C51" s="282"/>
      <c r="D51" s="282"/>
      <c r="E51" s="199"/>
    </row>
    <row r="52" spans="2:5" ht="15.75">
      <c r="B52" s="243"/>
      <c r="C52" s="282"/>
      <c r="D52" s="282"/>
      <c r="E52" s="53"/>
    </row>
    <row r="53" spans="2:5" ht="15.75">
      <c r="B53" s="243"/>
      <c r="C53" s="282"/>
      <c r="D53" s="282"/>
      <c r="E53" s="53"/>
    </row>
    <row r="54" spans="2:5" ht="15.75">
      <c r="B54" s="243"/>
      <c r="C54" s="282"/>
      <c r="D54" s="282"/>
      <c r="E54" s="53"/>
    </row>
    <row r="55" spans="2:5" ht="15.75">
      <c r="B55" s="238" t="s">
        <v>53</v>
      </c>
      <c r="C55" s="282"/>
      <c r="D55" s="282"/>
      <c r="E55" s="53"/>
    </row>
    <row r="56" spans="2:5" ht="15.75">
      <c r="B56" s="239" t="s">
        <v>21</v>
      </c>
      <c r="C56" s="282"/>
      <c r="D56" s="282"/>
      <c r="E56" s="53"/>
    </row>
    <row r="57" spans="2:5" ht="15.75">
      <c r="B57" s="239" t="s">
        <v>215</v>
      </c>
      <c r="C57" s="283">
        <f>IF(C58*0.1&lt;C56,"Exceed 10% Rule","")</f>
      </c>
      <c r="D57" s="283">
        <f>IF(D58*0.1&lt;D56,"Exceed 10% Rule","")</f>
      </c>
      <c r="E57" s="252">
        <f>IF(E58*0.1+E77&lt;E56,"Exceed 10% Rule","")</f>
      </c>
    </row>
    <row r="58" spans="2:5" ht="15.75">
      <c r="B58" s="241" t="s">
        <v>54</v>
      </c>
      <c r="C58" s="284">
        <f>SUM(C46:C56)</f>
        <v>0</v>
      </c>
      <c r="D58" s="284">
        <f>SUM(D46:D56)</f>
        <v>0</v>
      </c>
      <c r="E58" s="255">
        <f>SUM(E47:E56)</f>
        <v>0</v>
      </c>
    </row>
    <row r="59" spans="2:5" ht="15.75">
      <c r="B59" s="241" t="s">
        <v>55</v>
      </c>
      <c r="C59" s="284">
        <f>C44+C58</f>
        <v>0</v>
      </c>
      <c r="D59" s="284">
        <f>D44+D58</f>
        <v>0</v>
      </c>
      <c r="E59" s="255">
        <f>E44+E58</f>
        <v>0</v>
      </c>
    </row>
    <row r="60" spans="2:5" ht="15.75">
      <c r="B60" s="89" t="s">
        <v>57</v>
      </c>
      <c r="C60" s="239"/>
      <c r="D60" s="239"/>
      <c r="E60" s="50"/>
    </row>
    <row r="61" spans="2:5" ht="15.75">
      <c r="B61" s="243"/>
      <c r="C61" s="282"/>
      <c r="D61" s="282"/>
      <c r="E61" s="53"/>
    </row>
    <row r="62" spans="2:5" ht="15.75">
      <c r="B62" s="243"/>
      <c r="C62" s="282"/>
      <c r="D62" s="282"/>
      <c r="E62" s="53"/>
    </row>
    <row r="63" spans="2:5" ht="15.75">
      <c r="B63" s="243"/>
      <c r="C63" s="282"/>
      <c r="D63" s="282"/>
      <c r="E63" s="53"/>
    </row>
    <row r="64" spans="2:5" ht="15.75">
      <c r="B64" s="243"/>
      <c r="C64" s="282"/>
      <c r="D64" s="282"/>
      <c r="E64" s="53"/>
    </row>
    <row r="65" spans="2:5" ht="15.75">
      <c r="B65" s="243"/>
      <c r="C65" s="282"/>
      <c r="D65" s="282"/>
      <c r="E65" s="53"/>
    </row>
    <row r="66" spans="2:5" ht="15.75">
      <c r="B66" s="243"/>
      <c r="C66" s="282"/>
      <c r="D66" s="282"/>
      <c r="E66" s="53"/>
    </row>
    <row r="67" spans="2:5" ht="15.75">
      <c r="B67" s="239" t="s">
        <v>22</v>
      </c>
      <c r="C67" s="282"/>
      <c r="D67" s="282"/>
      <c r="E67" s="61"/>
    </row>
    <row r="68" spans="2:5" ht="15.75">
      <c r="B68" s="239" t="s">
        <v>21</v>
      </c>
      <c r="C68" s="282"/>
      <c r="D68" s="282"/>
      <c r="E68" s="53"/>
    </row>
    <row r="69" spans="2:5" ht="15.75">
      <c r="B69" s="239" t="s">
        <v>214</v>
      </c>
      <c r="C69" s="283">
        <f>IF(C70*0.1&lt;C68,"Exceed 10% Rule","")</f>
      </c>
      <c r="D69" s="283">
        <f>IF(D70*0.1&lt;D68,"Exceed 10% Rule","")</f>
      </c>
      <c r="E69" s="252">
        <f>IF(E70*0.1&lt;E68,"Exceed 10% Rule","")</f>
      </c>
    </row>
    <row r="70" spans="2:5" ht="15.75">
      <c r="B70" s="241" t="s">
        <v>58</v>
      </c>
      <c r="C70" s="284">
        <f>SUM(C61:C68)</f>
        <v>0</v>
      </c>
      <c r="D70" s="284">
        <f>SUM(D61:D68)</f>
        <v>0</v>
      </c>
      <c r="E70" s="255">
        <f>SUM(E61:E68)</f>
        <v>0</v>
      </c>
    </row>
    <row r="71" spans="2:5" ht="15.75">
      <c r="B71" s="89" t="s">
        <v>146</v>
      </c>
      <c r="C71" s="287">
        <f>C59-C70</f>
        <v>0</v>
      </c>
      <c r="D71" s="287">
        <f>D59-D70</f>
        <v>0</v>
      </c>
      <c r="E71" s="251" t="s">
        <v>42</v>
      </c>
    </row>
    <row r="72" spans="2:6" ht="15.75">
      <c r="B72" s="221" t="str">
        <f>CONCATENATE("",E$1-2,"/",E$1-1," Budget Authority Amount:")</f>
        <v>2010/2011 Budget Authority Amount:</v>
      </c>
      <c r="C72" s="213"/>
      <c r="D72" s="213"/>
      <c r="E72" s="251" t="s">
        <v>42</v>
      </c>
      <c r="F72" s="244"/>
    </row>
    <row r="73" spans="2:6" ht="15.75">
      <c r="B73" s="221"/>
      <c r="C73" s="387" t="s">
        <v>216</v>
      </c>
      <c r="D73" s="388"/>
      <c r="E73" s="53"/>
      <c r="F73" s="244">
        <f>IF(E70/0.95-E70&lt;E73,"Exceeds 5%","")</f>
      </c>
    </row>
    <row r="74" spans="2:5" ht="15.75">
      <c r="B74" s="309" t="str">
        <f>CONCATENATE(C90,"     ",D90)</f>
        <v>     </v>
      </c>
      <c r="C74" s="389" t="s">
        <v>217</v>
      </c>
      <c r="D74" s="390"/>
      <c r="E74" s="199">
        <f>E70+E73</f>
        <v>0</v>
      </c>
    </row>
    <row r="75" spans="2:5" ht="15.75">
      <c r="B75" s="309" t="str">
        <f>CONCATENATE(C91,"     ",D91)</f>
        <v>     </v>
      </c>
      <c r="C75" s="245"/>
      <c r="D75" s="173" t="s">
        <v>59</v>
      </c>
      <c r="E75" s="61">
        <f>IF(E74-E59&gt;0,E74-E59,0)</f>
        <v>0</v>
      </c>
    </row>
    <row r="76" spans="2:5" ht="15.75">
      <c r="B76" s="173"/>
      <c r="C76" s="308" t="s">
        <v>218</v>
      </c>
      <c r="D76" s="302">
        <f>inputOth!$E$24</f>
        <v>0.05</v>
      </c>
      <c r="E76" s="199">
        <f>ROUND(IF(D76&gt;0,($E$75*D76),0),0)</f>
        <v>0</v>
      </c>
    </row>
    <row r="77" spans="2:5" ht="15.75">
      <c r="B77" s="28"/>
      <c r="C77" s="391" t="str">
        <f>CONCATENATE("Amount of  ",$E$1-1," Ad Valorem Tax")</f>
        <v>Amount of  2011 Ad Valorem Tax</v>
      </c>
      <c r="D77" s="392"/>
      <c r="E77" s="253">
        <f>E75+E76</f>
        <v>0</v>
      </c>
    </row>
    <row r="78" spans="2:5" ht="15.75">
      <c r="B78" s="221" t="s">
        <v>62</v>
      </c>
      <c r="C78" s="254">
        <v>9</v>
      </c>
      <c r="D78" s="28"/>
      <c r="E78" s="28"/>
    </row>
    <row r="88" spans="3:4" ht="15.75" hidden="1">
      <c r="C88" s="25">
        <f>IF(C33&gt;C35,"See Tab A","")</f>
      </c>
      <c r="D88" s="25">
        <f>IF(D33&gt;D35,"See Tab C","")</f>
      </c>
    </row>
    <row r="89" spans="3:4" ht="15.75" hidden="1">
      <c r="C89" s="25">
        <f>IF(C34&lt;0,"See Tab B","")</f>
      </c>
      <c r="D89" s="25">
        <f>IF(D34&lt;0,"See Tab D","")</f>
      </c>
    </row>
    <row r="90" spans="3:4" ht="15.75" hidden="1">
      <c r="C90" s="25">
        <f>IF(C70&gt;C72,"See Tab A","")</f>
      </c>
      <c r="D90" s="25">
        <f>IF(D70&gt;D72,"See Tab C","")</f>
      </c>
    </row>
    <row r="91" spans="3:4" ht="15.75" hidden="1">
      <c r="C91" s="25">
        <f>IF(C71&lt;0,"See Tab B","")</f>
      </c>
      <c r="D91" s="25">
        <f>IF(D71&lt;0,"See Tab D","")</f>
      </c>
    </row>
  </sheetData>
  <sheetProtection/>
  <mergeCells count="6">
    <mergeCell ref="C36:D36"/>
    <mergeCell ref="C37:D37"/>
    <mergeCell ref="C73:D73"/>
    <mergeCell ref="C74:D74"/>
    <mergeCell ref="C77:D77"/>
    <mergeCell ref="C40:D40"/>
  </mergeCells>
  <conditionalFormatting sqref="E68">
    <cfRule type="cellIs" priority="3" dxfId="82" operator="greaterThan" stopIfTrue="1">
      <formula>$E$70*0.1</formula>
    </cfRule>
  </conditionalFormatting>
  <conditionalFormatting sqref="E73">
    <cfRule type="cellIs" priority="4" dxfId="82" operator="greaterThan" stopIfTrue="1">
      <formula>$E$70/0.95-$E$70</formula>
    </cfRule>
  </conditionalFormatting>
  <conditionalFormatting sqref="E36">
    <cfRule type="cellIs" priority="5" dxfId="82" operator="greaterThan" stopIfTrue="1">
      <formula>$E$33/0.95-$E$33</formula>
    </cfRule>
  </conditionalFormatting>
  <conditionalFormatting sqref="E31">
    <cfRule type="cellIs" priority="6" dxfId="82" operator="greaterThan" stopIfTrue="1">
      <formula>$E$33*0.1</formula>
    </cfRule>
  </conditionalFormatting>
  <conditionalFormatting sqref="C33">
    <cfRule type="cellIs" priority="7" dxfId="2" operator="greaterThan" stopIfTrue="1">
      <formula>$C$35</formula>
    </cfRule>
  </conditionalFormatting>
  <conditionalFormatting sqref="C71 C34">
    <cfRule type="cellIs" priority="8" dxfId="2" operator="lessThan" stopIfTrue="1">
      <formula>0</formula>
    </cfRule>
  </conditionalFormatting>
  <conditionalFormatting sqref="D33">
    <cfRule type="cellIs" priority="9" dxfId="2" operator="greaterThan" stopIfTrue="1">
      <formula>$D$35</formula>
    </cfRule>
  </conditionalFormatting>
  <conditionalFormatting sqref="C70">
    <cfRule type="cellIs" priority="10" dxfId="2" operator="greaterThan" stopIfTrue="1">
      <formula>$C$72</formula>
    </cfRule>
  </conditionalFormatting>
  <conditionalFormatting sqref="D70">
    <cfRule type="cellIs" priority="11" dxfId="2" operator="greaterThan" stopIfTrue="1">
      <formula>$D$72</formula>
    </cfRule>
  </conditionalFormatting>
  <conditionalFormatting sqref="C68">
    <cfRule type="cellIs" priority="12" dxfId="2" operator="greaterThan" stopIfTrue="1">
      <formula>$C$70*0.1</formula>
    </cfRule>
  </conditionalFormatting>
  <conditionalFormatting sqref="D68">
    <cfRule type="cellIs" priority="13" dxfId="2" operator="greaterThan" stopIfTrue="1">
      <formula>$D$70*0.1</formula>
    </cfRule>
  </conditionalFormatting>
  <conditionalFormatting sqref="E56">
    <cfRule type="cellIs" priority="14" dxfId="82" operator="greaterThan" stopIfTrue="1">
      <formula>$E$58*0.1+E77</formula>
    </cfRule>
  </conditionalFormatting>
  <conditionalFormatting sqref="C56">
    <cfRule type="cellIs" priority="15" dxfId="2" operator="greaterThan" stopIfTrue="1">
      <formula>$C$58*0.1</formula>
    </cfRule>
  </conditionalFormatting>
  <conditionalFormatting sqref="D56">
    <cfRule type="cellIs" priority="16" dxfId="2" operator="greaterThan" stopIfTrue="1">
      <formula>$D$58*0.1</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82"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6"/>
  <sheetViews>
    <sheetView view="pageBreakPreview" zoomScale="108" zoomScaleSheetLayoutView="108" zoomScalePageLayoutView="0" workbookViewId="0" topLeftCell="A35">
      <selection activeCell="E64" sqref="E64"/>
    </sheetView>
  </sheetViews>
  <sheetFormatPr defaultColWidth="8.796875" defaultRowHeight="15"/>
  <cols>
    <col min="1" max="1" width="2.3984375" style="25" customWidth="1"/>
    <col min="2" max="2" width="31.09765625" style="25" customWidth="1"/>
    <col min="3" max="4" width="15.796875" style="25" customWidth="1"/>
    <col min="5" max="5" width="16.09765625" style="25" customWidth="1"/>
    <col min="6" max="16384" width="8.8984375" style="25" customWidth="1"/>
  </cols>
  <sheetData>
    <row r="1" spans="2:5" ht="15.75">
      <c r="B1" s="161" t="str">
        <f>(inputPrYr!C2)</f>
        <v>MITCHELL COUNTY</v>
      </c>
      <c r="C1" s="28"/>
      <c r="D1" s="28"/>
      <c r="E1" s="220">
        <f>inputPrYr!C4</f>
        <v>2012</v>
      </c>
    </row>
    <row r="2" spans="2:5" ht="15.75">
      <c r="B2" s="28"/>
      <c r="C2" s="28"/>
      <c r="D2" s="28"/>
      <c r="E2" s="173"/>
    </row>
    <row r="3" spans="2:5" ht="15.75">
      <c r="B3" s="93" t="s">
        <v>109</v>
      </c>
      <c r="C3" s="248"/>
      <c r="D3" s="248"/>
      <c r="E3" s="249"/>
    </row>
    <row r="4" spans="2:5" ht="15.75">
      <c r="B4" s="28"/>
      <c r="C4" s="247"/>
      <c r="D4" s="247"/>
      <c r="E4" s="247"/>
    </row>
    <row r="5" spans="2:5" ht="15.75">
      <c r="B5" s="27" t="s">
        <v>48</v>
      </c>
      <c r="C5" s="298" t="s">
        <v>237</v>
      </c>
      <c r="D5" s="297" t="s">
        <v>238</v>
      </c>
      <c r="E5" s="299" t="s">
        <v>239</v>
      </c>
    </row>
    <row r="6" spans="2:5" ht="15.75">
      <c r="B6" s="307" t="str">
        <f>inputPrYr!B24</f>
        <v>MCO F.D. # 1 Spec. Equip.</v>
      </c>
      <c r="C6" s="285">
        <v>2010</v>
      </c>
      <c r="D6" s="285">
        <v>2011</v>
      </c>
      <c r="E6" s="234">
        <v>2012</v>
      </c>
    </row>
    <row r="7" spans="2:5" ht="15.75">
      <c r="B7" s="89" t="s">
        <v>145</v>
      </c>
      <c r="C7" s="53">
        <v>8899</v>
      </c>
      <c r="D7" s="199">
        <f>C30</f>
        <v>130</v>
      </c>
      <c r="E7" s="199">
        <f>D30</f>
        <v>2630</v>
      </c>
    </row>
    <row r="8" spans="2:5" ht="15.75">
      <c r="B8" s="250" t="s">
        <v>147</v>
      </c>
      <c r="C8" s="50"/>
      <c r="D8" s="50"/>
      <c r="E8" s="50"/>
    </row>
    <row r="9" spans="2:5" ht="15.75">
      <c r="B9" s="243" t="s">
        <v>254</v>
      </c>
      <c r="C9" s="53"/>
      <c r="D9" s="53">
        <v>4500</v>
      </c>
      <c r="E9" s="53">
        <v>4500</v>
      </c>
    </row>
    <row r="10" spans="2:5" ht="15.75">
      <c r="B10" s="243"/>
      <c r="C10" s="53"/>
      <c r="D10" s="53"/>
      <c r="E10" s="53"/>
    </row>
    <row r="11" spans="2:5" ht="15.75">
      <c r="B11" s="243"/>
      <c r="C11" s="53"/>
      <c r="D11" s="53"/>
      <c r="E11" s="53"/>
    </row>
    <row r="12" spans="2:5" ht="15.75">
      <c r="B12" s="238" t="s">
        <v>53</v>
      </c>
      <c r="C12" s="53"/>
      <c r="D12" s="53"/>
      <c r="E12" s="53"/>
    </row>
    <row r="13" spans="2:5" ht="15.75">
      <c r="B13" s="239" t="s">
        <v>21</v>
      </c>
      <c r="C13" s="53"/>
      <c r="D13" s="236"/>
      <c r="E13" s="236"/>
    </row>
    <row r="14" spans="2:5" ht="15.75">
      <c r="B14" s="239" t="s">
        <v>215</v>
      </c>
      <c r="C14" s="305">
        <f>IF(C15*0.1&lt;C13,"Exceed 10% Rule","")</f>
      </c>
      <c r="D14" s="240">
        <f>IF(D15*0.1&lt;D13,"Exceed 10% Rule","")</f>
      </c>
      <c r="E14" s="240">
        <f>IF(E15*0.1&lt;E13,"Exceed 10% Rule","")</f>
      </c>
    </row>
    <row r="15" spans="2:5" ht="15.75">
      <c r="B15" s="241" t="s">
        <v>54</v>
      </c>
      <c r="C15" s="255">
        <f>SUM(C9:C13)</f>
        <v>0</v>
      </c>
      <c r="D15" s="255">
        <f>SUM(D9:D13)</f>
        <v>4500</v>
      </c>
      <c r="E15" s="255">
        <f>SUM(E9:E13)</f>
        <v>4500</v>
      </c>
    </row>
    <row r="16" spans="2:5" ht="15.75">
      <c r="B16" s="241" t="s">
        <v>55</v>
      </c>
      <c r="C16" s="255">
        <f>C15+C7</f>
        <v>8899</v>
      </c>
      <c r="D16" s="255">
        <f>D15+D7</f>
        <v>4630</v>
      </c>
      <c r="E16" s="255">
        <f>E15+E7</f>
        <v>7130</v>
      </c>
    </row>
    <row r="17" spans="2:5" ht="15.75">
      <c r="B17" s="89" t="s">
        <v>57</v>
      </c>
      <c r="C17" s="199"/>
      <c r="D17" s="199"/>
      <c r="E17" s="199"/>
    </row>
    <row r="18" spans="2:5" ht="15.75">
      <c r="B18" s="243" t="s">
        <v>244</v>
      </c>
      <c r="C18" s="53">
        <v>8769</v>
      </c>
      <c r="D18" s="53">
        <v>2000</v>
      </c>
      <c r="E18" s="53">
        <v>7130</v>
      </c>
    </row>
    <row r="19" spans="2:5" ht="15.75">
      <c r="B19" s="243"/>
      <c r="C19" s="53"/>
      <c r="D19" s="53"/>
      <c r="E19" s="53"/>
    </row>
    <row r="20" spans="2:5" ht="15.75">
      <c r="B20" s="243"/>
      <c r="C20" s="53"/>
      <c r="D20" s="53"/>
      <c r="E20" s="53"/>
    </row>
    <row r="21" spans="2:5" ht="15.75">
      <c r="B21" s="243"/>
      <c r="C21" s="53"/>
      <c r="D21" s="53"/>
      <c r="E21" s="53"/>
    </row>
    <row r="22" spans="2:5" ht="15.75">
      <c r="B22" s="243"/>
      <c r="C22" s="53"/>
      <c r="D22" s="53"/>
      <c r="E22" s="53"/>
    </row>
    <row r="23" spans="2:5" ht="15.75">
      <c r="B23" s="243"/>
      <c r="C23" s="53"/>
      <c r="D23" s="53"/>
      <c r="E23" s="53"/>
    </row>
    <row r="24" spans="2:5" ht="15.75">
      <c r="B24" s="243"/>
      <c r="C24" s="53"/>
      <c r="D24" s="53"/>
      <c r="E24" s="53"/>
    </row>
    <row r="25" spans="2:5" ht="15.75">
      <c r="B25" s="243"/>
      <c r="C25" s="53"/>
      <c r="D25" s="53"/>
      <c r="E25" s="53"/>
    </row>
    <row r="26" spans="2:5" ht="15.75">
      <c r="B26" s="243"/>
      <c r="C26" s="53"/>
      <c r="D26" s="53"/>
      <c r="E26" s="53"/>
    </row>
    <row r="27" spans="2:5" ht="15.75">
      <c r="B27" s="239" t="s">
        <v>21</v>
      </c>
      <c r="C27" s="53"/>
      <c r="D27" s="236"/>
      <c r="E27" s="236"/>
    </row>
    <row r="28" spans="2:5" ht="15.75">
      <c r="B28" s="239" t="s">
        <v>214</v>
      </c>
      <c r="C28" s="305">
        <f>IF(C29*0.1&lt;C27,"Exceed 10% Rule","")</f>
      </c>
      <c r="D28" s="240">
        <f>IF(D29*0.1&lt;D27,"Exceed 10% Rule","")</f>
      </c>
      <c r="E28" s="240">
        <f>IF(E29*0.1&lt;E27,"Exceed 10% Rule","")</f>
      </c>
    </row>
    <row r="29" spans="2:5" ht="15.75">
      <c r="B29" s="241" t="s">
        <v>58</v>
      </c>
      <c r="C29" s="255">
        <f>SUM(C18:C27)</f>
        <v>8769</v>
      </c>
      <c r="D29" s="255">
        <f>SUM(D18:D27)</f>
        <v>2000</v>
      </c>
      <c r="E29" s="255">
        <f>SUM(E18:E27)</f>
        <v>7130</v>
      </c>
    </row>
    <row r="30" spans="2:5" ht="15.75">
      <c r="B30" s="89" t="s">
        <v>146</v>
      </c>
      <c r="C30" s="61">
        <f>C16-C29</f>
        <v>130</v>
      </c>
      <c r="D30" s="61">
        <f>D16-D29</f>
        <v>2630</v>
      </c>
      <c r="E30" s="61">
        <f>E16-E29</f>
        <v>0</v>
      </c>
    </row>
    <row r="31" spans="2:5" ht="15.75">
      <c r="B31" s="221" t="str">
        <f>CONCATENATE("",E$1-2,"/",E$1-1," Budget Authority Amount:")</f>
        <v>2010/2011 Budget Authority Amount:</v>
      </c>
      <c r="C31" s="213">
        <f>inputOth!B39</f>
        <v>10599</v>
      </c>
      <c r="D31" s="213">
        <f>inputPrYr!D24</f>
        <v>10399</v>
      </c>
      <c r="E31" s="304">
        <f>IF(E30&lt;0,"See Tab E","")</f>
      </c>
    </row>
    <row r="32" spans="2:5" ht="15.75">
      <c r="B32" s="221"/>
      <c r="C32" s="245">
        <f>IF(C29&gt;C31,"See Tab A","")</f>
      </c>
      <c r="D32" s="245">
        <f>IF(D29&gt;D31,"See Tab C","")</f>
      </c>
      <c r="E32" s="86"/>
    </row>
    <row r="33" spans="2:5" ht="15.75">
      <c r="B33" s="221"/>
      <c r="C33" s="245">
        <f>IF(C30&lt;0,"See Tab B","")</f>
      </c>
      <c r="D33" s="245">
        <f>IF(D30&lt;0,"See Tab D","")</f>
      </c>
      <c r="E33" s="86"/>
    </row>
    <row r="34" spans="2:5" ht="15.75">
      <c r="B34" s="28"/>
      <c r="C34" s="86"/>
      <c r="D34" s="86"/>
      <c r="E34" s="86"/>
    </row>
    <row r="35" spans="2:5" ht="15.75">
      <c r="B35" s="27" t="s">
        <v>48</v>
      </c>
      <c r="C35" s="247"/>
      <c r="D35" s="247"/>
      <c r="E35" s="247"/>
    </row>
    <row r="36" spans="2:5" ht="15.75">
      <c r="B36" s="28"/>
      <c r="C36" s="333" t="str">
        <f aca="true" t="shared" si="0" ref="C36:E37">C5</f>
        <v>PriorYear Actual</v>
      </c>
      <c r="D36" s="299" t="str">
        <f t="shared" si="0"/>
        <v>Current Year Estimate</v>
      </c>
      <c r="E36" s="299" t="str">
        <f t="shared" si="0"/>
        <v>Proposed Budget Year</v>
      </c>
    </row>
    <row r="37" spans="2:5" ht="15.75">
      <c r="B37" s="306" t="str">
        <f>inputPrYr!B25</f>
        <v>Tipton F.D. # 2 Spec. Equip.</v>
      </c>
      <c r="C37" s="242">
        <f t="shared" si="0"/>
        <v>2010</v>
      </c>
      <c r="D37" s="242">
        <f t="shared" si="0"/>
        <v>2011</v>
      </c>
      <c r="E37" s="234">
        <f t="shared" si="0"/>
        <v>2012</v>
      </c>
    </row>
    <row r="38" spans="2:5" ht="15.75">
      <c r="B38" s="89" t="s">
        <v>145</v>
      </c>
      <c r="C38" s="53">
        <v>2818</v>
      </c>
      <c r="D38" s="199">
        <f>C61</f>
        <v>2818</v>
      </c>
      <c r="E38" s="199">
        <f>D61</f>
        <v>1818</v>
      </c>
    </row>
    <row r="39" spans="2:5" ht="15.75">
      <c r="B39" s="89" t="s">
        <v>147</v>
      </c>
      <c r="C39" s="50"/>
      <c r="D39" s="50"/>
      <c r="E39" s="50"/>
    </row>
    <row r="40" spans="2:5" ht="15.75">
      <c r="B40" s="243"/>
      <c r="C40" s="53"/>
      <c r="D40" s="53"/>
      <c r="E40" s="53"/>
    </row>
    <row r="41" spans="2:5" ht="15.75">
      <c r="B41" s="243"/>
      <c r="C41" s="53"/>
      <c r="D41" s="53"/>
      <c r="E41" s="53"/>
    </row>
    <row r="42" spans="2:5" ht="15.75">
      <c r="B42" s="243"/>
      <c r="C42" s="53"/>
      <c r="D42" s="53"/>
      <c r="E42" s="53"/>
    </row>
    <row r="43" spans="2:5" ht="15.75">
      <c r="B43" s="238" t="s">
        <v>53</v>
      </c>
      <c r="C43" s="53"/>
      <c r="D43" s="53"/>
      <c r="E43" s="53"/>
    </row>
    <row r="44" spans="2:5" ht="15.75">
      <c r="B44" s="239" t="s">
        <v>21</v>
      </c>
      <c r="C44" s="53"/>
      <c r="D44" s="236"/>
      <c r="E44" s="236"/>
    </row>
    <row r="45" spans="2:5" ht="15.75">
      <c r="B45" s="239" t="s">
        <v>215</v>
      </c>
      <c r="C45" s="305">
        <f>IF(C46*0.1&lt;C44,"Exceed 10% Rule","")</f>
      </c>
      <c r="D45" s="240">
        <f>IF(D46*0.1&lt;D44,"Exceed 10% Rule","")</f>
      </c>
      <c r="E45" s="240">
        <f>IF(E46*0.1&lt;E44,"Exceed 10% Rule","")</f>
      </c>
    </row>
    <row r="46" spans="2:5" ht="15.75">
      <c r="B46" s="241" t="s">
        <v>54</v>
      </c>
      <c r="C46" s="255">
        <f>SUM(C40:C44)</f>
        <v>0</v>
      </c>
      <c r="D46" s="255">
        <f>SUM(D40:D44)</f>
        <v>0</v>
      </c>
      <c r="E46" s="255">
        <f>SUM(E40:E44)</f>
        <v>0</v>
      </c>
    </row>
    <row r="47" spans="2:5" ht="15.75">
      <c r="B47" s="241" t="s">
        <v>55</v>
      </c>
      <c r="C47" s="255">
        <f>C38+C46</f>
        <v>2818</v>
      </c>
      <c r="D47" s="255">
        <f>D38+D46</f>
        <v>2818</v>
      </c>
      <c r="E47" s="255">
        <f>E38+E46</f>
        <v>1818</v>
      </c>
    </row>
    <row r="48" spans="2:5" ht="15.75">
      <c r="B48" s="89" t="s">
        <v>57</v>
      </c>
      <c r="C48" s="199"/>
      <c r="D48" s="199"/>
      <c r="E48" s="199"/>
    </row>
    <row r="49" spans="2:5" ht="15.75">
      <c r="B49" s="243" t="s">
        <v>244</v>
      </c>
      <c r="C49" s="53"/>
      <c r="D49" s="53">
        <v>1000</v>
      </c>
      <c r="E49" s="53">
        <v>1818</v>
      </c>
    </row>
    <row r="50" spans="2:5" ht="15.75">
      <c r="B50" s="243"/>
      <c r="C50" s="53"/>
      <c r="D50" s="53"/>
      <c r="E50" s="53"/>
    </row>
    <row r="51" spans="2:5" ht="15.75">
      <c r="B51" s="243"/>
      <c r="C51" s="53"/>
      <c r="D51" s="53"/>
      <c r="E51" s="53"/>
    </row>
    <row r="52" spans="2:5" ht="15.75">
      <c r="B52" s="243"/>
      <c r="C52" s="53"/>
      <c r="D52" s="53"/>
      <c r="E52" s="53"/>
    </row>
    <row r="53" spans="2:5" ht="15.75">
      <c r="B53" s="243"/>
      <c r="C53" s="53"/>
      <c r="D53" s="53"/>
      <c r="E53" s="53"/>
    </row>
    <row r="54" spans="2:5" ht="15.75">
      <c r="B54" s="243"/>
      <c r="C54" s="53"/>
      <c r="D54" s="53"/>
      <c r="E54" s="53"/>
    </row>
    <row r="55" spans="2:5" ht="15.75">
      <c r="B55" s="243"/>
      <c r="C55" s="53"/>
      <c r="D55" s="53"/>
      <c r="E55" s="53"/>
    </row>
    <row r="56" spans="2:5" ht="15.75">
      <c r="B56" s="243"/>
      <c r="C56" s="53"/>
      <c r="D56" s="53"/>
      <c r="E56" s="53"/>
    </row>
    <row r="57" spans="2:5" ht="15.75">
      <c r="B57" s="243"/>
      <c r="C57" s="53"/>
      <c r="D57" s="53"/>
      <c r="E57" s="53"/>
    </row>
    <row r="58" spans="2:5" ht="15.75">
      <c r="B58" s="239" t="s">
        <v>21</v>
      </c>
      <c r="C58" s="53"/>
      <c r="D58" s="236"/>
      <c r="E58" s="236"/>
    </row>
    <row r="59" spans="2:5" ht="15.75">
      <c r="B59" s="239" t="s">
        <v>214</v>
      </c>
      <c r="C59" s="305">
        <f>IF(C60*0.1&lt;C58,"Exceed 10% Rule","")</f>
      </c>
      <c r="D59" s="240">
        <f>IF(D60*0.1&lt;D58,"Exceed 10% Rule","")</f>
      </c>
      <c r="E59" s="240">
        <f>IF(E60*0.1&lt;E58,"Exceed 10% Rule","")</f>
      </c>
    </row>
    <row r="60" spans="2:5" ht="15.75">
      <c r="B60" s="241" t="s">
        <v>58</v>
      </c>
      <c r="C60" s="255">
        <f>SUM(C49:C58)</f>
        <v>0</v>
      </c>
      <c r="D60" s="255">
        <f>SUM(D49:D58)</f>
        <v>1000</v>
      </c>
      <c r="E60" s="255">
        <f>SUM(E49:E58)</f>
        <v>1818</v>
      </c>
    </row>
    <row r="61" spans="2:5" ht="15.75">
      <c r="B61" s="89" t="s">
        <v>146</v>
      </c>
      <c r="C61" s="61">
        <f>C47-C60</f>
        <v>2818</v>
      </c>
      <c r="D61" s="61">
        <f>D47-D60</f>
        <v>1818</v>
      </c>
      <c r="E61" s="61">
        <f>E47-E60</f>
        <v>0</v>
      </c>
    </row>
    <row r="62" spans="2:5" ht="15.75">
      <c r="B62" s="221" t="str">
        <f>CONCATENATE("",E$1-2,"/",E$1-1," Budget Authority Amount:")</f>
        <v>2010/2011 Budget Authority Amount:</v>
      </c>
      <c r="C62" s="213">
        <f>inputOth!B40</f>
        <v>1818</v>
      </c>
      <c r="D62" s="213">
        <f>inputPrYr!D25</f>
        <v>1818</v>
      </c>
      <c r="E62" s="303">
        <f>IF(E61&lt;0,"See Tab E","")</f>
      </c>
    </row>
    <row r="63" spans="2:5" ht="15.75">
      <c r="B63" s="221"/>
      <c r="C63" s="245">
        <f>IF(C60&gt;C62,"See Tab A","")</f>
      </c>
      <c r="D63" s="245">
        <f>IF(D60&gt;D62,"See Tab C","")</f>
      </c>
      <c r="E63" s="28"/>
    </row>
    <row r="64" spans="2:5" ht="15.75">
      <c r="B64" s="221"/>
      <c r="C64" s="245">
        <f>IF(C61&lt;0,"See Tab B","")</f>
      </c>
      <c r="D64" s="245">
        <f>IF(D61&lt;0,"See Tab D","")</f>
      </c>
      <c r="E64" s="28"/>
    </row>
    <row r="65" spans="2:5" ht="15.75">
      <c r="B65" s="28"/>
      <c r="C65" s="28"/>
      <c r="D65" s="28"/>
      <c r="E65" s="28"/>
    </row>
    <row r="66" spans="2:5" ht="15.75">
      <c r="B66" s="221" t="s">
        <v>62</v>
      </c>
      <c r="C66" s="254">
        <v>10</v>
      </c>
      <c r="D66" s="28"/>
      <c r="E66" s="28"/>
    </row>
  </sheetData>
  <sheetProtection/>
  <conditionalFormatting sqref="C27">
    <cfRule type="cellIs" priority="7" dxfId="82" operator="greaterThan" stopIfTrue="1">
      <formula>$C$29*0.1</formula>
    </cfRule>
  </conditionalFormatting>
  <conditionalFormatting sqref="D27">
    <cfRule type="cellIs" priority="8" dxfId="82" operator="greaterThan" stopIfTrue="1">
      <formula>$D$29*0.1</formula>
    </cfRule>
  </conditionalFormatting>
  <conditionalFormatting sqref="E27">
    <cfRule type="cellIs" priority="9" dxfId="82" operator="greaterThan" stopIfTrue="1">
      <formula>$E$29*0.1</formula>
    </cfRule>
  </conditionalFormatting>
  <conditionalFormatting sqref="C13">
    <cfRule type="cellIs" priority="10" dxfId="82" operator="greaterThan" stopIfTrue="1">
      <formula>$C$15*0.1</formula>
    </cfRule>
  </conditionalFormatting>
  <conditionalFormatting sqref="D13">
    <cfRule type="cellIs" priority="11" dxfId="82" operator="greaterThan" stopIfTrue="1">
      <formula>$D$15*0.1</formula>
    </cfRule>
  </conditionalFormatting>
  <conditionalFormatting sqref="E13">
    <cfRule type="cellIs" priority="12" dxfId="82" operator="greaterThan" stopIfTrue="1">
      <formula>$E$15*0.1</formula>
    </cfRule>
  </conditionalFormatting>
  <conditionalFormatting sqref="C44">
    <cfRule type="cellIs" priority="13" dxfId="82" operator="greaterThan" stopIfTrue="1">
      <formula>$C$46*0.1</formula>
    </cfRule>
  </conditionalFormatting>
  <conditionalFormatting sqref="D44">
    <cfRule type="cellIs" priority="14" dxfId="82" operator="greaterThan" stopIfTrue="1">
      <formula>$D$46*0.1</formula>
    </cfRule>
  </conditionalFormatting>
  <conditionalFormatting sqref="E44">
    <cfRule type="cellIs" priority="15" dxfId="82" operator="greaterThan" stopIfTrue="1">
      <formula>$E$46*0.1</formula>
    </cfRule>
  </conditionalFormatting>
  <conditionalFormatting sqref="C58">
    <cfRule type="cellIs" priority="16" dxfId="82" operator="greaterThan" stopIfTrue="1">
      <formula>$C$60*0.1</formula>
    </cfRule>
  </conditionalFormatting>
  <conditionalFormatting sqref="D58">
    <cfRule type="cellIs" priority="17" dxfId="82" operator="greaterThan" stopIfTrue="1">
      <formula>$D$60*0.1</formula>
    </cfRule>
  </conditionalFormatting>
  <conditionalFormatting sqref="E58">
    <cfRule type="cellIs" priority="18" dxfId="82" operator="greaterThan" stopIfTrue="1">
      <formula>$E$60*0.1</formula>
    </cfRule>
  </conditionalFormatting>
  <conditionalFormatting sqref="E61 C61 E30">
    <cfRule type="cellIs" priority="19" dxfId="2" operator="lessThan" stopIfTrue="1">
      <formula>0</formula>
    </cfRule>
  </conditionalFormatting>
  <conditionalFormatting sqref="D60">
    <cfRule type="cellIs" priority="20" dxfId="2" operator="greaterThan" stopIfTrue="1">
      <formula>$D$62</formula>
    </cfRule>
  </conditionalFormatting>
  <conditionalFormatting sqref="C60">
    <cfRule type="cellIs" priority="21" dxfId="2" operator="greaterThan" stopIfTrue="1">
      <formula>$C$62</formula>
    </cfRule>
  </conditionalFormatting>
  <conditionalFormatting sqref="C29">
    <cfRule type="cellIs" priority="6" dxfId="0" operator="greaterThan" stopIfTrue="1">
      <formula>$C$31</formula>
    </cfRule>
  </conditionalFormatting>
  <conditionalFormatting sqref="D29">
    <cfRule type="cellIs" priority="5" dxfId="0" operator="greaterThan" stopIfTrue="1">
      <formula>$D$31</formula>
    </cfRule>
  </conditionalFormatting>
  <conditionalFormatting sqref="C30">
    <cfRule type="cellIs" priority="4" dxfId="0" operator="lessThan" stopIfTrue="1">
      <formula>0</formula>
    </cfRule>
  </conditionalFormatting>
  <conditionalFormatting sqref="D30">
    <cfRule type="cellIs" priority="2" dxfId="0" operator="lessThan" stopIfTrue="1">
      <formula>0</formula>
    </cfRule>
    <cfRule type="cellIs" priority="3"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6"/>
  <sheetViews>
    <sheetView view="pageBreakPreview" zoomScale="104" zoomScaleSheetLayoutView="104" zoomScalePageLayoutView="0" workbookViewId="0" topLeftCell="A5">
      <selection activeCell="E19" sqref="E19"/>
    </sheetView>
  </sheetViews>
  <sheetFormatPr defaultColWidth="8.796875" defaultRowHeight="15"/>
  <cols>
    <col min="1" max="1" width="2.3984375" style="25" customWidth="1"/>
    <col min="2" max="2" width="31.09765625" style="25" customWidth="1"/>
    <col min="3" max="4" width="15.796875" style="25" customWidth="1"/>
    <col min="5" max="5" width="16.09765625" style="25" customWidth="1"/>
    <col min="6" max="16384" width="8.8984375" style="25" customWidth="1"/>
  </cols>
  <sheetData>
    <row r="1" spans="2:5" ht="15.75">
      <c r="B1" s="161" t="str">
        <f>(inputPrYr!C2)</f>
        <v>MITCHELL COUNTY</v>
      </c>
      <c r="C1" s="28"/>
      <c r="D1" s="28"/>
      <c r="E1" s="220">
        <f>inputPrYr!C4</f>
        <v>2012</v>
      </c>
    </row>
    <row r="2" spans="2:5" ht="15.75">
      <c r="B2" s="28"/>
      <c r="C2" s="28"/>
      <c r="D2" s="28"/>
      <c r="E2" s="173"/>
    </row>
    <row r="3" spans="2:5" ht="15.75">
      <c r="B3" s="93" t="s">
        <v>109</v>
      </c>
      <c r="C3" s="248"/>
      <c r="D3" s="248"/>
      <c r="E3" s="249"/>
    </row>
    <row r="4" spans="2:5" ht="15.75">
      <c r="B4" s="28"/>
      <c r="C4" s="247"/>
      <c r="D4" s="247"/>
      <c r="E4" s="247"/>
    </row>
    <row r="5" spans="2:5" ht="15.75">
      <c r="B5" s="27" t="s">
        <v>48</v>
      </c>
      <c r="C5" s="298" t="s">
        <v>237</v>
      </c>
      <c r="D5" s="297" t="s">
        <v>238</v>
      </c>
      <c r="E5" s="299" t="s">
        <v>239</v>
      </c>
    </row>
    <row r="6" spans="2:5" ht="15.75">
      <c r="B6" s="307" t="str">
        <f>inputPrYr!B26</f>
        <v>Solomon Rapids F.D. # 3 Spec. Equip.</v>
      </c>
      <c r="C6" s="285">
        <v>2010</v>
      </c>
      <c r="D6" s="285">
        <v>2011</v>
      </c>
      <c r="E6" s="234">
        <v>2012</v>
      </c>
    </row>
    <row r="7" spans="2:5" ht="15.75">
      <c r="B7" s="89" t="s">
        <v>145</v>
      </c>
      <c r="C7" s="53">
        <v>35252</v>
      </c>
      <c r="D7" s="199">
        <f>C30</f>
        <v>60252</v>
      </c>
      <c r="E7" s="199">
        <f>D30</f>
        <v>58252</v>
      </c>
    </row>
    <row r="8" spans="2:5" ht="15.75">
      <c r="B8" s="250" t="s">
        <v>147</v>
      </c>
      <c r="C8" s="50"/>
      <c r="D8" s="50"/>
      <c r="E8" s="50"/>
    </row>
    <row r="9" spans="2:5" ht="15.75">
      <c r="B9" s="243" t="s">
        <v>251</v>
      </c>
      <c r="C9" s="53">
        <v>25000</v>
      </c>
      <c r="D9" s="53">
        <v>8000</v>
      </c>
      <c r="E9" s="53">
        <v>8000</v>
      </c>
    </row>
    <row r="10" spans="2:5" ht="15.75">
      <c r="B10" s="243"/>
      <c r="C10" s="53"/>
      <c r="D10" s="53"/>
      <c r="E10" s="53"/>
    </row>
    <row r="11" spans="2:5" ht="15.75">
      <c r="B11" s="243"/>
      <c r="C11" s="53"/>
      <c r="D11" s="53"/>
      <c r="E11" s="53"/>
    </row>
    <row r="12" spans="2:5" ht="15.75">
      <c r="B12" s="238" t="s">
        <v>53</v>
      </c>
      <c r="C12" s="53"/>
      <c r="D12" s="53"/>
      <c r="E12" s="53"/>
    </row>
    <row r="13" spans="2:5" ht="15.75">
      <c r="B13" s="239" t="s">
        <v>21</v>
      </c>
      <c r="C13" s="53"/>
      <c r="D13" s="236"/>
      <c r="E13" s="236"/>
    </row>
    <row r="14" spans="2:5" ht="15.75">
      <c r="B14" s="239" t="s">
        <v>215</v>
      </c>
      <c r="C14" s="305">
        <f>IF(C15*0.1&lt;C13,"Exceed 10% Rule","")</f>
      </c>
      <c r="D14" s="240">
        <f>IF(D15*0.1&lt;D13,"Exceed 10% Rule","")</f>
      </c>
      <c r="E14" s="240">
        <f>IF(E15*0.1&lt;E13,"Exceed 10% Rule","")</f>
      </c>
    </row>
    <row r="15" spans="2:5" ht="15.75">
      <c r="B15" s="241" t="s">
        <v>54</v>
      </c>
      <c r="C15" s="255">
        <f>SUM(C9:C13)</f>
        <v>25000</v>
      </c>
      <c r="D15" s="255">
        <f>SUM(D9:D13)</f>
        <v>8000</v>
      </c>
      <c r="E15" s="255">
        <f>SUM(E9:E13)</f>
        <v>8000</v>
      </c>
    </row>
    <row r="16" spans="2:5" ht="15.75">
      <c r="B16" s="241" t="s">
        <v>55</v>
      </c>
      <c r="C16" s="255">
        <f>C15+C7</f>
        <v>60252</v>
      </c>
      <c r="D16" s="255">
        <f>D15+D7</f>
        <v>68252</v>
      </c>
      <c r="E16" s="255">
        <f>E15+E7</f>
        <v>66252</v>
      </c>
    </row>
    <row r="17" spans="2:5" ht="15.75">
      <c r="B17" s="89" t="s">
        <v>57</v>
      </c>
      <c r="C17" s="199"/>
      <c r="D17" s="199"/>
      <c r="E17" s="199"/>
    </row>
    <row r="18" spans="2:5" ht="15.75">
      <c r="B18" s="243" t="s">
        <v>244</v>
      </c>
      <c r="C18" s="53"/>
      <c r="D18" s="53">
        <v>10000</v>
      </c>
      <c r="E18" s="53">
        <v>66252</v>
      </c>
    </row>
    <row r="19" spans="2:5" ht="15.75">
      <c r="B19" s="243"/>
      <c r="C19" s="53"/>
      <c r="D19" s="53"/>
      <c r="E19" s="53"/>
    </row>
    <row r="20" spans="2:5" ht="15.75">
      <c r="B20" s="243"/>
      <c r="C20" s="53"/>
      <c r="D20" s="53"/>
      <c r="E20" s="53"/>
    </row>
    <row r="21" spans="2:5" ht="15.75">
      <c r="B21" s="243"/>
      <c r="C21" s="53"/>
      <c r="D21" s="53"/>
      <c r="E21" s="53"/>
    </row>
    <row r="22" spans="2:5" ht="15.75">
      <c r="B22" s="243"/>
      <c r="C22" s="53"/>
      <c r="D22" s="53"/>
      <c r="E22" s="53"/>
    </row>
    <row r="23" spans="2:5" ht="15.75">
      <c r="B23" s="243"/>
      <c r="C23" s="53"/>
      <c r="D23" s="53"/>
      <c r="E23" s="53"/>
    </row>
    <row r="24" spans="2:5" ht="15.75">
      <c r="B24" s="243"/>
      <c r="C24" s="53"/>
      <c r="D24" s="53"/>
      <c r="E24" s="53"/>
    </row>
    <row r="25" spans="2:5" ht="15.75">
      <c r="B25" s="243"/>
      <c r="C25" s="53"/>
      <c r="D25" s="53"/>
      <c r="E25" s="53"/>
    </row>
    <row r="26" spans="2:5" ht="15.75">
      <c r="B26" s="243"/>
      <c r="C26" s="53"/>
      <c r="D26" s="53"/>
      <c r="E26" s="53"/>
    </row>
    <row r="27" spans="2:5" ht="15.75">
      <c r="B27" s="239" t="s">
        <v>21</v>
      </c>
      <c r="C27" s="53"/>
      <c r="D27" s="236"/>
      <c r="E27" s="236"/>
    </row>
    <row r="28" spans="2:5" ht="15.75">
      <c r="B28" s="239" t="s">
        <v>214</v>
      </c>
      <c r="C28" s="305">
        <f>IF(C29*0.1&lt;C27,"Exceed 10% Rule","")</f>
      </c>
      <c r="D28" s="240">
        <f>IF(D29*0.1&lt;D27,"Exceed 10% Rule","")</f>
      </c>
      <c r="E28" s="240">
        <f>IF(E29*0.1&lt;E27,"Exceed 10% Rule","")</f>
      </c>
    </row>
    <row r="29" spans="2:5" ht="15.75">
      <c r="B29" s="241" t="s">
        <v>58</v>
      </c>
      <c r="C29" s="255">
        <f>SUM(C18:C27)</f>
        <v>0</v>
      </c>
      <c r="D29" s="255">
        <f>SUM(D18:D27)</f>
        <v>10000</v>
      </c>
      <c r="E29" s="255">
        <f>SUM(E18:E27)</f>
        <v>66252</v>
      </c>
    </row>
    <row r="30" spans="2:5" ht="15.75">
      <c r="B30" s="89" t="s">
        <v>146</v>
      </c>
      <c r="C30" s="61">
        <f>C16-C29</f>
        <v>60252</v>
      </c>
      <c r="D30" s="61">
        <f>D16-D29</f>
        <v>58252</v>
      </c>
      <c r="E30" s="61">
        <f>E16-E29</f>
        <v>0</v>
      </c>
    </row>
    <row r="31" spans="2:5" ht="15.75">
      <c r="B31" s="221" t="str">
        <f>CONCATENATE("",E$1-2,"/",E$1-1," Budget Authority Amount:")</f>
        <v>2010/2011 Budget Authority Amount:</v>
      </c>
      <c r="C31" s="213">
        <f>inputOth!B41</f>
        <v>34182</v>
      </c>
      <c r="D31" s="213">
        <f>inputPrYr!D26</f>
        <v>43112</v>
      </c>
      <c r="E31" s="304">
        <f>IF(E30&lt;0,"See Tab E","")</f>
      </c>
    </row>
    <row r="32" spans="2:5" ht="15.75">
      <c r="B32" s="221"/>
      <c r="C32" s="245">
        <f>IF(C29&gt;C31,"See Tab A","")</f>
      </c>
      <c r="D32" s="245">
        <f>IF(D29&gt;D31,"See Tab C","")</f>
      </c>
      <c r="E32" s="86"/>
    </row>
    <row r="33" spans="2:5" ht="15.75">
      <c r="B33" s="221"/>
      <c r="C33" s="245">
        <f>IF(C30&lt;0,"See Tab B","")</f>
      </c>
      <c r="D33" s="245">
        <f>IF(D30&lt;0,"See Tab D","")</f>
      </c>
      <c r="E33" s="86"/>
    </row>
    <row r="34" spans="2:5" ht="15.75">
      <c r="B34" s="28"/>
      <c r="C34" s="86"/>
      <c r="D34" s="86"/>
      <c r="E34" s="86"/>
    </row>
    <row r="35" spans="2:5" ht="15.75">
      <c r="B35" s="27" t="s">
        <v>48</v>
      </c>
      <c r="C35" s="247"/>
      <c r="D35" s="247"/>
      <c r="E35" s="247"/>
    </row>
    <row r="36" spans="2:5" ht="15.75">
      <c r="B36" s="28"/>
      <c r="C36" s="333" t="str">
        <f aca="true" t="shared" si="0" ref="C36:E37">C5</f>
        <v>PriorYear Actual</v>
      </c>
      <c r="D36" s="299" t="str">
        <f t="shared" si="0"/>
        <v>Current Year Estimate</v>
      </c>
      <c r="E36" s="299" t="str">
        <f t="shared" si="0"/>
        <v>Proposed Budget Year</v>
      </c>
    </row>
    <row r="37" spans="2:5" ht="15.75">
      <c r="B37" s="306">
        <f>inputPrYr!B27</f>
        <v>0</v>
      </c>
      <c r="C37" s="242">
        <f t="shared" si="0"/>
        <v>2010</v>
      </c>
      <c r="D37" s="242">
        <f t="shared" si="0"/>
        <v>2011</v>
      </c>
      <c r="E37" s="242">
        <f t="shared" si="0"/>
        <v>2012</v>
      </c>
    </row>
    <row r="38" spans="2:5" ht="15.75">
      <c r="B38" s="89" t="s">
        <v>145</v>
      </c>
      <c r="C38" s="53"/>
      <c r="D38" s="199">
        <f>C61</f>
        <v>0</v>
      </c>
      <c r="E38" s="199">
        <f>D61</f>
        <v>0</v>
      </c>
    </row>
    <row r="39" spans="2:5" ht="15.75">
      <c r="B39" s="89" t="s">
        <v>147</v>
      </c>
      <c r="C39" s="50"/>
      <c r="D39" s="50"/>
      <c r="E39" s="50"/>
    </row>
    <row r="40" spans="2:5" ht="15.75">
      <c r="B40" s="243"/>
      <c r="C40" s="53"/>
      <c r="D40" s="53"/>
      <c r="E40" s="53"/>
    </row>
    <row r="41" spans="2:5" ht="15.75">
      <c r="B41" s="243"/>
      <c r="C41" s="53"/>
      <c r="D41" s="53"/>
      <c r="E41" s="53"/>
    </row>
    <row r="42" spans="2:5" ht="15.75">
      <c r="B42" s="243"/>
      <c r="C42" s="53"/>
      <c r="D42" s="53"/>
      <c r="E42" s="53"/>
    </row>
    <row r="43" spans="2:5" ht="15.75">
      <c r="B43" s="238" t="s">
        <v>53</v>
      </c>
      <c r="C43" s="53"/>
      <c r="D43" s="53"/>
      <c r="E43" s="53"/>
    </row>
    <row r="44" spans="2:5" ht="15.75">
      <c r="B44" s="239" t="s">
        <v>21</v>
      </c>
      <c r="C44" s="53"/>
      <c r="D44" s="236"/>
      <c r="E44" s="236"/>
    </row>
    <row r="45" spans="2:5" ht="15.75">
      <c r="B45" s="239" t="s">
        <v>215</v>
      </c>
      <c r="C45" s="305">
        <f>IF(C46*0.1&lt;C44,"Exceed 10% Rule","")</f>
      </c>
      <c r="D45" s="240">
        <f>IF(D46*0.1&lt;D44,"Exceed 10% Rule","")</f>
      </c>
      <c r="E45" s="240">
        <f>IF(E46*0.1&lt;E44,"Exceed 10% Rule","")</f>
      </c>
    </row>
    <row r="46" spans="2:5" ht="15.75">
      <c r="B46" s="241" t="s">
        <v>54</v>
      </c>
      <c r="C46" s="255">
        <f>SUM(C40:C44)</f>
        <v>0</v>
      </c>
      <c r="D46" s="255">
        <f>SUM(D40:D44)</f>
        <v>0</v>
      </c>
      <c r="E46" s="255">
        <f>SUM(E40:E44)</f>
        <v>0</v>
      </c>
    </row>
    <row r="47" spans="2:5" ht="15.75">
      <c r="B47" s="241" t="s">
        <v>55</v>
      </c>
      <c r="C47" s="255">
        <f>C38+C46</f>
        <v>0</v>
      </c>
      <c r="D47" s="255">
        <f>D38+D46</f>
        <v>0</v>
      </c>
      <c r="E47" s="255">
        <f>E38+E46</f>
        <v>0</v>
      </c>
    </row>
    <row r="48" spans="2:5" ht="15.75">
      <c r="B48" s="89" t="s">
        <v>57</v>
      </c>
      <c r="C48" s="199"/>
      <c r="D48" s="199"/>
      <c r="E48" s="199"/>
    </row>
    <row r="49" spans="2:5" ht="15.75">
      <c r="B49" s="243"/>
      <c r="C49" s="53"/>
      <c r="D49" s="53"/>
      <c r="E49" s="53"/>
    </row>
    <row r="50" spans="2:5" ht="15.75">
      <c r="B50" s="243"/>
      <c r="C50" s="53"/>
      <c r="D50" s="53"/>
      <c r="E50" s="53"/>
    </row>
    <row r="51" spans="2:5" ht="15.75">
      <c r="B51" s="243"/>
      <c r="C51" s="53"/>
      <c r="D51" s="53"/>
      <c r="E51" s="53"/>
    </row>
    <row r="52" spans="2:5" ht="15.75">
      <c r="B52" s="243"/>
      <c r="C52" s="53"/>
      <c r="D52" s="53"/>
      <c r="E52" s="53"/>
    </row>
    <row r="53" spans="2:5" ht="15.75">
      <c r="B53" s="243"/>
      <c r="C53" s="53"/>
      <c r="D53" s="53"/>
      <c r="E53" s="53"/>
    </row>
    <row r="54" spans="2:5" ht="15.75">
      <c r="B54" s="243"/>
      <c r="C54" s="53"/>
      <c r="D54" s="53"/>
      <c r="E54" s="53"/>
    </row>
    <row r="55" spans="2:5" ht="15.75">
      <c r="B55" s="243"/>
      <c r="C55" s="53"/>
      <c r="D55" s="53"/>
      <c r="E55" s="53"/>
    </row>
    <row r="56" spans="2:5" ht="15.75">
      <c r="B56" s="243"/>
      <c r="C56" s="53"/>
      <c r="D56" s="53"/>
      <c r="E56" s="53"/>
    </row>
    <row r="57" spans="2:5" ht="15.75">
      <c r="B57" s="243"/>
      <c r="C57" s="53"/>
      <c r="D57" s="53"/>
      <c r="E57" s="53"/>
    </row>
    <row r="58" spans="2:5" ht="15.75">
      <c r="B58" s="239" t="s">
        <v>21</v>
      </c>
      <c r="C58" s="53"/>
      <c r="D58" s="236"/>
      <c r="E58" s="236"/>
    </row>
    <row r="59" spans="2:5" ht="15.75">
      <c r="B59" s="239" t="s">
        <v>214</v>
      </c>
      <c r="C59" s="305">
        <f>IF(C60*0.1&lt;C58,"Exceed 10% Rule","")</f>
      </c>
      <c r="D59" s="240">
        <f>IF(D60*0.1&lt;D58,"Exceed 10% Rule","")</f>
      </c>
      <c r="E59" s="240">
        <f>IF(E60*0.1&lt;E58,"Exceed 10% Rule","")</f>
      </c>
    </row>
    <row r="60" spans="2:5" ht="15.75">
      <c r="B60" s="241" t="s">
        <v>58</v>
      </c>
      <c r="C60" s="255">
        <f>SUM(C49:C58)</f>
        <v>0</v>
      </c>
      <c r="D60" s="255">
        <f>SUM(D49:D58)</f>
        <v>0</v>
      </c>
      <c r="E60" s="255">
        <f>SUM(E49:E58)</f>
        <v>0</v>
      </c>
    </row>
    <row r="61" spans="2:5" ht="15.75">
      <c r="B61" s="89" t="s">
        <v>146</v>
      </c>
      <c r="C61" s="61">
        <f>C47-C60</f>
        <v>0</v>
      </c>
      <c r="D61" s="61">
        <f>D47-D60</f>
        <v>0</v>
      </c>
      <c r="E61" s="61">
        <f>E47-E60</f>
        <v>0</v>
      </c>
    </row>
    <row r="62" spans="2:5" ht="15.75">
      <c r="B62" s="221" t="str">
        <f>CONCATENATE("",E$1-2,"/",E$1-1," Budget Authority Amount:")</f>
        <v>2010/2011 Budget Authority Amount:</v>
      </c>
      <c r="C62" s="213">
        <f>inputOth!B42</f>
        <v>0</v>
      </c>
      <c r="D62" s="213">
        <f>inputPrYr!D27</f>
        <v>0</v>
      </c>
      <c r="E62" s="303">
        <f>IF(E61&lt;0,"See Tab E","")</f>
      </c>
    </row>
    <row r="63" spans="2:5" ht="15.75">
      <c r="B63" s="221"/>
      <c r="C63" s="245">
        <f>IF(C60&gt;C62,"See Tab A","")</f>
      </c>
      <c r="D63" s="245">
        <f>IF(D60&gt;D62,"See Tab C","")</f>
      </c>
      <c r="E63" s="28"/>
    </row>
    <row r="64" spans="2:5" ht="15.75">
      <c r="B64" s="221"/>
      <c r="C64" s="245">
        <f>IF(C61&lt;0,"See Tab B","")</f>
      </c>
      <c r="D64" s="245">
        <f>IF(D61&lt;0,"See Tab D","")</f>
      </c>
      <c r="E64" s="28"/>
    </row>
    <row r="65" spans="2:5" ht="15.75">
      <c r="B65" s="28"/>
      <c r="C65" s="28"/>
      <c r="D65" s="28"/>
      <c r="E65" s="28"/>
    </row>
    <row r="66" spans="2:5" ht="15.75">
      <c r="B66" s="221" t="s">
        <v>62</v>
      </c>
      <c r="C66" s="254">
        <v>11</v>
      </c>
      <c r="D66" s="28"/>
      <c r="E66" s="28"/>
    </row>
  </sheetData>
  <sheetProtection/>
  <conditionalFormatting sqref="C27">
    <cfRule type="cellIs" priority="3" dxfId="82" operator="greaterThan" stopIfTrue="1">
      <formula>$C$29*0.1</formula>
    </cfRule>
  </conditionalFormatting>
  <conditionalFormatting sqref="D27">
    <cfRule type="cellIs" priority="4" dxfId="82" operator="greaterThan" stopIfTrue="1">
      <formula>$D$29*0.1</formula>
    </cfRule>
  </conditionalFormatting>
  <conditionalFormatting sqref="E27">
    <cfRule type="cellIs" priority="5" dxfId="82" operator="greaterThan" stopIfTrue="1">
      <formula>$E$29*0.1</formula>
    </cfRule>
  </conditionalFormatting>
  <conditionalFormatting sqref="C13">
    <cfRule type="cellIs" priority="6" dxfId="82" operator="greaterThan" stopIfTrue="1">
      <formula>$C$15*0.1</formula>
    </cfRule>
  </conditionalFormatting>
  <conditionalFormatting sqref="D13">
    <cfRule type="cellIs" priority="7" dxfId="82" operator="greaterThan" stopIfTrue="1">
      <formula>$D$15*0.1</formula>
    </cfRule>
  </conditionalFormatting>
  <conditionalFormatting sqref="E13">
    <cfRule type="cellIs" priority="8" dxfId="82" operator="greaterThan" stopIfTrue="1">
      <formula>$E$15*0.1</formula>
    </cfRule>
  </conditionalFormatting>
  <conditionalFormatting sqref="C44">
    <cfRule type="cellIs" priority="9" dxfId="82" operator="greaterThan" stopIfTrue="1">
      <formula>$C$46*0.1</formula>
    </cfRule>
  </conditionalFormatting>
  <conditionalFormatting sqref="D44">
    <cfRule type="cellIs" priority="10" dxfId="82" operator="greaterThan" stopIfTrue="1">
      <formula>$D$46*0.1</formula>
    </cfRule>
  </conditionalFormatting>
  <conditionalFormatting sqref="E44">
    <cfRule type="cellIs" priority="11" dxfId="82" operator="greaterThan" stopIfTrue="1">
      <formula>$E$46*0.1</formula>
    </cfRule>
  </conditionalFormatting>
  <conditionalFormatting sqref="C58">
    <cfRule type="cellIs" priority="12" dxfId="82" operator="greaterThan" stopIfTrue="1">
      <formula>$C$60*0.1</formula>
    </cfRule>
  </conditionalFormatting>
  <conditionalFormatting sqref="D58">
    <cfRule type="cellIs" priority="13" dxfId="82" operator="greaterThan" stopIfTrue="1">
      <formula>$D$60*0.1</formula>
    </cfRule>
  </conditionalFormatting>
  <conditionalFormatting sqref="E58">
    <cfRule type="cellIs" priority="14" dxfId="82"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61"/>
  <sheetViews>
    <sheetView tabSelected="1" view="pageBreakPreview" zoomScaleNormal="75" zoomScaleSheetLayoutView="100" zoomScalePageLayoutView="0" workbookViewId="0" topLeftCell="A1">
      <selection activeCell="F36" sqref="F36"/>
    </sheetView>
  </sheetViews>
  <sheetFormatPr defaultColWidth="8.796875" defaultRowHeight="15"/>
  <cols>
    <col min="1" max="1" width="29" style="25" customWidth="1"/>
    <col min="2" max="2" width="15.69921875" style="25" customWidth="1"/>
    <col min="3" max="3" width="9.3984375" style="25" customWidth="1"/>
    <col min="4" max="4" width="16.796875" style="25" customWidth="1"/>
    <col min="5" max="5" width="9.796875" style="25" customWidth="1"/>
    <col min="6" max="6" width="15.796875" style="25" customWidth="1"/>
    <col min="7" max="7" width="13.69921875" style="25" customWidth="1"/>
    <col min="8" max="8" width="9.796875" style="25" customWidth="1"/>
    <col min="9" max="9" width="8.8984375" style="25" customWidth="1"/>
    <col min="10" max="10" width="12.3984375" style="25" customWidth="1"/>
    <col min="11" max="11" width="12.296875" style="25" customWidth="1"/>
    <col min="12" max="12" width="10.59765625" style="25" customWidth="1"/>
    <col min="13" max="13" width="12.09765625" style="25" customWidth="1"/>
    <col min="14" max="16384" width="8.8984375" style="25" customWidth="1"/>
  </cols>
  <sheetData>
    <row r="1" spans="1:8" ht="15.75">
      <c r="A1" s="28"/>
      <c r="B1" s="28"/>
      <c r="C1" s="28"/>
      <c r="D1" s="28"/>
      <c r="E1" s="28"/>
      <c r="F1" s="28"/>
      <c r="G1" s="28"/>
      <c r="H1" s="220">
        <f>inputPrYr!C4</f>
        <v>2012</v>
      </c>
    </row>
    <row r="2" spans="1:9" ht="15.75">
      <c r="A2" s="355" t="s">
        <v>106</v>
      </c>
      <c r="B2" s="355"/>
      <c r="C2" s="355"/>
      <c r="D2" s="355"/>
      <c r="E2" s="355"/>
      <c r="F2" s="355"/>
      <c r="G2" s="355"/>
      <c r="H2" s="355"/>
      <c r="I2" s="256"/>
    </row>
    <row r="3" spans="1:8" ht="15.75">
      <c r="A3" s="28"/>
      <c r="B3" s="28"/>
      <c r="C3" s="28"/>
      <c r="D3" s="28"/>
      <c r="E3" s="28"/>
      <c r="F3" s="28"/>
      <c r="G3" s="28"/>
      <c r="H3" s="28"/>
    </row>
    <row r="4" spans="1:8" ht="15.75">
      <c r="A4" s="400" t="s">
        <v>130</v>
      </c>
      <c r="B4" s="400"/>
      <c r="C4" s="400"/>
      <c r="D4" s="400"/>
      <c r="E4" s="400"/>
      <c r="F4" s="400"/>
      <c r="G4" s="400"/>
      <c r="H4" s="400"/>
    </row>
    <row r="5" spans="1:8" ht="15.75">
      <c r="A5" s="401" t="str">
        <f>inputPrYr!C2</f>
        <v>MITCHELL COUNTY</v>
      </c>
      <c r="B5" s="401"/>
      <c r="C5" s="401"/>
      <c r="D5" s="401"/>
      <c r="E5" s="401"/>
      <c r="F5" s="401"/>
      <c r="G5" s="401"/>
      <c r="H5" s="401"/>
    </row>
    <row r="6" spans="1:8" ht="15.75">
      <c r="A6" s="402" t="str">
        <f>CONCATENATE("will meet on ",inputBudSum!B5," at ",inputBudSum!B7," at ",inputBudSum!B9," for the purpose of hearing and")</f>
        <v>will meet on August 22, 2011 at 9:30 A.M. at Commissioner's Room for the purpose of hearing and</v>
      </c>
      <c r="B6" s="402"/>
      <c r="C6" s="402"/>
      <c r="D6" s="402"/>
      <c r="E6" s="402"/>
      <c r="F6" s="402"/>
      <c r="G6" s="402"/>
      <c r="H6" s="402"/>
    </row>
    <row r="7" spans="1:8" ht="15.75">
      <c r="A7" s="400" t="s">
        <v>203</v>
      </c>
      <c r="B7" s="400"/>
      <c r="C7" s="400"/>
      <c r="D7" s="400"/>
      <c r="E7" s="400"/>
      <c r="F7" s="400"/>
      <c r="G7" s="400"/>
      <c r="H7" s="400"/>
    </row>
    <row r="8" spans="1:8" ht="15.75">
      <c r="A8" s="402" t="str">
        <f>CONCATENATE("Detailed budget information is available at ",inputBudSum!B12," and will be available at this hearing.")</f>
        <v>Detailed budget information is available at Clerk's Office and will be available at this hearing.</v>
      </c>
      <c r="B8" s="402"/>
      <c r="C8" s="402"/>
      <c r="D8" s="402"/>
      <c r="E8" s="402"/>
      <c r="F8" s="402"/>
      <c r="G8" s="402"/>
      <c r="H8" s="402"/>
    </row>
    <row r="9" spans="1:8" ht="15.75">
      <c r="A9" s="35" t="s">
        <v>107</v>
      </c>
      <c r="B9" s="36"/>
      <c r="C9" s="36"/>
      <c r="D9" s="155"/>
      <c r="E9" s="36"/>
      <c r="F9" s="36"/>
      <c r="G9" s="36"/>
      <c r="H9" s="36"/>
    </row>
    <row r="10" spans="1:8" ht="15.75">
      <c r="A10" s="400" t="str">
        <f>CONCATENATE("Proposed Budget ",H1," Expenditures and Amount of ",H1-1," Ad Valorem Tax establish the maximum limits of the ",H1," budget.")</f>
        <v>Proposed Budget 2012 Expenditures and Amount of 2011 Ad Valorem Tax establish the maximum limits of the 2012 budget.</v>
      </c>
      <c r="B10" s="400"/>
      <c r="C10" s="400"/>
      <c r="D10" s="400"/>
      <c r="E10" s="400"/>
      <c r="F10" s="400"/>
      <c r="G10" s="400"/>
      <c r="H10" s="400"/>
    </row>
    <row r="11" spans="1:8" ht="15.75">
      <c r="A11" s="400" t="s">
        <v>151</v>
      </c>
      <c r="B11" s="400"/>
      <c r="C11" s="400"/>
      <c r="D11" s="400"/>
      <c r="E11" s="400"/>
      <c r="F11" s="400"/>
      <c r="G11" s="400"/>
      <c r="H11" s="400"/>
    </row>
    <row r="12" spans="1:9" ht="15.75">
      <c r="A12" s="28"/>
      <c r="B12" s="28"/>
      <c r="C12" s="28"/>
      <c r="D12" s="28"/>
      <c r="E12" s="28"/>
      <c r="F12" s="28"/>
      <c r="G12" s="28"/>
      <c r="H12" s="28"/>
      <c r="I12" s="84"/>
    </row>
    <row r="13" spans="1:8" ht="15.75">
      <c r="A13" s="28"/>
      <c r="B13" s="257" t="str">
        <f>CONCATENATE("Prior Year Actual for ",H1-2,"")</f>
        <v>Prior Year Actual for 2010</v>
      </c>
      <c r="C13" s="158"/>
      <c r="D13" s="258" t="str">
        <f>CONCATENATE("Current Year Estimate for ",H1-1,"")</f>
        <v>Current Year Estimate for 2011</v>
      </c>
      <c r="E13" s="158"/>
      <c r="F13" s="156" t="str">
        <f>CONCATENATE("Proposed Budget Year for ",H1,"")</f>
        <v>Proposed Budget Year for 2012</v>
      </c>
      <c r="G13" s="157"/>
      <c r="H13" s="158"/>
    </row>
    <row r="14" spans="1:8" ht="18.75" customHeight="1">
      <c r="A14" s="27"/>
      <c r="B14" s="246"/>
      <c r="C14" s="159" t="s">
        <v>64</v>
      </c>
      <c r="D14" s="159"/>
      <c r="E14" s="159" t="s">
        <v>64</v>
      </c>
      <c r="F14" s="316" t="s">
        <v>212</v>
      </c>
      <c r="G14" s="399" t="str">
        <f>CONCATENATE("Amount of ",H1-1,"       Ad Valorem Tax")</f>
        <v>Amount of 2011       Ad Valorem Tax</v>
      </c>
      <c r="H14" s="159" t="s">
        <v>65</v>
      </c>
    </row>
    <row r="15" spans="1:8" ht="15.75">
      <c r="A15" s="54" t="s">
        <v>66</v>
      </c>
      <c r="B15" s="197" t="s">
        <v>36</v>
      </c>
      <c r="C15" s="197" t="s">
        <v>67</v>
      </c>
      <c r="D15" s="197" t="s">
        <v>36</v>
      </c>
      <c r="E15" s="197" t="s">
        <v>67</v>
      </c>
      <c r="F15" s="317" t="s">
        <v>213</v>
      </c>
      <c r="G15" s="361"/>
      <c r="H15" s="197" t="s">
        <v>67</v>
      </c>
    </row>
    <row r="16" spans="1:8" ht="15.75">
      <c r="A16" s="68" t="str">
        <f>IF((inputPrYr!$B16&gt;" "),(inputPrYr!$B16),"  ")</f>
        <v>MCO # 1</v>
      </c>
      <c r="B16" s="68">
        <f>IF('MCO#1-Tipton'!$C$33&lt;&gt;0,'MCO#1-Tipton'!$C$33,"  ")</f>
        <v>27856</v>
      </c>
      <c r="C16" s="259">
        <f>IF(inputPrYr!D61&lt;&gt;0,inputPrYr!D61,"  ")</f>
        <v>3.194</v>
      </c>
      <c r="D16" s="68">
        <f>IF('MCO#1-Tipton'!$D$33&lt;&gt;0,'MCO#1-Tipton'!$D$33,"  ")</f>
        <v>57000</v>
      </c>
      <c r="E16" s="259">
        <f>IF(inputPrYr!F16&lt;&gt;0,inputPrYr!F16,"  ")</f>
        <v>6.88</v>
      </c>
      <c r="F16" s="68">
        <f>IF('MCO#1-Tipton'!$E$33&lt;&gt;0,'MCO#1-Tipton'!$E$33,"  ")</f>
        <v>57000</v>
      </c>
      <c r="G16" s="68">
        <f>IF('MCO#1-Tipton'!$E$40&lt;&gt;0,'MCO#1-Tipton'!$E$40,"  ")</f>
        <v>43294.01</v>
      </c>
      <c r="H16" s="259">
        <f>IF('MCO#1-Tipton'!E40&lt;&gt;0,ROUND(G16/$B$53*1000,3),"  ")</f>
        <v>5.876</v>
      </c>
    </row>
    <row r="17" spans="1:8" ht="15.75">
      <c r="A17" s="68" t="str">
        <f>IF((inputPrYr!$B17&gt;" "),(inputPrYr!$B17),"  ")</f>
        <v>Tipton # 2</v>
      </c>
      <c r="B17" s="68">
        <f>IF('MCO#1-Tipton'!$C$70&lt;&gt;0,'MCO#1-Tipton'!$C$70,"  ")</f>
        <v>17362</v>
      </c>
      <c r="C17" s="259">
        <f>IF(inputPrYr!D62&lt;&gt;0,inputPrYr!D62,"  ")</f>
        <v>2.762</v>
      </c>
      <c r="D17" s="68">
        <f>IF('MCO#1-Tipton'!$D$70&lt;&gt;0,'MCO#1-Tipton'!$D$70,"  ")</f>
        <v>24000</v>
      </c>
      <c r="E17" s="259">
        <f>IF(inputPrYr!F17&lt;&gt;0,inputPrYr!F17,"  ")</f>
        <v>2.19</v>
      </c>
      <c r="F17" s="68">
        <f>IF('MCO#1-Tipton'!$E$70&lt;&gt;0,'MCO#1-Tipton'!$E$70,"  ")</f>
        <v>24000</v>
      </c>
      <c r="G17" s="68">
        <f>IF('MCO#1-Tipton'!$E$77&lt;&gt;0,'MCO#1-Tipton'!$E$77,"  ")</f>
        <v>17855</v>
      </c>
      <c r="H17" s="259">
        <f>IF('MCO#1-Tipton'!E77&lt;&gt;0,ROUND(G17/$C$53*1000,3),"  ")</f>
        <v>3.337</v>
      </c>
    </row>
    <row r="18" spans="1:8" ht="15.75">
      <c r="A18" s="68" t="str">
        <f>IF((inputPrYr!$B18&gt;" "),(inputPrYr!$B18),"  ")</f>
        <v>Solomon Rapids F.D. # 3</v>
      </c>
      <c r="B18" s="68">
        <f>IF('Solomon #3'!$C$33&lt;&gt;0,'Solomon #3'!$C$33,"  ")</f>
        <v>140584</v>
      </c>
      <c r="C18" s="259">
        <f>IF(inputPrYr!D63&lt;&gt;0,inputPrYr!D63,"  ")</f>
        <v>2.66</v>
      </c>
      <c r="D18" s="68">
        <f>IF('Solomon #3'!$D$33&lt;&gt;0,'Solomon #3'!$D$33,"  ")</f>
        <v>56655</v>
      </c>
      <c r="E18" s="259">
        <f>IF(inputPrYr!F18&lt;&gt;0,inputPrYr!F18,"  ")</f>
        <v>2.809</v>
      </c>
      <c r="F18" s="68">
        <f>IF('Solomon #3'!$E$33&lt;&gt;0,'Solomon #3'!$E$33,"  ")</f>
        <v>56655</v>
      </c>
      <c r="G18" s="68">
        <f>IF('Solomon #3'!$E$40&lt;&gt;0,'Solomon #3'!$E$40,"  ")</f>
        <v>50205</v>
      </c>
      <c r="H18" s="259">
        <f>IF('Solomon #3'!$E$40&lt;&gt;0,ROUND(G18/$D$53*1000,3),"  ")</f>
        <v>2.886</v>
      </c>
    </row>
    <row r="19" spans="1:8" ht="15.75">
      <c r="A19" s="68" t="str">
        <f>IF((inputPrYr!$B19&gt;" "),(inputPrYr!$B19),"  ")</f>
        <v>  </v>
      </c>
      <c r="B19" s="68"/>
      <c r="C19" s="259"/>
      <c r="D19" s="68"/>
      <c r="E19" s="259"/>
      <c r="F19" s="68"/>
      <c r="G19" s="68"/>
      <c r="H19" s="259"/>
    </row>
    <row r="20" spans="1:8" ht="15.75">
      <c r="A20" s="68" t="str">
        <f>IF((inputPrYr!$B20&gt;" "),(inputPrYr!$B20),"  ")</f>
        <v>  </v>
      </c>
      <c r="B20" s="68"/>
      <c r="C20" s="259"/>
      <c r="D20" s="68"/>
      <c r="E20" s="259"/>
      <c r="F20" s="68"/>
      <c r="G20" s="68"/>
      <c r="H20" s="259"/>
    </row>
    <row r="21" spans="1:8" ht="15.75">
      <c r="A21" s="68" t="str">
        <f>IF((inputPrYr!$B21&gt;" "),(inputPrYr!$B21),"  ")</f>
        <v>  </v>
      </c>
      <c r="B21" s="68"/>
      <c r="C21" s="259"/>
      <c r="D21" s="68"/>
      <c r="E21" s="259"/>
      <c r="F21" s="68"/>
      <c r="G21" s="68"/>
      <c r="H21" s="259"/>
    </row>
    <row r="22" spans="1:8" ht="15.75">
      <c r="A22" s="68" t="str">
        <f>IF((inputPrYr!$B24&gt;" "),(inputPrYr!$B24),"  ")</f>
        <v>MCO F.D. # 1 Spec. Equip.</v>
      </c>
      <c r="B22" s="68">
        <f>IF('MCOEq-TipEq.'!$C$29&lt;&gt;0,'MCOEq-TipEq.'!$C$29,"  ")</f>
        <v>8769</v>
      </c>
      <c r="C22" s="50"/>
      <c r="D22" s="68">
        <f>IF('MCOEq-TipEq.'!$D$29&lt;&gt;0,'MCOEq-TipEq.'!$D$29,"  ")</f>
        <v>2000</v>
      </c>
      <c r="E22" s="50"/>
      <c r="F22" s="68">
        <f>IF('MCOEq-TipEq.'!$E$29&lt;&gt;0,'MCOEq-TipEq.'!$E$29,"  ")</f>
        <v>7130</v>
      </c>
      <c r="G22" s="68"/>
      <c r="H22" s="47"/>
    </row>
    <row r="23" spans="1:8" ht="15.75">
      <c r="A23" s="68" t="str">
        <f>IF((inputPrYr!$B25&gt;" "),(inputPrYr!$B25),"  ")</f>
        <v>Tipton F.D. # 2 Spec. Equip.</v>
      </c>
      <c r="B23" s="68" t="str">
        <f>IF('MCOEq-TipEq.'!$C$60&lt;&gt;0,'MCOEq-TipEq.'!$C$60,"  ")</f>
        <v>  </v>
      </c>
      <c r="C23" s="50"/>
      <c r="D23" s="68">
        <f>IF('MCOEq-TipEq.'!$D$60&lt;&gt;0,'MCOEq-TipEq.'!$D$60,"  ")</f>
        <v>1000</v>
      </c>
      <c r="E23" s="50"/>
      <c r="F23" s="68">
        <f>IF('MCOEq-TipEq.'!$E$60&lt;&gt;0,'MCOEq-TipEq.'!$E$60,"  ")</f>
        <v>1818</v>
      </c>
      <c r="G23" s="68"/>
      <c r="H23" s="47"/>
    </row>
    <row r="24" spans="1:8" ht="15.75">
      <c r="A24" s="68" t="str">
        <f>IF((inputPrYr!$B26&gt;" "),(inputPrYr!$B26),"  ")</f>
        <v>Solomon Rapids F.D. # 3 Spec. Equip.</v>
      </c>
      <c r="B24" s="68" t="str">
        <f>IF(SolomonEq!$C$29&lt;&gt;0,SolomonEq!$C$29,"  ")</f>
        <v>  </v>
      </c>
      <c r="C24" s="50"/>
      <c r="D24" s="68">
        <f>IF(SolomonEq!$D$29&lt;&gt;0,SolomonEq!$D$29,"  ")</f>
        <v>10000</v>
      </c>
      <c r="E24" s="50"/>
      <c r="F24" s="68">
        <f>IF(SolomonEq!$E$29&lt;&gt;0,SolomonEq!$E$29,"  ")</f>
        <v>66252</v>
      </c>
      <c r="G24" s="68"/>
      <c r="H24" s="47"/>
    </row>
    <row r="25" spans="1:8" ht="15.75">
      <c r="A25" s="68" t="str">
        <f>IF((inputPrYr!$B27&gt;" "),(inputPrYr!$B27),"  ")</f>
        <v>  </v>
      </c>
      <c r="B25" s="68" t="str">
        <f>IF(SolomonEq!$C$60&lt;&gt;0,SolomonEq!$C$60,"  ")</f>
        <v>  </v>
      </c>
      <c r="C25" s="50"/>
      <c r="D25" s="68" t="str">
        <f>IF(SolomonEq!$D$60&lt;&gt;0,SolomonEq!$D$60,"  ")</f>
        <v>  </v>
      </c>
      <c r="E25" s="50"/>
      <c r="F25" s="68" t="str">
        <f>IF(SolomonEq!$E$60&lt;&gt;0,SolomonEq!$E$60,"  ")</f>
        <v>  </v>
      </c>
      <c r="G25" s="68"/>
      <c r="H25" s="47"/>
    </row>
    <row r="26" spans="1:13" ht="15.75">
      <c r="A26" s="68" t="str">
        <f>IF((inputPrYr!$B28&gt;" "),(inputPrYr!$B28),"  ")</f>
        <v>  </v>
      </c>
      <c r="B26" s="68"/>
      <c r="C26" s="50"/>
      <c r="D26" s="68"/>
      <c r="E26" s="50"/>
      <c r="F26" s="68"/>
      <c r="G26" s="68"/>
      <c r="H26" s="47"/>
      <c r="J26" s="322"/>
      <c r="K26" s="318"/>
      <c r="L26" s="318"/>
      <c r="M26" s="323"/>
    </row>
    <row r="27" spans="1:13" ht="15.75">
      <c r="A27" s="68" t="str">
        <f>IF((inputPrYr!$B29&gt;" "),(inputPrYr!$B29),"  ")</f>
        <v>  </v>
      </c>
      <c r="B27" s="68"/>
      <c r="C27" s="50"/>
      <c r="D27" s="68"/>
      <c r="E27" s="50"/>
      <c r="F27" s="68"/>
      <c r="G27" s="68"/>
      <c r="H27" s="47"/>
      <c r="J27" s="322" t="str">
        <f>CONCATENATE("",H1-1," Mill Rate Was:")</f>
        <v>2011 Mill Rate Was:</v>
      </c>
      <c r="K27" s="318"/>
      <c r="L27" s="318"/>
      <c r="M27" s="324">
        <f>E32</f>
        <v>11.879000000000001</v>
      </c>
    </row>
    <row r="28" spans="1:13" ht="15.75">
      <c r="A28" s="129" t="str">
        <f>IF((inputPrYr!$B33&gt;"  "),(#REF!),"  ")</f>
        <v>  </v>
      </c>
      <c r="B28" s="68"/>
      <c r="C28" s="50"/>
      <c r="D28" s="68"/>
      <c r="E28" s="50"/>
      <c r="F28" s="68"/>
      <c r="G28" s="68"/>
      <c r="H28" s="47"/>
      <c r="J28" s="325" t="str">
        <f>CONCATENATE("",H1," Tax Levy Fund Expenditures Must Be")</f>
        <v>2012 Tax Levy Fund Expenditures Must Be</v>
      </c>
      <c r="K28" s="326"/>
      <c r="L28" s="326"/>
      <c r="M28" s="323"/>
    </row>
    <row r="29" spans="1:13" ht="15.75">
      <c r="A29" s="129" t="str">
        <f>IF((inputPrYr!$B39&gt;"  "),(#REF!),"  ")</f>
        <v>  </v>
      </c>
      <c r="B29" s="68"/>
      <c r="C29" s="50"/>
      <c r="D29" s="68"/>
      <c r="E29" s="50"/>
      <c r="F29" s="68"/>
      <c r="G29" s="68"/>
      <c r="H29" s="47"/>
      <c r="J29" s="325" t="str">
        <f>IF(M29&gt;0,"Increased By:","")</f>
        <v>Increased By:</v>
      </c>
      <c r="K29" s="326"/>
      <c r="L29" s="326"/>
      <c r="M29" s="335">
        <f>IF(M36&lt;0,M36*-1,0)</f>
        <v>246400.99</v>
      </c>
    </row>
    <row r="30" spans="1:13" ht="15.75">
      <c r="A30" s="129" t="str">
        <f>IF((inputPrYr!$B45&gt;"  "),(#REF!),"  ")</f>
        <v>  </v>
      </c>
      <c r="B30" s="68"/>
      <c r="C30" s="50"/>
      <c r="D30" s="68"/>
      <c r="E30" s="50"/>
      <c r="F30" s="68"/>
      <c r="G30" s="68"/>
      <c r="H30" s="47"/>
      <c r="J30" s="336">
        <f>IF(M30&lt;0,"Reduced By:","")</f>
      </c>
      <c r="K30" s="337"/>
      <c r="L30" s="337"/>
      <c r="M30" s="338">
        <f>IF(M36&gt;0,M36*-1,0)</f>
        <v>0</v>
      </c>
    </row>
    <row r="31" spans="1:13" ht="16.5" thickBot="1">
      <c r="A31" s="129" t="str">
        <f>IF((inputPrYr!$B51&gt;"  "),(#REF!),"  ")</f>
        <v>  </v>
      </c>
      <c r="B31" s="313"/>
      <c r="C31" s="312"/>
      <c r="D31" s="313"/>
      <c r="E31" s="312"/>
      <c r="F31" s="313"/>
      <c r="G31" s="313"/>
      <c r="H31" s="311"/>
      <c r="J31" s="329"/>
      <c r="K31" s="329"/>
      <c r="L31" s="329"/>
      <c r="M31" s="329"/>
    </row>
    <row r="32" spans="1:13" ht="15.75">
      <c r="A32" s="46" t="s">
        <v>47</v>
      </c>
      <c r="B32" s="315">
        <f>SUM(B16:B31)</f>
        <v>194571</v>
      </c>
      <c r="C32" s="314">
        <f>SUM(C16:C21)</f>
        <v>8.616</v>
      </c>
      <c r="D32" s="315">
        <f>SUM(D16:D31)</f>
        <v>150655</v>
      </c>
      <c r="E32" s="314">
        <f>SUM(E16:E18)</f>
        <v>11.879000000000001</v>
      </c>
      <c r="F32" s="315">
        <f>SUM(F16:F31)</f>
        <v>212855</v>
      </c>
      <c r="G32" s="315">
        <f>SUM(G16:G21)</f>
        <v>111354.01000000001</v>
      </c>
      <c r="H32" s="314">
        <f>SUM(H16:H21)</f>
        <v>12.099</v>
      </c>
      <c r="J32" s="393" t="str">
        <f>CONCATENATE("Impact On Keeping The Same Mill Rate As For ",H1-1,"")</f>
        <v>Impact On Keeping The Same Mill Rate As For 2011</v>
      </c>
      <c r="K32" s="394"/>
      <c r="L32" s="394"/>
      <c r="M32" s="395"/>
    </row>
    <row r="33" spans="1:13" ht="15.75">
      <c r="A33" s="27" t="s">
        <v>68</v>
      </c>
      <c r="B33" s="260">
        <f>transfers!C29</f>
        <v>25000</v>
      </c>
      <c r="C33" s="261"/>
      <c r="D33" s="260">
        <f>transfers!D29</f>
        <v>12500</v>
      </c>
      <c r="E33" s="248"/>
      <c r="F33" s="260">
        <f>transfers!E29</f>
        <v>12500</v>
      </c>
      <c r="G33" s="28"/>
      <c r="H33" s="66"/>
      <c r="J33" s="322"/>
      <c r="K33" s="318"/>
      <c r="L33" s="318"/>
      <c r="M33" s="323"/>
    </row>
    <row r="34" spans="1:13" ht="16.5" thickBot="1">
      <c r="A34" s="27" t="s">
        <v>69</v>
      </c>
      <c r="B34" s="263">
        <f>B32-B33</f>
        <v>169571</v>
      </c>
      <c r="C34" s="28"/>
      <c r="D34" s="263">
        <f>D32-D33</f>
        <v>138155</v>
      </c>
      <c r="E34" s="261"/>
      <c r="F34" s="263">
        <f>F32-F33</f>
        <v>200355</v>
      </c>
      <c r="G34" s="28"/>
      <c r="H34" s="66"/>
      <c r="J34" s="322" t="str">
        <f>CONCATENATE("",H1," Ad Valorem Tax Revenue:")</f>
        <v>2012 Ad Valorem Tax Revenue:</v>
      </c>
      <c r="K34" s="318"/>
      <c r="L34" s="318"/>
      <c r="M34" s="319">
        <f>G32</f>
        <v>111354.01000000001</v>
      </c>
    </row>
    <row r="35" spans="1:13" ht="16.5" thickTop="1">
      <c r="A35" s="27" t="s">
        <v>70</v>
      </c>
      <c r="B35" s="315">
        <f>inputPrYr!F69</f>
        <v>78778</v>
      </c>
      <c r="C35" s="28"/>
      <c r="D35" s="315">
        <f>inputPrYr!E22</f>
        <v>106644</v>
      </c>
      <c r="E35" s="28"/>
      <c r="F35" s="315">
        <f>G32</f>
        <v>111354.01000000001</v>
      </c>
      <c r="G35" s="28"/>
      <c r="H35" s="66"/>
      <c r="J35" s="322" t="str">
        <f>CONCATENATE("",H1-1," Ad Valorem Tax Revenue:")</f>
        <v>2011 Ad Valorem Tax Revenue:</v>
      </c>
      <c r="K35" s="318"/>
      <c r="L35" s="318"/>
      <c r="M35" s="330">
        <f>ROUND(F36*M27/1000,0)</f>
        <v>357755</v>
      </c>
    </row>
    <row r="36" spans="1:13" ht="15.75">
      <c r="A36" s="27" t="s">
        <v>71</v>
      </c>
      <c r="B36" s="68">
        <f>inputPrYr!F70</f>
        <v>27974094</v>
      </c>
      <c r="C36" s="28"/>
      <c r="D36" s="68">
        <f>inputPrYr!F56</f>
        <v>28723920</v>
      </c>
      <c r="E36" s="28"/>
      <c r="F36" s="68">
        <f>SUM(B53:D53)</f>
        <v>30116626</v>
      </c>
      <c r="G36" s="28"/>
      <c r="H36" s="66"/>
      <c r="J36" s="327" t="s">
        <v>219</v>
      </c>
      <c r="K36" s="328"/>
      <c r="L36" s="328"/>
      <c r="M36" s="320">
        <f>SUM(M34-M35)</f>
        <v>-246400.99</v>
      </c>
    </row>
    <row r="37" spans="1:13" ht="15.75">
      <c r="A37" s="28"/>
      <c r="B37" s="28"/>
      <c r="C37" s="28"/>
      <c r="D37" s="28"/>
      <c r="E37" s="28"/>
      <c r="F37" s="28"/>
      <c r="G37" s="28"/>
      <c r="H37" s="66"/>
      <c r="J37" s="321"/>
      <c r="K37" s="321"/>
      <c r="L37" s="321"/>
      <c r="M37" s="329"/>
    </row>
    <row r="38" spans="1:13" ht="15.75">
      <c r="A38" s="27" t="s">
        <v>72</v>
      </c>
      <c r="B38" s="28"/>
      <c r="C38" s="28"/>
      <c r="D38" s="28"/>
      <c r="E38" s="28"/>
      <c r="F38" s="28"/>
      <c r="G38" s="28"/>
      <c r="H38" s="78"/>
      <c r="J38" s="393" t="s">
        <v>220</v>
      </c>
      <c r="K38" s="396"/>
      <c r="L38" s="396"/>
      <c r="M38" s="397"/>
    </row>
    <row r="39" spans="1:13" ht="15.75">
      <c r="A39" s="27" t="s">
        <v>73</v>
      </c>
      <c r="B39" s="262">
        <f>H1-3</f>
        <v>2009</v>
      </c>
      <c r="C39" s="28"/>
      <c r="D39" s="262">
        <f>H1-2</f>
        <v>2010</v>
      </c>
      <c r="E39" s="28"/>
      <c r="F39" s="262">
        <f>H1-1</f>
        <v>2011</v>
      </c>
      <c r="G39" s="28"/>
      <c r="H39" s="78"/>
      <c r="J39" s="322"/>
      <c r="K39" s="318"/>
      <c r="L39" s="318"/>
      <c r="M39" s="323"/>
    </row>
    <row r="40" spans="1:13" ht="15.75">
      <c r="A40" s="27" t="s">
        <v>74</v>
      </c>
      <c r="B40" s="68">
        <f>inputPrYr!D74</f>
        <v>0</v>
      </c>
      <c r="C40" s="28"/>
      <c r="D40" s="68">
        <f>inputPrYr!E74</f>
        <v>0</v>
      </c>
      <c r="E40" s="28"/>
      <c r="F40" s="68">
        <f>debt!F19</f>
        <v>0</v>
      </c>
      <c r="G40" s="28"/>
      <c r="H40" s="78"/>
      <c r="J40" s="322" t="str">
        <f>CONCATENATE("Current ",H1," Estimated Mill Rate:")</f>
        <v>Current 2012 Estimated Mill Rate:</v>
      </c>
      <c r="K40" s="318"/>
      <c r="L40" s="318"/>
      <c r="M40" s="324">
        <f>H32</f>
        <v>12.099</v>
      </c>
    </row>
    <row r="41" spans="1:13" ht="15.75">
      <c r="A41" s="27" t="s">
        <v>75</v>
      </c>
      <c r="B41" s="68">
        <f>inputPrYr!D75</f>
        <v>0</v>
      </c>
      <c r="C41" s="28"/>
      <c r="D41" s="68">
        <f>inputPrYr!E75</f>
        <v>0</v>
      </c>
      <c r="E41" s="28"/>
      <c r="F41" s="68">
        <f>debt!F27</f>
        <v>0</v>
      </c>
      <c r="G41" s="28"/>
      <c r="H41" s="78"/>
      <c r="J41" s="322" t="str">
        <f>CONCATENATE("Desired ",H1," Mill Rate:")</f>
        <v>Desired 2012 Mill Rate:</v>
      </c>
      <c r="K41" s="318"/>
      <c r="L41" s="318"/>
      <c r="M41" s="331">
        <v>0</v>
      </c>
    </row>
    <row r="42" spans="1:13" ht="15.75">
      <c r="A42" s="27" t="s">
        <v>61</v>
      </c>
      <c r="B42" s="68">
        <f>inputPrYr!D76</f>
        <v>0</v>
      </c>
      <c r="C42" s="28"/>
      <c r="D42" s="68">
        <f>inputPrYr!E76</f>
        <v>0</v>
      </c>
      <c r="E42" s="28"/>
      <c r="F42" s="68">
        <f>debt!F36</f>
        <v>0</v>
      </c>
      <c r="G42" s="28"/>
      <c r="H42" s="78"/>
      <c r="J42" s="322" t="str">
        <f>CONCATENATE("",H1," Ad Valorem Tax:")</f>
        <v>2012 Ad Valorem Tax:</v>
      </c>
      <c r="K42" s="318"/>
      <c r="L42" s="318"/>
      <c r="M42" s="330">
        <f>ROUND(F36*M41/1000,0)</f>
        <v>0</v>
      </c>
    </row>
    <row r="43" spans="1:13" ht="15.75">
      <c r="A43" s="27" t="s">
        <v>152</v>
      </c>
      <c r="B43" s="68">
        <f>inputPrYr!D77</f>
        <v>0</v>
      </c>
      <c r="C43" s="28"/>
      <c r="D43" s="68">
        <f>inputPrYr!E77</f>
        <v>0</v>
      </c>
      <c r="E43" s="28"/>
      <c r="F43" s="68">
        <f>lpform!F37</f>
        <v>96000</v>
      </c>
      <c r="G43" s="28"/>
      <c r="H43" s="78"/>
      <c r="J43" s="327" t="str">
        <f>CONCATENATE("",H1," Tax Levy Fund Exp. Changed By:")</f>
        <v>2012 Tax Levy Fund Exp. Changed By:</v>
      </c>
      <c r="K43" s="328"/>
      <c r="L43" s="328"/>
      <c r="M43" s="320">
        <f>IF(M41=0,0,(M42-G32))</f>
        <v>0</v>
      </c>
    </row>
    <row r="44" spans="1:8" ht="16.5" thickBot="1">
      <c r="A44" s="27" t="s">
        <v>76</v>
      </c>
      <c r="B44" s="332">
        <f>SUM(B40:B43)</f>
        <v>0</v>
      </c>
      <c r="C44" s="28"/>
      <c r="D44" s="332">
        <f>SUM(D40:D43)</f>
        <v>0</v>
      </c>
      <c r="E44" s="28"/>
      <c r="F44" s="332">
        <f>SUM(F40:F43)</f>
        <v>96000</v>
      </c>
      <c r="G44" s="28"/>
      <c r="H44" s="78"/>
    </row>
    <row r="45" spans="1:8" ht="16.5" thickTop="1">
      <c r="A45" s="27" t="s">
        <v>77</v>
      </c>
      <c r="B45" s="28"/>
      <c r="C45" s="28"/>
      <c r="D45" s="28"/>
      <c r="E45" s="28"/>
      <c r="F45" s="28"/>
      <c r="G45" s="28"/>
      <c r="H45" s="78"/>
    </row>
    <row r="46" spans="1:8" ht="15.75">
      <c r="A46" s="27"/>
      <c r="B46" s="28"/>
      <c r="C46" s="28"/>
      <c r="D46" s="28"/>
      <c r="E46" s="28"/>
      <c r="F46" s="28"/>
      <c r="G46" s="28"/>
      <c r="H46" s="78"/>
    </row>
    <row r="47" spans="1:8" ht="15.75">
      <c r="A47" s="27"/>
      <c r="B47" s="55"/>
      <c r="C47" s="55"/>
      <c r="D47" s="55"/>
      <c r="E47" s="28"/>
      <c r="F47" s="28"/>
      <c r="G47" s="28"/>
      <c r="H47" s="78"/>
    </row>
    <row r="48" spans="1:8" ht="15.75">
      <c r="A48" s="347" t="s">
        <v>255</v>
      </c>
      <c r="B48" s="79" t="s">
        <v>256</v>
      </c>
      <c r="C48" s="79" t="s">
        <v>257</v>
      </c>
      <c r="D48" s="79" t="s">
        <v>258</v>
      </c>
      <c r="E48" s="28"/>
      <c r="F48" s="28"/>
      <c r="G48" s="28"/>
      <c r="H48" s="78"/>
    </row>
    <row r="49" spans="1:8" ht="15.75">
      <c r="A49" s="44" t="s">
        <v>259</v>
      </c>
      <c r="B49" s="348">
        <v>6263211</v>
      </c>
      <c r="C49" s="348">
        <v>4193641</v>
      </c>
      <c r="D49" s="348">
        <v>17397688</v>
      </c>
      <c r="E49" s="28"/>
      <c r="F49" s="28"/>
      <c r="G49" s="28"/>
      <c r="H49" s="78"/>
    </row>
    <row r="50" spans="1:8" ht="15.75">
      <c r="A50" s="44" t="s">
        <v>260</v>
      </c>
      <c r="B50" s="348">
        <v>787098</v>
      </c>
      <c r="C50" s="348"/>
      <c r="D50" s="348"/>
      <c r="E50" s="28"/>
      <c r="F50" s="28"/>
      <c r="G50" s="28"/>
      <c r="H50" s="78"/>
    </row>
    <row r="51" spans="1:8" ht="15.75">
      <c r="A51" s="44" t="s">
        <v>261</v>
      </c>
      <c r="B51" s="348">
        <v>317788</v>
      </c>
      <c r="C51" s="348"/>
      <c r="D51" s="348"/>
      <c r="E51" s="28"/>
      <c r="F51" s="28"/>
      <c r="G51" s="28"/>
      <c r="H51" s="78"/>
    </row>
    <row r="52" spans="1:8" ht="15.75">
      <c r="A52" s="44" t="s">
        <v>262</v>
      </c>
      <c r="B52" s="349"/>
      <c r="C52" s="349">
        <v>1157200</v>
      </c>
      <c r="D52" s="349"/>
      <c r="E52" s="28"/>
      <c r="F52" s="28"/>
      <c r="G52" s="28"/>
      <c r="H52" s="78"/>
    </row>
    <row r="53" spans="1:8" ht="16.5" thickBot="1">
      <c r="A53" s="27"/>
      <c r="B53" s="350">
        <f>SUM(B49:B52)</f>
        <v>7368097</v>
      </c>
      <c r="C53" s="350">
        <f>SUM(C49:C52)</f>
        <v>5350841</v>
      </c>
      <c r="D53" s="350">
        <f>SUM(D49:D52)</f>
        <v>17397688</v>
      </c>
      <c r="E53" s="28"/>
      <c r="F53" s="28"/>
      <c r="G53" s="28"/>
      <c r="H53" s="78"/>
    </row>
    <row r="54" spans="1:8" ht="16.5" thickTop="1">
      <c r="A54" s="27"/>
      <c r="B54" s="28"/>
      <c r="C54" s="28"/>
      <c r="D54" s="28"/>
      <c r="E54" s="28"/>
      <c r="F54" s="28"/>
      <c r="G54" s="28"/>
      <c r="H54" s="78"/>
    </row>
    <row r="55" spans="1:8" ht="15.75">
      <c r="A55" s="27"/>
      <c r="B55" s="28"/>
      <c r="C55" s="28"/>
      <c r="D55" s="28"/>
      <c r="E55" s="28"/>
      <c r="F55" s="28"/>
      <c r="G55" s="28"/>
      <c r="H55" s="78"/>
    </row>
    <row r="56" spans="1:8" ht="15.75">
      <c r="A56" s="27"/>
      <c r="B56" s="28"/>
      <c r="C56" s="28"/>
      <c r="D56" s="28"/>
      <c r="E56" s="28"/>
      <c r="F56" s="28"/>
      <c r="G56" s="28"/>
      <c r="H56" s="78"/>
    </row>
    <row r="57" spans="1:8" ht="15.75">
      <c r="A57" s="28"/>
      <c r="B57" s="28"/>
      <c r="C57" s="28"/>
      <c r="D57" s="28"/>
      <c r="E57" s="28"/>
      <c r="F57" s="28"/>
      <c r="G57" s="28"/>
      <c r="H57" s="78"/>
    </row>
    <row r="58" spans="1:8" ht="15.75">
      <c r="A58" s="398"/>
      <c r="B58" s="398"/>
      <c r="C58" s="28"/>
      <c r="D58" s="28"/>
      <c r="E58" s="28"/>
      <c r="F58" s="28"/>
      <c r="G58" s="28"/>
      <c r="H58" s="78"/>
    </row>
    <row r="59" spans="1:8" ht="15.75">
      <c r="A59" s="155" t="s">
        <v>78</v>
      </c>
      <c r="B59" s="36"/>
      <c r="C59" s="28"/>
      <c r="D59" s="28"/>
      <c r="E59" s="28"/>
      <c r="F59" s="28"/>
      <c r="G59" s="28"/>
      <c r="H59" s="78"/>
    </row>
    <row r="60" spans="1:8" ht="15.75">
      <c r="A60" s="28"/>
      <c r="B60" s="28"/>
      <c r="C60" s="28"/>
      <c r="D60" s="221" t="s">
        <v>56</v>
      </c>
      <c r="E60" s="264">
        <v>12</v>
      </c>
      <c r="F60" s="28"/>
      <c r="G60" s="28"/>
      <c r="H60" s="78"/>
    </row>
    <row r="61" spans="1:8" ht="15.75">
      <c r="A61" s="84"/>
      <c r="D61" s="84"/>
      <c r="E61" s="84"/>
      <c r="F61" s="84"/>
      <c r="G61" s="84"/>
      <c r="H61" s="84"/>
    </row>
  </sheetData>
  <sheetProtection/>
  <mergeCells count="12">
    <mergeCell ref="A7:H7"/>
    <mergeCell ref="A8:H8"/>
    <mergeCell ref="J32:M32"/>
    <mergeCell ref="J38:M38"/>
    <mergeCell ref="A58:B58"/>
    <mergeCell ref="G14:G15"/>
    <mergeCell ref="A2:H2"/>
    <mergeCell ref="A4:H4"/>
    <mergeCell ref="A5:H5"/>
    <mergeCell ref="A6:H6"/>
    <mergeCell ref="A10:H10"/>
    <mergeCell ref="A11:H11"/>
  </mergeCells>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16.xml><?xml version="1.0" encoding="utf-8"?>
<worksheet xmlns="http://schemas.openxmlformats.org/spreadsheetml/2006/main" xmlns:r="http://schemas.openxmlformats.org/officeDocument/2006/relationships">
  <dimension ref="A1:H57"/>
  <sheetViews>
    <sheetView view="pageBreakPreview" zoomScale="97" zoomScaleSheetLayoutView="97" zoomScalePageLayoutView="0" workbookViewId="0" topLeftCell="A1">
      <selection activeCell="E56" sqref="E56"/>
    </sheetView>
  </sheetViews>
  <sheetFormatPr defaultColWidth="9.796875" defaultRowHeight="15"/>
  <cols>
    <col min="1" max="16384" width="9.796875" style="8" customWidth="1"/>
  </cols>
  <sheetData>
    <row r="1" spans="1:8" ht="11.25" customHeight="1">
      <c r="A1" s="4"/>
      <c r="B1" s="5"/>
      <c r="C1" s="5"/>
      <c r="D1" s="5"/>
      <c r="E1" s="5"/>
      <c r="F1" s="5"/>
      <c r="G1" s="6"/>
      <c r="H1" s="7"/>
    </row>
    <row r="2" spans="1:8" ht="15.75" customHeight="1">
      <c r="A2" s="403" t="s">
        <v>153</v>
      </c>
      <c r="B2" s="403"/>
      <c r="C2" s="403"/>
      <c r="D2" s="403"/>
      <c r="E2" s="403"/>
      <c r="F2" s="403"/>
      <c r="G2" s="403"/>
      <c r="H2" s="403"/>
    </row>
    <row r="3" spans="1:8" ht="9" customHeight="1">
      <c r="A3" s="4"/>
      <c r="B3" s="19"/>
      <c r="C3" s="19"/>
      <c r="D3" s="19"/>
      <c r="E3" s="19"/>
      <c r="F3" s="19"/>
      <c r="G3" s="9"/>
      <c r="H3" s="20"/>
    </row>
    <row r="4" spans="1:8" ht="15.75" customHeight="1">
      <c r="A4" s="404" t="s">
        <v>154</v>
      </c>
      <c r="B4" s="404"/>
      <c r="C4" s="404"/>
      <c r="D4" s="404"/>
      <c r="E4" s="404"/>
      <c r="F4" s="404"/>
      <c r="G4" s="404"/>
      <c r="H4" s="404"/>
    </row>
    <row r="5" spans="1:8" ht="9" customHeight="1">
      <c r="A5" s="10"/>
      <c r="B5" s="19"/>
      <c r="C5" s="19"/>
      <c r="D5" s="19"/>
      <c r="E5" s="19"/>
      <c r="F5" s="19"/>
      <c r="G5" s="19"/>
      <c r="H5" s="20"/>
    </row>
    <row r="6" spans="1:8" ht="15.75" customHeight="1">
      <c r="A6" s="11" t="str">
        <f>CONCATENATE("A resolution expressing the property taxation policy of the Board of ",(inputPrYr!C2)," Commissioners")</f>
        <v>A resolution expressing the property taxation policy of the Board of MITCHELL COUNTY Commissioners</v>
      </c>
      <c r="B6" s="19"/>
      <c r="C6" s="19"/>
      <c r="D6" s="19"/>
      <c r="E6" s="19"/>
      <c r="F6" s="19"/>
      <c r="G6" s="19"/>
      <c r="H6" s="20"/>
    </row>
    <row r="7" spans="1:8" ht="15.75" customHeight="1">
      <c r="A7" s="11" t="str">
        <f>CONCATENATE("with respect to financing the ",inputPrYr!C4," annual budget for ",(inputPrYr!E2)," .")</f>
        <v>with respect to financing the 2012 annual budget for  .</v>
      </c>
      <c r="B7" s="19"/>
      <c r="C7" s="19"/>
      <c r="D7" s="19"/>
      <c r="E7" s="19"/>
      <c r="F7" s="19"/>
      <c r="G7" s="19"/>
      <c r="H7" s="20"/>
    </row>
    <row r="8" spans="1:8" ht="9" customHeight="1">
      <c r="A8" s="4"/>
      <c r="B8" s="19"/>
      <c r="C8" s="19"/>
      <c r="D8" s="19"/>
      <c r="E8" s="19"/>
      <c r="F8" s="19"/>
      <c r="G8" s="19"/>
      <c r="H8" s="20"/>
    </row>
    <row r="9" spans="1:8" ht="15.75" customHeight="1">
      <c r="A9" s="12" t="str">
        <f>CONCATENATE("Whereas, K.S.A. 79-2925b provides that a resolution be adopted if property taxes levied to finance the ",inputPrYr!C4,"")</f>
        <v>Whereas, K.S.A. 79-2925b provides that a resolution be adopted if property taxes levied to finance the 2012</v>
      </c>
      <c r="B9" s="19"/>
      <c r="C9" s="19"/>
      <c r="D9" s="19"/>
      <c r="E9" s="19"/>
      <c r="F9" s="19"/>
      <c r="G9" s="19"/>
      <c r="H9" s="20"/>
    </row>
    <row r="10" spans="1:8" ht="15.75" customHeight="1">
      <c r="A10" s="406" t="str">
        <f>CONCATENATE("",(inputPrYr!C2)," budget exceed the amount levied to finance the ",inputPrYr!C4-1," ",(inputPrYr!C2)," ",A16,)</f>
        <v>MITCHELL COUNTY budget exceed the amount levied to finance the 2011 MITCHELL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406"/>
      <c r="C10" s="406"/>
      <c r="D10" s="406"/>
      <c r="E10" s="406"/>
      <c r="F10" s="406"/>
      <c r="G10" s="406"/>
      <c r="H10" s="406"/>
    </row>
    <row r="11" spans="1:8" ht="15.75" customHeight="1">
      <c r="A11" s="406"/>
      <c r="B11" s="406"/>
      <c r="C11" s="406"/>
      <c r="D11" s="406"/>
      <c r="E11" s="406"/>
      <c r="F11" s="406"/>
      <c r="G11" s="406"/>
      <c r="H11" s="406"/>
    </row>
    <row r="12" spans="1:8" ht="15.75" customHeight="1">
      <c r="A12" s="406"/>
      <c r="B12" s="406"/>
      <c r="C12" s="406"/>
      <c r="D12" s="406"/>
      <c r="E12" s="406"/>
      <c r="F12" s="406"/>
      <c r="G12" s="406"/>
      <c r="H12" s="406"/>
    </row>
    <row r="13" spans="1:8" ht="15.75" customHeight="1">
      <c r="A13" s="406"/>
      <c r="B13" s="406"/>
      <c r="C13" s="406"/>
      <c r="D13" s="406"/>
      <c r="E13" s="406"/>
      <c r="F13" s="406"/>
      <c r="G13" s="406"/>
      <c r="H13" s="406"/>
    </row>
    <row r="14" spans="1:8" ht="15.75" customHeight="1">
      <c r="A14" s="406"/>
      <c r="B14" s="406"/>
      <c r="C14" s="406"/>
      <c r="D14" s="406"/>
      <c r="E14" s="406"/>
      <c r="F14" s="406"/>
      <c r="G14" s="406"/>
      <c r="H14" s="406"/>
    </row>
    <row r="15" spans="1:8" ht="15.75" customHeight="1">
      <c r="A15" s="406"/>
      <c r="B15" s="406"/>
      <c r="C15" s="406"/>
      <c r="D15" s="406"/>
      <c r="E15" s="406"/>
      <c r="F15" s="406"/>
      <c r="G15" s="406"/>
      <c r="H15" s="406"/>
    </row>
    <row r="16" spans="1:8" ht="9" customHeight="1">
      <c r="A16" s="21" t="s">
        <v>167</v>
      </c>
      <c r="B16" s="19"/>
      <c r="C16" s="19"/>
      <c r="D16" s="19"/>
      <c r="E16" s="19"/>
      <c r="F16" s="19"/>
      <c r="G16" s="19"/>
      <c r="H16" s="20" t="s">
        <v>63</v>
      </c>
    </row>
    <row r="17" spans="1:8" ht="15.75" customHeight="1">
      <c r="A17" s="406" t="s">
        <v>155</v>
      </c>
      <c r="B17" s="406"/>
      <c r="C17" s="406"/>
      <c r="D17" s="406"/>
      <c r="E17" s="406"/>
      <c r="F17" s="406"/>
      <c r="G17" s="406"/>
      <c r="H17" s="406"/>
    </row>
    <row r="18" spans="1:8" ht="15.75" customHeight="1">
      <c r="A18" s="406"/>
      <c r="B18" s="406"/>
      <c r="C18" s="406"/>
      <c r="D18" s="406"/>
      <c r="E18" s="406"/>
      <c r="F18" s="406"/>
      <c r="G18" s="406"/>
      <c r="H18" s="406"/>
    </row>
    <row r="19" spans="1:8" ht="9" customHeight="1">
      <c r="A19" s="10"/>
      <c r="B19" s="19"/>
      <c r="C19" s="19"/>
      <c r="D19" s="19"/>
      <c r="E19" s="19"/>
      <c r="F19" s="19"/>
      <c r="G19" s="19"/>
      <c r="H19" s="20"/>
    </row>
    <row r="20" spans="1:8" ht="15.75" customHeight="1">
      <c r="A20" s="406" t="str">
        <f>CONCATENATE("Whereas, ",(inputPrYr!C2)," provides the essential services to protect the health, safety, and well being of the citizens of the county; and")</f>
        <v>Whereas, MITCHELL COUNTY provides the essential services to protect the health, safety, and well being of the citizens of the county; and</v>
      </c>
      <c r="B20" s="406"/>
      <c r="C20" s="406"/>
      <c r="D20" s="406"/>
      <c r="E20" s="406"/>
      <c r="F20" s="406"/>
      <c r="G20" s="406"/>
      <c r="H20" s="406"/>
    </row>
    <row r="21" spans="1:8" ht="15.75" customHeight="1">
      <c r="A21" s="406"/>
      <c r="B21" s="406"/>
      <c r="C21" s="406"/>
      <c r="D21" s="406"/>
      <c r="E21" s="406"/>
      <c r="F21" s="406"/>
      <c r="G21" s="406"/>
      <c r="H21" s="406"/>
    </row>
    <row r="22" spans="1:8" ht="9" customHeight="1">
      <c r="A22" s="13"/>
      <c r="B22" s="19"/>
      <c r="C22" s="19"/>
      <c r="D22" s="19"/>
      <c r="E22" s="19"/>
      <c r="F22" s="19"/>
      <c r="G22" s="19"/>
      <c r="H22" s="20"/>
    </row>
    <row r="23" spans="1:8" ht="15.75" customHeight="1">
      <c r="A23" s="13" t="s">
        <v>156</v>
      </c>
      <c r="B23" s="19"/>
      <c r="C23" s="19"/>
      <c r="D23" s="19"/>
      <c r="E23" s="19"/>
      <c r="F23" s="19"/>
      <c r="G23" s="19"/>
      <c r="H23" s="20"/>
    </row>
    <row r="24" spans="1:8" ht="9" customHeight="1">
      <c r="A24" s="10"/>
      <c r="B24" s="19"/>
      <c r="C24" s="19"/>
      <c r="D24" s="19"/>
      <c r="E24" s="19"/>
      <c r="F24" s="19"/>
      <c r="G24" s="19"/>
      <c r="H24" s="20"/>
    </row>
    <row r="25" spans="1:8" ht="15.75" customHeight="1">
      <c r="A25" s="406" t="str">
        <f>CONCATENATE("Whereas, the ",inputPrYr!C4-1," Kansas State Legislature failed to fulfill its obligations in regard to the statutory funding of demand transfers and, by significantly ",A28," ",(inputPrYr!C2),B28)</f>
        <v>Whereas, the 2011 Kansas State Legislature failed to fulfill its obligations in regard to the statutory funding of demand transfers and, by significantly limiting state revenue sharing payments to counties, has contributed to higher county property tax levies to finance the 2012 MITCHELL COUNTY budget.</v>
      </c>
      <c r="B25" s="406"/>
      <c r="C25" s="406"/>
      <c r="D25" s="406"/>
      <c r="E25" s="406"/>
      <c r="F25" s="406"/>
      <c r="G25" s="406"/>
      <c r="H25" s="406"/>
    </row>
    <row r="26" spans="1:8" ht="15.75" customHeight="1">
      <c r="A26" s="406"/>
      <c r="B26" s="406"/>
      <c r="C26" s="406"/>
      <c r="D26" s="406"/>
      <c r="E26" s="406"/>
      <c r="F26" s="406"/>
      <c r="G26" s="406"/>
      <c r="H26" s="406"/>
    </row>
    <row r="27" spans="1:8" ht="15.75" customHeight="1">
      <c r="A27" s="406"/>
      <c r="B27" s="406"/>
      <c r="C27" s="406"/>
      <c r="D27" s="406"/>
      <c r="E27" s="406"/>
      <c r="F27" s="406"/>
      <c r="G27" s="406"/>
      <c r="H27" s="406"/>
    </row>
    <row r="28" spans="1:8" ht="9" customHeight="1">
      <c r="A28" s="14" t="str">
        <f>CONCATENATE("limiting state revenue sharing payments to counties, has contributed to higher county property tax levies to finance the ",inputPrYr!C4,"")</f>
        <v>limiting state revenue sharing payments to counties, has contributed to higher county property tax levies to finance the 2012</v>
      </c>
      <c r="B28" s="22" t="s">
        <v>168</v>
      </c>
      <c r="C28" s="2"/>
      <c r="D28" s="2"/>
      <c r="E28" s="2"/>
      <c r="F28" s="2"/>
      <c r="G28" s="2"/>
      <c r="H28" s="23"/>
    </row>
    <row r="29" spans="1:8" ht="15.75" customHeight="1">
      <c r="A29" s="406"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MITCHELL COUNTY Commissioners that is our desire to notify the public of the possibility of increased property taxes to finance the 2012 MITCHELL COUNTY budget due to the above mentioned constraints, and that all persons are invited and encouraged to attend budget meeting conducted by the Board of MITCHELL COUNTY Commissioners.  The date and time of budget hearings with the Board of MITCHELL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406"/>
      <c r="C29" s="406"/>
      <c r="D29" s="406"/>
      <c r="E29" s="406"/>
      <c r="F29" s="406"/>
      <c r="G29" s="406"/>
      <c r="H29" s="406"/>
    </row>
    <row r="30" spans="1:8" ht="15.75" customHeight="1">
      <c r="A30" s="406"/>
      <c r="B30" s="406"/>
      <c r="C30" s="406"/>
      <c r="D30" s="406"/>
      <c r="E30" s="406"/>
      <c r="F30" s="406"/>
      <c r="G30" s="406"/>
      <c r="H30" s="406"/>
    </row>
    <row r="31" spans="1:8" ht="15.75" customHeight="1">
      <c r="A31" s="406"/>
      <c r="B31" s="406"/>
      <c r="C31" s="406"/>
      <c r="D31" s="406"/>
      <c r="E31" s="406"/>
      <c r="F31" s="406"/>
      <c r="G31" s="406"/>
      <c r="H31" s="406"/>
    </row>
    <row r="32" spans="1:8" ht="15.75" customHeight="1">
      <c r="A32" s="406"/>
      <c r="B32" s="406"/>
      <c r="C32" s="406"/>
      <c r="D32" s="406"/>
      <c r="E32" s="406"/>
      <c r="F32" s="406"/>
      <c r="G32" s="406"/>
      <c r="H32" s="406"/>
    </row>
    <row r="33" spans="1:8" ht="15.75" customHeight="1">
      <c r="A33" s="406"/>
      <c r="B33" s="406"/>
      <c r="C33" s="406"/>
      <c r="D33" s="406"/>
      <c r="E33" s="406"/>
      <c r="F33" s="406"/>
      <c r="G33" s="406"/>
      <c r="H33" s="406"/>
    </row>
    <row r="34" spans="1:8" ht="15.75" customHeight="1">
      <c r="A34" s="406"/>
      <c r="B34" s="406"/>
      <c r="C34" s="406"/>
      <c r="D34" s="406"/>
      <c r="E34" s="406"/>
      <c r="F34" s="406"/>
      <c r="G34" s="406"/>
      <c r="H34" s="406"/>
    </row>
    <row r="35" spans="1:8" ht="15.75" customHeight="1">
      <c r="A35" s="406"/>
      <c r="B35" s="406"/>
      <c r="C35" s="406"/>
      <c r="D35" s="406"/>
      <c r="E35" s="406"/>
      <c r="F35" s="406"/>
      <c r="G35" s="406"/>
      <c r="H35" s="406"/>
    </row>
    <row r="36" spans="1:8" ht="15.75" customHeight="1">
      <c r="A36" s="406"/>
      <c r="B36" s="406"/>
      <c r="C36" s="406"/>
      <c r="D36" s="406"/>
      <c r="E36" s="406"/>
      <c r="F36" s="406"/>
      <c r="G36" s="406"/>
      <c r="H36" s="406"/>
    </row>
    <row r="37" spans="1:8" ht="15.75" customHeight="1">
      <c r="A37" s="406"/>
      <c r="B37" s="406"/>
      <c r="C37" s="406"/>
      <c r="D37" s="406"/>
      <c r="E37" s="406"/>
      <c r="F37" s="406"/>
      <c r="G37" s="406"/>
      <c r="H37" s="406"/>
    </row>
    <row r="38" spans="1:8" ht="15.75" customHeight="1">
      <c r="A38" s="15" t="s">
        <v>174</v>
      </c>
      <c r="B38" s="2"/>
      <c r="C38" s="2"/>
      <c r="D38" s="2"/>
      <c r="E38" s="2"/>
      <c r="F38" s="2"/>
      <c r="G38" s="2"/>
      <c r="H38" s="23" t="s">
        <v>63</v>
      </c>
    </row>
    <row r="39" spans="1:8" ht="15.75" customHeight="1">
      <c r="A39" s="405" t="str">
        <f>CONCATENATE("                                                 Adopted this _________ day of ___________, ",inputPrYr!C4-1," by the Board of ",(inputPrYr!C2)," Commissioners.")</f>
        <v>                                                 Adopted this _________ day of ___________, 2011 by the Board of MITCHELL COUNTY Commissioners.</v>
      </c>
      <c r="B39" s="405"/>
      <c r="C39" s="405"/>
      <c r="D39" s="405"/>
      <c r="E39" s="405"/>
      <c r="F39" s="405"/>
      <c r="G39" s="405"/>
      <c r="H39" s="405"/>
    </row>
    <row r="40" spans="1:8" ht="15.75" customHeight="1">
      <c r="A40" s="405"/>
      <c r="B40" s="405"/>
      <c r="C40" s="405"/>
      <c r="D40" s="405"/>
      <c r="E40" s="405"/>
      <c r="F40" s="405"/>
      <c r="G40" s="405"/>
      <c r="H40" s="405"/>
    </row>
    <row r="41" spans="1:8" ht="15.75" customHeight="1">
      <c r="A41" s="2"/>
      <c r="B41" s="2"/>
      <c r="C41" s="2"/>
      <c r="D41" s="2"/>
      <c r="E41" s="407" t="s">
        <v>157</v>
      </c>
      <c r="F41" s="407"/>
      <c r="G41" s="407"/>
      <c r="H41" s="407"/>
    </row>
    <row r="42" spans="1:8" ht="15.75" customHeight="1">
      <c r="A42" s="16"/>
      <c r="B42" s="2"/>
      <c r="C42" s="2"/>
      <c r="D42" s="2"/>
      <c r="E42" s="407"/>
      <c r="F42" s="407"/>
      <c r="G42" s="407"/>
      <c r="H42" s="407"/>
    </row>
    <row r="43" spans="1:8" ht="15.75" customHeight="1">
      <c r="A43" s="2"/>
      <c r="B43" s="2"/>
      <c r="C43" s="2"/>
      <c r="D43" s="2"/>
      <c r="E43" s="407" t="s">
        <v>158</v>
      </c>
      <c r="F43" s="407"/>
      <c r="G43" s="407"/>
      <c r="H43" s="407"/>
    </row>
    <row r="44" spans="1:8" ht="15.75" customHeight="1">
      <c r="A44" s="16"/>
      <c r="B44" s="2"/>
      <c r="C44" s="2"/>
      <c r="D44" s="2"/>
      <c r="E44" s="407"/>
      <c r="F44" s="407"/>
      <c r="G44" s="407"/>
      <c r="H44" s="407"/>
    </row>
    <row r="45" spans="1:8" ht="15.75" customHeight="1">
      <c r="A45" s="2"/>
      <c r="B45" s="2"/>
      <c r="C45" s="2"/>
      <c r="D45" s="2"/>
      <c r="E45" s="407" t="s">
        <v>158</v>
      </c>
      <c r="F45" s="407"/>
      <c r="G45" s="407"/>
      <c r="H45" s="407"/>
    </row>
    <row r="46" spans="1:8" ht="15.75" customHeight="1">
      <c r="A46" s="16"/>
      <c r="B46" s="2"/>
      <c r="C46" s="2"/>
      <c r="D46" s="2"/>
      <c r="E46" s="407"/>
      <c r="F46" s="407"/>
      <c r="G46" s="407"/>
      <c r="H46" s="407"/>
    </row>
    <row r="47" spans="1:8" ht="15.75" customHeight="1">
      <c r="A47" s="2"/>
      <c r="B47" s="2"/>
      <c r="C47" s="2"/>
      <c r="D47" s="2"/>
      <c r="E47" s="407" t="s">
        <v>158</v>
      </c>
      <c r="F47" s="407"/>
      <c r="G47" s="407"/>
      <c r="H47" s="407"/>
    </row>
    <row r="48" spans="1:8" ht="15.75" customHeight="1">
      <c r="A48" s="16"/>
      <c r="B48" s="2"/>
      <c r="C48" s="2"/>
      <c r="D48" s="2"/>
      <c r="E48" s="2"/>
      <c r="F48" s="2"/>
      <c r="G48" s="2"/>
      <c r="H48" s="23"/>
    </row>
    <row r="49" spans="1:8" ht="15.75" customHeight="1">
      <c r="A49" s="16" t="s">
        <v>159</v>
      </c>
      <c r="B49" s="2"/>
      <c r="C49" s="2"/>
      <c r="D49" s="2"/>
      <c r="E49" s="2"/>
      <c r="F49" s="2"/>
      <c r="G49" s="2"/>
      <c r="H49" s="23"/>
    </row>
    <row r="50" spans="1:8" ht="15.75" customHeight="1">
      <c r="A50" s="16"/>
      <c r="B50" s="2"/>
      <c r="C50" s="2"/>
      <c r="D50" s="2"/>
      <c r="E50" s="2"/>
      <c r="F50" s="2"/>
      <c r="G50" s="16"/>
      <c r="H50" s="23"/>
    </row>
    <row r="51" spans="1:8" ht="15.75" customHeight="1">
      <c r="A51" s="17" t="s">
        <v>160</v>
      </c>
      <c r="B51" s="1"/>
      <c r="C51" s="1"/>
      <c r="D51" s="1"/>
      <c r="E51" s="1"/>
      <c r="F51" s="1"/>
      <c r="G51" s="16"/>
      <c r="H51" s="23"/>
    </row>
    <row r="52" spans="1:8" ht="15.75" customHeight="1">
      <c r="A52" s="407" t="s">
        <v>161</v>
      </c>
      <c r="B52" s="407"/>
      <c r="C52" s="407"/>
      <c r="D52" s="1"/>
      <c r="E52" s="1"/>
      <c r="F52" s="1"/>
      <c r="G52" s="16"/>
      <c r="H52" s="23"/>
    </row>
    <row r="53" spans="1:8" ht="15.75" customHeight="1">
      <c r="A53" s="17"/>
      <c r="B53" s="1"/>
      <c r="C53" s="1"/>
      <c r="D53" s="1"/>
      <c r="E53" s="1"/>
      <c r="F53" s="1"/>
      <c r="G53" s="16"/>
      <c r="H53" s="23"/>
    </row>
    <row r="54" spans="1:8" ht="15.75" customHeight="1">
      <c r="A54" s="17"/>
      <c r="B54" s="1"/>
      <c r="C54" s="1"/>
      <c r="D54" s="1"/>
      <c r="E54" s="1"/>
      <c r="F54" s="1"/>
      <c r="G54" s="16"/>
      <c r="H54" s="23"/>
    </row>
    <row r="55" spans="1:8" ht="15.75" customHeight="1">
      <c r="A55" s="18" t="s">
        <v>162</v>
      </c>
      <c r="B55" s="1"/>
      <c r="C55" s="1"/>
      <c r="D55" s="24" t="s">
        <v>62</v>
      </c>
      <c r="E55" s="3">
        <v>13</v>
      </c>
      <c r="F55" s="1"/>
      <c r="G55" s="16"/>
      <c r="H55" s="23"/>
    </row>
    <row r="56" spans="1:8" ht="15" customHeight="1">
      <c r="A56" s="23"/>
      <c r="B56" s="23"/>
      <c r="C56" s="23"/>
      <c r="D56" s="23"/>
      <c r="E56" s="23"/>
      <c r="F56" s="23"/>
      <c r="G56" s="23"/>
      <c r="H56" s="23"/>
    </row>
    <row r="57" spans="1:8" ht="15" customHeight="1">
      <c r="A57" s="23"/>
      <c r="B57" s="23"/>
      <c r="C57" s="23"/>
      <c r="D57" s="23"/>
      <c r="E57" s="23"/>
      <c r="F57" s="23"/>
      <c r="G57" s="23"/>
      <c r="H57" s="2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16">
    <mergeCell ref="E45:H45"/>
    <mergeCell ref="E46:H46"/>
    <mergeCell ref="E47:H47"/>
    <mergeCell ref="A52:C52"/>
    <mergeCell ref="E41:H41"/>
    <mergeCell ref="E42:H42"/>
    <mergeCell ref="E43:H43"/>
    <mergeCell ref="E44:H44"/>
    <mergeCell ref="A2:H2"/>
    <mergeCell ref="A4:H4"/>
    <mergeCell ref="A39:H40"/>
    <mergeCell ref="A10:H15"/>
    <mergeCell ref="A29:H37"/>
    <mergeCell ref="A17:H18"/>
    <mergeCell ref="A20:H21"/>
    <mergeCell ref="A25:H27"/>
  </mergeCells>
  <printOptions/>
  <pageMargins left="0.37" right="0.27" top="0.5" bottom="0.5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44"/>
  <sheetViews>
    <sheetView view="pageBreakPreview" zoomScale="93" zoomScaleSheetLayoutView="93" zoomScalePageLayoutView="0" workbookViewId="0" topLeftCell="A10">
      <selection activeCell="D35" sqref="D35"/>
    </sheetView>
  </sheetViews>
  <sheetFormatPr defaultColWidth="8.796875" defaultRowHeight="15"/>
  <cols>
    <col min="1" max="1" width="27" style="25" customWidth="1"/>
    <col min="2" max="2" width="20.796875" style="25" customWidth="1"/>
    <col min="3" max="3" width="9.796875" style="25" customWidth="1"/>
    <col min="4" max="4" width="15.296875" style="25" customWidth="1"/>
    <col min="5" max="5" width="15.796875" style="25" customWidth="1"/>
    <col min="6" max="16384" width="8.8984375" style="25" customWidth="1"/>
  </cols>
  <sheetData>
    <row r="1" spans="1:5" ht="15.75">
      <c r="A1" s="85" t="str">
        <f>inputPrYr!C2</f>
        <v>MITCHELL COUNTY</v>
      </c>
      <c r="B1" s="66"/>
      <c r="C1" s="66"/>
      <c r="D1" s="66"/>
      <c r="E1" s="66">
        <f>inputPrYr!C4</f>
        <v>2012</v>
      </c>
    </row>
    <row r="2" spans="1:5" ht="15.75">
      <c r="A2" s="85"/>
      <c r="B2" s="66"/>
      <c r="C2" s="66"/>
      <c r="D2" s="66"/>
      <c r="E2" s="66"/>
    </row>
    <row r="3" spans="1:5" ht="15.75">
      <c r="A3" s="353" t="s">
        <v>16</v>
      </c>
      <c r="B3" s="354"/>
      <c r="C3" s="354"/>
      <c r="D3" s="354"/>
      <c r="E3" s="354"/>
    </row>
    <row r="4" spans="1:5" ht="15.75">
      <c r="A4" s="66"/>
      <c r="B4" s="66"/>
      <c r="C4" s="66"/>
      <c r="D4" s="66"/>
      <c r="E4" s="66"/>
    </row>
    <row r="5" spans="1:5" ht="15.75">
      <c r="A5" s="65" t="str">
        <f>CONCATENATE("From the County Clerks ",E1," Budget Information:")</f>
        <v>From the County Clerks 2012 Budget Information:</v>
      </c>
      <c r="B5" s="67"/>
      <c r="C5" s="38"/>
      <c r="D5" s="28"/>
      <c r="E5" s="86"/>
    </row>
    <row r="6" spans="1:5" ht="15.75">
      <c r="A6" s="87" t="str">
        <f>CONCATENATE("Total Assessed Valuation for ",E1-1,"")</f>
        <v>Total Assessed Valuation for 2011</v>
      </c>
      <c r="B6" s="73"/>
      <c r="C6" s="73"/>
      <c r="D6" s="73"/>
      <c r="E6" s="53"/>
    </row>
    <row r="7" spans="1:5" ht="15.75">
      <c r="A7" s="87" t="str">
        <f>CONCATENATE("New Improvements for ",E1-1,"")</f>
        <v>New Improvements for 2011</v>
      </c>
      <c r="B7" s="73"/>
      <c r="C7" s="73"/>
      <c r="D7" s="73"/>
      <c r="E7" s="88"/>
    </row>
    <row r="8" spans="1:5" ht="15.75">
      <c r="A8" s="87" t="str">
        <f>CONCATENATE("Personal Property excluding oil, gas, and mobile homes- ",E1-1,"")</f>
        <v>Personal Property excluding oil, gas, and mobile homes- 2011</v>
      </c>
      <c r="B8" s="73"/>
      <c r="C8" s="73"/>
      <c r="D8" s="73"/>
      <c r="E8" s="88"/>
    </row>
    <row r="9" spans="1:5" ht="15.75">
      <c r="A9" s="87" t="str">
        <f>CONCATENATE("Property that has changed in use for ",E1-1,"")</f>
        <v>Property that has changed in use for 2011</v>
      </c>
      <c r="B9" s="73"/>
      <c r="C9" s="73"/>
      <c r="D9" s="73"/>
      <c r="E9" s="88"/>
    </row>
    <row r="10" spans="1:5" ht="15.75">
      <c r="A10" s="87" t="str">
        <f>CONCATENATE("Personal Property excluding oil, gas, and mobile homes- ",E1-2,"")</f>
        <v>Personal Property excluding oil, gas, and mobile homes- 2010</v>
      </c>
      <c r="B10" s="73"/>
      <c r="C10" s="73"/>
      <c r="D10" s="73"/>
      <c r="E10" s="88"/>
    </row>
    <row r="11" spans="1:5" ht="15.75">
      <c r="A11" s="87" t="str">
        <f>CONCATENATE("Gross earnings (intangible) tax esitmate for ",E1,"")</f>
        <v>Gross earnings (intangible) tax esitmate for 2012</v>
      </c>
      <c r="B11" s="73"/>
      <c r="C11" s="73"/>
      <c r="D11" s="73"/>
      <c r="E11" s="53"/>
    </row>
    <row r="12" spans="1:5" ht="15.75">
      <c r="A12" s="89" t="s">
        <v>175</v>
      </c>
      <c r="B12" s="73"/>
      <c r="C12" s="73"/>
      <c r="D12" s="56"/>
      <c r="E12" s="53"/>
    </row>
    <row r="13" spans="1:5" ht="15.75">
      <c r="A13" s="28"/>
      <c r="B13" s="28"/>
      <c r="C13" s="28"/>
      <c r="D13" s="44"/>
      <c r="E13" s="44"/>
    </row>
    <row r="14" spans="1:5" ht="15.75">
      <c r="A14" s="65" t="str">
        <f>CONCATENATE("From the County Treasurer's ",E1," Budget Information:")</f>
        <v>From the County Treasurer's 2012 Budget Information:</v>
      </c>
      <c r="B14" s="67"/>
      <c r="C14" s="67"/>
      <c r="D14" s="86"/>
      <c r="E14" s="86"/>
    </row>
    <row r="15" spans="1:5" ht="15.75">
      <c r="A15" s="54" t="s">
        <v>28</v>
      </c>
      <c r="B15" s="55"/>
      <c r="C15" s="55"/>
      <c r="D15" s="90"/>
      <c r="E15" s="53"/>
    </row>
    <row r="16" spans="1:5" ht="15.75">
      <c r="A16" s="87" t="s">
        <v>29</v>
      </c>
      <c r="B16" s="73"/>
      <c r="C16" s="73"/>
      <c r="D16" s="91"/>
      <c r="E16" s="53"/>
    </row>
    <row r="17" spans="1:5" ht="15.75">
      <c r="A17" s="87" t="s">
        <v>111</v>
      </c>
      <c r="B17" s="73"/>
      <c r="C17" s="73"/>
      <c r="D17" s="91"/>
      <c r="E17" s="53"/>
    </row>
    <row r="18" spans="1:5" ht="15.75">
      <c r="A18" s="87" t="s">
        <v>176</v>
      </c>
      <c r="B18" s="73"/>
      <c r="C18" s="73"/>
      <c r="D18" s="92"/>
      <c r="E18" s="53"/>
    </row>
    <row r="19" spans="1:5" ht="15.75">
      <c r="A19" s="87" t="s">
        <v>177</v>
      </c>
      <c r="B19" s="73"/>
      <c r="C19" s="73"/>
      <c r="D19" s="92"/>
      <c r="E19" s="53"/>
    </row>
    <row r="20" spans="1:5" ht="15.75">
      <c r="A20" s="89" t="s">
        <v>178</v>
      </c>
      <c r="B20" s="73"/>
      <c r="C20" s="73"/>
      <c r="D20" s="91"/>
      <c r="E20" s="53"/>
    </row>
    <row r="21" spans="1:5" ht="15.75">
      <c r="A21" s="28"/>
      <c r="B21" s="28"/>
      <c r="C21" s="28"/>
      <c r="D21" s="28"/>
      <c r="E21" s="28"/>
    </row>
    <row r="22" spans="1:5" ht="15.75">
      <c r="A22" s="93" t="s">
        <v>179</v>
      </c>
      <c r="B22" s="28"/>
      <c r="C22" s="28"/>
      <c r="D22" s="28"/>
      <c r="E22" s="28"/>
    </row>
    <row r="23" spans="1:5" ht="15.75">
      <c r="A23" s="94" t="str">
        <f>CONCATENATE("Actual Delinquency for ",E1-3," Tax - (round to three decimal places)")</f>
        <v>Actual Delinquency for 2009 Tax - (round to three decimal places)</v>
      </c>
      <c r="B23" s="55"/>
      <c r="C23" s="55"/>
      <c r="D23" s="60"/>
      <c r="E23" s="289">
        <v>0.05</v>
      </c>
    </row>
    <row r="24" spans="1:5" ht="15.75">
      <c r="A24" s="55" t="s">
        <v>180</v>
      </c>
      <c r="B24" s="55"/>
      <c r="C24" s="55"/>
      <c r="D24" s="55"/>
      <c r="E24" s="290">
        <v>0.05</v>
      </c>
    </row>
    <row r="25" spans="1:5" ht="15.75">
      <c r="A25" s="26" t="s">
        <v>181</v>
      </c>
      <c r="B25" s="26"/>
      <c r="C25" s="26"/>
      <c r="D25" s="26"/>
      <c r="E25" s="26"/>
    </row>
    <row r="26" spans="1:5" ht="15.75">
      <c r="A26" s="95"/>
      <c r="B26" s="95"/>
      <c r="C26" s="95"/>
      <c r="D26" s="95"/>
      <c r="E26" s="95"/>
    </row>
    <row r="27" spans="1:5" ht="15.75">
      <c r="A27" s="357" t="str">
        <f>CONCATENATE("From the ",E1-2," Budget Certificate Page")</f>
        <v>From the 2010 Budget Certificate Page</v>
      </c>
      <c r="B27" s="358"/>
      <c r="C27" s="95"/>
      <c r="D27" s="95"/>
      <c r="E27" s="95"/>
    </row>
    <row r="28" spans="1:5" ht="15.75">
      <c r="A28" s="96"/>
      <c r="B28" s="359" t="str">
        <f>CONCATENATE("",E1-2,"                         Expenditure Amt Budget Authority")</f>
        <v>2010                         Expenditure Amt Budget Authority</v>
      </c>
      <c r="C28" s="362" t="str">
        <f>CONCATENATE("Note: If the ",E1-2," budget was amended, then the")</f>
        <v>Note: If the 2010 budget was amended, then the</v>
      </c>
      <c r="D28" s="363"/>
      <c r="E28" s="363"/>
    </row>
    <row r="29" spans="1:5" ht="15.75">
      <c r="A29" s="97" t="s">
        <v>17</v>
      </c>
      <c r="B29" s="360"/>
      <c r="C29" s="98" t="s">
        <v>18</v>
      </c>
      <c r="D29" s="99"/>
      <c r="E29" s="99"/>
    </row>
    <row r="30" spans="1:5" ht="15.75">
      <c r="A30" s="100"/>
      <c r="B30" s="361"/>
      <c r="C30" s="98" t="s">
        <v>19</v>
      </c>
      <c r="D30" s="99"/>
      <c r="E30" s="99"/>
    </row>
    <row r="31" spans="1:5" ht="15.75">
      <c r="A31" s="100"/>
      <c r="B31" s="339"/>
      <c r="C31" s="342" t="s">
        <v>247</v>
      </c>
      <c r="D31" s="343" t="s">
        <v>249</v>
      </c>
      <c r="E31" s="99"/>
    </row>
    <row r="32" spans="1:5" ht="15.75">
      <c r="A32" s="100"/>
      <c r="B32" s="339"/>
      <c r="C32" s="344" t="s">
        <v>248</v>
      </c>
      <c r="D32" s="345" t="s">
        <v>250</v>
      </c>
      <c r="E32" s="99"/>
    </row>
    <row r="33" spans="1:5" ht="15.75">
      <c r="A33" s="101" t="str">
        <f>inputPrYr!B16</f>
        <v>MCO # 1</v>
      </c>
      <c r="B33" s="48">
        <v>40000</v>
      </c>
      <c r="C33" s="346"/>
      <c r="D33" s="346">
        <f>SUM(B33:C33)</f>
        <v>40000</v>
      </c>
      <c r="E33" s="95"/>
    </row>
    <row r="34" spans="1:5" ht="15.75">
      <c r="A34" s="101" t="str">
        <f>inputPrYr!B17</f>
        <v>Tipton # 2</v>
      </c>
      <c r="B34" s="48">
        <v>24000</v>
      </c>
      <c r="C34" s="346"/>
      <c r="D34" s="346">
        <f>SUM(B34:C34)</f>
        <v>24000</v>
      </c>
      <c r="E34" s="95"/>
    </row>
    <row r="35" spans="1:5" ht="15.75">
      <c r="A35" s="101" t="str">
        <f>inputPrYr!B18</f>
        <v>Solomon Rapids F.D. # 3</v>
      </c>
      <c r="B35" s="48">
        <v>45000</v>
      </c>
      <c r="C35" s="346">
        <v>98784</v>
      </c>
      <c r="D35" s="346">
        <f>SUM(B35:C35)</f>
        <v>143784</v>
      </c>
      <c r="E35" s="95"/>
    </row>
    <row r="36" spans="1:5" ht="15.75">
      <c r="A36" s="101">
        <f>inputPrYr!B19</f>
        <v>0</v>
      </c>
      <c r="B36" s="48"/>
      <c r="C36" s="346"/>
      <c r="D36" s="346"/>
      <c r="E36" s="95"/>
    </row>
    <row r="37" spans="1:5" ht="15.75">
      <c r="A37" s="101">
        <f>inputPrYr!B20</f>
        <v>0</v>
      </c>
      <c r="B37" s="48"/>
      <c r="C37" s="95"/>
      <c r="D37" s="95"/>
      <c r="E37" s="95"/>
    </row>
    <row r="38" spans="1:5" ht="15.75">
      <c r="A38" s="101">
        <f>inputPrYr!B21</f>
        <v>0</v>
      </c>
      <c r="B38" s="48"/>
      <c r="C38" s="95"/>
      <c r="D38" s="95"/>
      <c r="E38" s="95"/>
    </row>
    <row r="39" spans="1:5" ht="15.75">
      <c r="A39" s="101" t="str">
        <f>inputPrYr!B24</f>
        <v>MCO F.D. # 1 Spec. Equip.</v>
      </c>
      <c r="B39" s="48">
        <v>10599</v>
      </c>
      <c r="C39" s="95"/>
      <c r="D39" s="95"/>
      <c r="E39" s="95"/>
    </row>
    <row r="40" spans="1:5" ht="15.75">
      <c r="A40" s="101" t="str">
        <f>inputPrYr!B25</f>
        <v>Tipton F.D. # 2 Spec. Equip.</v>
      </c>
      <c r="B40" s="48">
        <v>1818</v>
      </c>
      <c r="C40" s="95"/>
      <c r="D40" s="95"/>
      <c r="E40" s="95"/>
    </row>
    <row r="41" spans="1:5" ht="15.75">
      <c r="A41" s="101" t="str">
        <f>inputPrYr!B26</f>
        <v>Solomon Rapids F.D. # 3 Spec. Equip.</v>
      </c>
      <c r="B41" s="48">
        <v>34182</v>
      </c>
      <c r="C41" s="95"/>
      <c r="D41" s="95"/>
      <c r="E41" s="95"/>
    </row>
    <row r="42" spans="1:5" ht="15.75">
      <c r="A42" s="101">
        <f>inputPrYr!B27</f>
        <v>0</v>
      </c>
      <c r="B42" s="48"/>
      <c r="C42" s="95"/>
      <c r="D42" s="95"/>
      <c r="E42" s="95"/>
    </row>
    <row r="43" spans="1:5" ht="15.75">
      <c r="A43" s="101">
        <f>inputPrYr!B28</f>
        <v>0</v>
      </c>
      <c r="B43" s="48"/>
      <c r="C43" s="95"/>
      <c r="D43" s="95"/>
      <c r="E43" s="95"/>
    </row>
    <row r="44" spans="1:5" ht="15.75">
      <c r="A44" s="101">
        <f>inputPrYr!B29</f>
        <v>0</v>
      </c>
      <c r="B44" s="48"/>
      <c r="C44" s="95"/>
      <c r="D44" s="95"/>
      <c r="E44" s="95"/>
    </row>
  </sheetData>
  <sheetProtection/>
  <mergeCells count="4">
    <mergeCell ref="A3:E3"/>
    <mergeCell ref="A27:B27"/>
    <mergeCell ref="B28:B30"/>
    <mergeCell ref="C28:E28"/>
  </mergeCells>
  <printOptions/>
  <pageMargins left="0.75" right="0.75" top="1" bottom="1" header="0.5" footer="0.5"/>
  <pageSetup horizontalDpi="600" verticalDpi="600" orientation="portrait" scale="79" r:id="rId1"/>
</worksheet>
</file>

<file path=xl/worksheets/sheet3.xml><?xml version="1.0" encoding="utf-8"?>
<worksheet xmlns="http://schemas.openxmlformats.org/spreadsheetml/2006/main" xmlns:r="http://schemas.openxmlformats.org/officeDocument/2006/relationships">
  <dimension ref="A2:F23"/>
  <sheetViews>
    <sheetView view="pageBreakPreview" zoomScale="116" zoomScaleSheetLayoutView="116"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364" t="s">
        <v>194</v>
      </c>
      <c r="B2" s="365"/>
      <c r="C2" s="365"/>
      <c r="D2" s="365"/>
      <c r="E2" s="365"/>
      <c r="F2" s="365"/>
    </row>
    <row r="4" spans="1:6" ht="15.75">
      <c r="A4" s="267"/>
      <c r="B4" s="267"/>
      <c r="C4" s="267"/>
      <c r="D4" s="268"/>
      <c r="E4" s="267"/>
      <c r="F4" s="267"/>
    </row>
    <row r="5" spans="1:6" ht="15.75">
      <c r="A5" s="269" t="s">
        <v>195</v>
      </c>
      <c r="B5" s="270" t="s">
        <v>271</v>
      </c>
      <c r="C5" s="271"/>
      <c r="D5" s="269" t="s">
        <v>222</v>
      </c>
      <c r="E5" s="267"/>
      <c r="F5" s="267"/>
    </row>
    <row r="6" spans="1:6" ht="15.75">
      <c r="A6" s="269"/>
      <c r="B6" s="272"/>
      <c r="C6" s="273"/>
      <c r="D6" s="269" t="s">
        <v>221</v>
      </c>
      <c r="E6" s="267"/>
      <c r="F6" s="267"/>
    </row>
    <row r="7" spans="1:6" ht="15.75">
      <c r="A7" s="269" t="s">
        <v>196</v>
      </c>
      <c r="B7" s="270" t="s">
        <v>234</v>
      </c>
      <c r="C7" s="274"/>
      <c r="D7" s="269"/>
      <c r="E7" s="267"/>
      <c r="F7" s="267"/>
    </row>
    <row r="8" spans="1:6" ht="15.75">
      <c r="A8" s="269"/>
      <c r="B8" s="269"/>
      <c r="C8" s="269"/>
      <c r="D8" s="269"/>
      <c r="E8" s="267"/>
      <c r="F8" s="267"/>
    </row>
    <row r="9" spans="1:6" ht="15.75">
      <c r="A9" s="269" t="s">
        <v>197</v>
      </c>
      <c r="B9" s="275" t="s">
        <v>235</v>
      </c>
      <c r="C9" s="275"/>
      <c r="D9" s="275"/>
      <c r="E9" s="276"/>
      <c r="F9" s="267"/>
    </row>
    <row r="10" spans="1:6" ht="15.75">
      <c r="A10" s="269"/>
      <c r="B10" s="269"/>
      <c r="C10" s="269"/>
      <c r="D10" s="269"/>
      <c r="E10" s="267"/>
      <c r="F10" s="267"/>
    </row>
    <row r="11" spans="1:6" ht="15.75">
      <c r="A11" s="269"/>
      <c r="B11" s="269"/>
      <c r="C11" s="269"/>
      <c r="D11" s="269"/>
      <c r="E11" s="267"/>
      <c r="F11" s="267"/>
    </row>
    <row r="12" spans="1:6" ht="15.75">
      <c r="A12" s="269" t="s">
        <v>199</v>
      </c>
      <c r="B12" s="275" t="s">
        <v>236</v>
      </c>
      <c r="C12" s="275"/>
      <c r="D12" s="275"/>
      <c r="E12" s="276"/>
      <c r="F12" s="267"/>
    </row>
    <row r="15" spans="1:6" ht="15.75">
      <c r="A15" s="366" t="s">
        <v>200</v>
      </c>
      <c r="B15" s="366"/>
      <c r="C15" s="269"/>
      <c r="D15" s="269"/>
      <c r="E15" s="269"/>
      <c r="F15" s="267"/>
    </row>
    <row r="16" spans="1:6" ht="15.75">
      <c r="A16" s="269"/>
      <c r="B16" s="269"/>
      <c r="C16" s="269"/>
      <c r="D16" s="269"/>
      <c r="E16" s="269"/>
      <c r="F16" s="267"/>
    </row>
    <row r="17" spans="1:5" ht="15.75">
      <c r="A17" s="269" t="s">
        <v>195</v>
      </c>
      <c r="B17" s="272" t="s">
        <v>201</v>
      </c>
      <c r="C17" s="269"/>
      <c r="D17" s="269"/>
      <c r="E17" s="269"/>
    </row>
    <row r="18" spans="1:5" ht="15.75">
      <c r="A18" s="269"/>
      <c r="B18" s="269"/>
      <c r="C18" s="269"/>
      <c r="D18" s="269"/>
      <c r="E18" s="269"/>
    </row>
    <row r="19" spans="1:5" ht="15.75">
      <c r="A19" s="269" t="s">
        <v>196</v>
      </c>
      <c r="B19" s="269" t="s">
        <v>202</v>
      </c>
      <c r="C19" s="269"/>
      <c r="D19" s="269"/>
      <c r="E19" s="269"/>
    </row>
    <row r="20" spans="1:5" ht="15.75">
      <c r="A20" s="269"/>
      <c r="B20" s="269"/>
      <c r="C20" s="269"/>
      <c r="D20" s="269"/>
      <c r="E20" s="269"/>
    </row>
    <row r="21" spans="1:5" ht="15.75">
      <c r="A21" s="269" t="s">
        <v>197</v>
      </c>
      <c r="B21" s="269" t="s">
        <v>198</v>
      </c>
      <c r="C21" s="269"/>
      <c r="D21" s="269"/>
      <c r="E21" s="269"/>
    </row>
    <row r="22" spans="1:5" ht="15.75">
      <c r="A22" s="269"/>
      <c r="B22" s="269"/>
      <c r="C22" s="269"/>
      <c r="D22" s="269"/>
      <c r="E22" s="269"/>
    </row>
    <row r="23" spans="1:5" ht="15.75">
      <c r="A23" s="269" t="s">
        <v>199</v>
      </c>
      <c r="B23" s="269" t="s">
        <v>198</v>
      </c>
      <c r="C23" s="269"/>
      <c r="D23" s="269"/>
      <c r="E23" s="269"/>
    </row>
  </sheetData>
  <sheetProtection sheet="1"/>
  <mergeCells count="2">
    <mergeCell ref="A2:F2"/>
    <mergeCell ref="A15:B15"/>
  </mergeCells>
  <printOptions/>
  <pageMargins left="0.7" right="0.7" top="0.75" bottom="0.75" header="0.3" footer="0.3"/>
  <pageSetup blackAndWhite="1" horizontalDpi="600" verticalDpi="600" orientation="portrait" scale="95" r:id="rId1"/>
</worksheet>
</file>

<file path=xl/worksheets/sheet4.xml><?xml version="1.0" encoding="utf-8"?>
<worksheet xmlns="http://schemas.openxmlformats.org/spreadsheetml/2006/main" xmlns:r="http://schemas.openxmlformats.org/officeDocument/2006/relationships">
  <sheetPr>
    <pageSetUpPr fitToPage="1"/>
  </sheetPr>
  <dimension ref="A1:F53"/>
  <sheetViews>
    <sheetView view="pageBreakPreview" zoomScale="120" zoomScaleNormal="90" zoomScaleSheetLayoutView="120" zoomScalePageLayoutView="0" workbookViewId="0" topLeftCell="A6">
      <selection activeCell="B56" sqref="B56"/>
    </sheetView>
  </sheetViews>
  <sheetFormatPr defaultColWidth="8.796875" defaultRowHeight="15"/>
  <cols>
    <col min="1" max="1" width="23.59765625" style="103" customWidth="1"/>
    <col min="2" max="2" width="9.8984375" style="103" customWidth="1"/>
    <col min="3" max="3" width="5.796875" style="103" customWidth="1"/>
    <col min="4" max="6" width="15.796875" style="103" customWidth="1"/>
    <col min="7" max="16384" width="8.8984375" style="103" customWidth="1"/>
  </cols>
  <sheetData>
    <row r="1" spans="1:6" ht="12.75">
      <c r="A1" s="102"/>
      <c r="B1" s="102"/>
      <c r="C1" s="102"/>
      <c r="D1" s="102"/>
      <c r="E1" s="102"/>
      <c r="F1" s="102"/>
    </row>
    <row r="2" spans="1:6" ht="12.75">
      <c r="A2" s="368" t="s">
        <v>104</v>
      </c>
      <c r="B2" s="368"/>
      <c r="C2" s="368"/>
      <c r="D2" s="368"/>
      <c r="E2" s="368"/>
      <c r="F2" s="368"/>
    </row>
    <row r="3" spans="1:6" ht="15" customHeight="1">
      <c r="A3" s="104"/>
      <c r="B3" s="104"/>
      <c r="C3" s="104"/>
      <c r="D3" s="104"/>
      <c r="E3" s="104"/>
      <c r="F3" s="102">
        <f>inputPrYr!C4</f>
        <v>2012</v>
      </c>
    </row>
    <row r="4" spans="1:6" ht="15">
      <c r="A4" s="373" t="str">
        <f>CONCATENATE("To the Clerk of ",inputPrYr!C2,", State of Kansas")</f>
        <v>To the Clerk of MITCHELL COUNTY, State of Kansas</v>
      </c>
      <c r="B4" s="374"/>
      <c r="C4" s="374"/>
      <c r="D4" s="374"/>
      <c r="E4" s="374"/>
      <c r="F4" s="374"/>
    </row>
    <row r="5" spans="1:6" ht="15">
      <c r="A5" s="373" t="s">
        <v>5</v>
      </c>
      <c r="B5" s="375"/>
      <c r="C5" s="375"/>
      <c r="D5" s="375"/>
      <c r="E5" s="375"/>
      <c r="F5" s="375"/>
    </row>
    <row r="6" spans="1:6" ht="15">
      <c r="A6" s="371" t="str">
        <f>(inputPrYr!C2)</f>
        <v>MITCHELL COUNTY</v>
      </c>
      <c r="B6" s="372"/>
      <c r="C6" s="372"/>
      <c r="D6" s="372"/>
      <c r="E6" s="372"/>
      <c r="F6" s="372"/>
    </row>
    <row r="7" spans="1:6" ht="12.75">
      <c r="A7" s="105" t="s">
        <v>30</v>
      </c>
      <c r="B7" s="106"/>
      <c r="C7" s="106"/>
      <c r="D7" s="106"/>
      <c r="E7" s="106"/>
      <c r="F7" s="106"/>
    </row>
    <row r="8" spans="1:6" ht="12.75">
      <c r="A8" s="105" t="s">
        <v>31</v>
      </c>
      <c r="B8" s="106"/>
      <c r="C8" s="106"/>
      <c r="D8" s="106"/>
      <c r="E8" s="106"/>
      <c r="F8" s="106"/>
    </row>
    <row r="9" spans="1:6" ht="12.75">
      <c r="A9" s="105" t="str">
        <f>CONCATENATE("maximum expenditure for the various funds for the year ",F3,"; and")</f>
        <v>maximum expenditure for the various funds for the year 2012; and</v>
      </c>
      <c r="B9" s="106"/>
      <c r="C9" s="106"/>
      <c r="D9" s="106"/>
      <c r="E9" s="106"/>
      <c r="F9" s="106"/>
    </row>
    <row r="10" spans="1:6" ht="12.75">
      <c r="A10" s="105" t="str">
        <f>CONCATENATE("(3) the Amount(s) of ",F3-1," Ad Valorem Tax are within statutory limitations.")</f>
        <v>(3) the Amount(s) of 2011 Ad Valorem Tax are within statutory limitations.</v>
      </c>
      <c r="B10" s="106"/>
      <c r="C10" s="106"/>
      <c r="D10" s="106"/>
      <c r="E10" s="106"/>
      <c r="F10" s="106"/>
    </row>
    <row r="11" spans="1:6" ht="8.25" customHeight="1">
      <c r="A11" s="107"/>
      <c r="B11" s="104"/>
      <c r="C11" s="104"/>
      <c r="D11" s="108"/>
      <c r="E11" s="108"/>
      <c r="F11" s="108"/>
    </row>
    <row r="12" spans="1:6" ht="12.75">
      <c r="A12" s="104"/>
      <c r="B12" s="104"/>
      <c r="C12" s="104"/>
      <c r="D12" s="109" t="str">
        <f>CONCATENATE("",F3," Adopted Budget")</f>
        <v>2012 Adopted Budget</v>
      </c>
      <c r="E12" s="110"/>
      <c r="F12" s="111"/>
    </row>
    <row r="13" spans="1:6" ht="13.5" customHeight="1">
      <c r="A13" s="104"/>
      <c r="B13" s="104"/>
      <c r="C13" s="112" t="s">
        <v>32</v>
      </c>
      <c r="D13" s="301" t="s">
        <v>212</v>
      </c>
      <c r="E13" s="369" t="str">
        <f>CONCATENATE("Amount of ",F3-1,"               Ad Valorem Tax")</f>
        <v>Amount of 2011               Ad Valorem Tax</v>
      </c>
      <c r="F13" s="112" t="s">
        <v>33</v>
      </c>
    </row>
    <row r="14" spans="1:6" ht="12.75" customHeight="1">
      <c r="A14" s="113" t="s">
        <v>34</v>
      </c>
      <c r="B14" s="340"/>
      <c r="C14" s="115" t="s">
        <v>35</v>
      </c>
      <c r="D14" s="300" t="s">
        <v>213</v>
      </c>
      <c r="E14" s="370"/>
      <c r="F14" s="115" t="s">
        <v>37</v>
      </c>
    </row>
    <row r="15" spans="1:6" ht="12.75">
      <c r="A15" s="118" t="s">
        <v>230</v>
      </c>
      <c r="B15" s="119"/>
      <c r="C15" s="120">
        <v>2</v>
      </c>
      <c r="D15" s="116"/>
      <c r="E15" s="116"/>
      <c r="F15" s="116"/>
    </row>
    <row r="16" spans="1:6" ht="12.75">
      <c r="A16" s="118" t="s">
        <v>231</v>
      </c>
      <c r="B16" s="119"/>
      <c r="C16" s="120">
        <v>3</v>
      </c>
      <c r="D16" s="116"/>
      <c r="E16" s="116"/>
      <c r="F16" s="116"/>
    </row>
    <row r="17" spans="1:6" ht="12.75">
      <c r="A17" s="118" t="s">
        <v>232</v>
      </c>
      <c r="B17" s="119"/>
      <c r="C17" s="120">
        <v>4</v>
      </c>
      <c r="D17" s="116"/>
      <c r="E17" s="116"/>
      <c r="F17" s="116"/>
    </row>
    <row r="18" spans="1:6" ht="12.75">
      <c r="A18" s="118" t="s">
        <v>148</v>
      </c>
      <c r="B18" s="340"/>
      <c r="C18" s="120">
        <v>5</v>
      </c>
      <c r="D18" s="116"/>
      <c r="E18" s="116"/>
      <c r="F18" s="116"/>
    </row>
    <row r="19" spans="1:6" ht="12.75">
      <c r="A19" s="118" t="s">
        <v>38</v>
      </c>
      <c r="B19" s="119"/>
      <c r="C19" s="121">
        <v>6</v>
      </c>
      <c r="D19" s="122"/>
      <c r="E19" s="122"/>
      <c r="F19" s="122"/>
    </row>
    <row r="20" spans="1:6" ht="12.75">
      <c r="A20" s="118" t="s">
        <v>39</v>
      </c>
      <c r="B20" s="119"/>
      <c r="C20" s="123">
        <v>7</v>
      </c>
      <c r="D20" s="122"/>
      <c r="E20" s="122"/>
      <c r="F20" s="122"/>
    </row>
    <row r="21" spans="1:6" ht="12.75">
      <c r="A21" s="124" t="s">
        <v>40</v>
      </c>
      <c r="B21" s="125" t="s">
        <v>41</v>
      </c>
      <c r="C21" s="126"/>
      <c r="D21" s="127"/>
      <c r="E21" s="127"/>
      <c r="F21" s="127"/>
    </row>
    <row r="22" spans="1:6" ht="15.75">
      <c r="A22" s="129" t="str">
        <f>IF((inputPrYr!$B16&gt;"  "),(inputPrYr!$B16),"  ")</f>
        <v>MCO # 1</v>
      </c>
      <c r="B22" s="128" t="str">
        <f>IF((inputPrYr!C16&gt;0),(inputPrYr!C16),"  ")</f>
        <v>19-3610</v>
      </c>
      <c r="C22" s="121">
        <f>IF('MCO#1-Tipton'!C78&gt;0,'MCO#1-Tipton'!C78,"  ")</f>
        <v>8</v>
      </c>
      <c r="D22" s="129">
        <f>IF('MCO#1-Tipton'!$E$33&lt;&gt;0,'MCO#1-Tipton'!$E$33,"  ")</f>
        <v>57000</v>
      </c>
      <c r="E22" s="334">
        <f>IF('MCO#1-Tipton'!$E$40&lt;&gt;0,'MCO#1-Tipton'!$E$40,0)</f>
        <v>43294.01</v>
      </c>
      <c r="F22" s="130" t="str">
        <f>IF(AND('MCO#1-Tipton'!E40=0,$F$40&gt;=0)," ",IF(AND(E22&gt;0,$F$40=0)," ",IF(AND(E22&gt;0,$F$40&gt;0),ROUND(E22/$F$40*1000,3))))</f>
        <v> </v>
      </c>
    </row>
    <row r="23" spans="1:6" ht="15.75">
      <c r="A23" s="129" t="str">
        <f>IF((inputPrYr!$B17&gt;"  "),(inputPrYr!$B17),"  ")</f>
        <v>Tipton # 2</v>
      </c>
      <c r="B23" s="128" t="str">
        <f>IF((inputPrYr!C17&gt;0),(inputPrYr!C17),"  ")</f>
        <v>19-3610</v>
      </c>
      <c r="C23" s="121">
        <f>IF('MCO#1-Tipton'!C78&gt;0,'MCO#1-Tipton'!C78,"  ")</f>
        <v>8</v>
      </c>
      <c r="D23" s="129">
        <f>IF('MCO#1-Tipton'!$E$70&lt;&gt;0,'MCO#1-Tipton'!$E$70,"  ")</f>
        <v>24000</v>
      </c>
      <c r="E23" s="334">
        <f>IF('MCO#1-Tipton'!$E$77&lt;&gt;0,'MCO#1-Tipton'!$E$77,0)</f>
        <v>17855</v>
      </c>
      <c r="F23" s="130" t="str">
        <f>IF(AND('MCO#1-Tipton'!E77=0,$F$40&gt;=0)," ",IF(AND(E23&gt;0,$F$40=0)," ",IF(AND(E23&gt;0,$F$40&gt;0),ROUND(E23/$F$40*1000,3))))</f>
        <v> </v>
      </c>
    </row>
    <row r="24" spans="1:6" ht="15.75">
      <c r="A24" s="129" t="str">
        <f>IF((inputPrYr!$B18&gt;"  "),(inputPrYr!$B18),"  ")</f>
        <v>Solomon Rapids F.D. # 3</v>
      </c>
      <c r="B24" s="128" t="str">
        <f>IF((inputPrYr!C18&gt;0),(inputPrYr!C18),"  ")</f>
        <v>19-3610</v>
      </c>
      <c r="C24" s="121">
        <f>IF('Solomon #3'!C78&gt;0,'Solomon #3'!C78,"  ")</f>
        <v>9</v>
      </c>
      <c r="D24" s="129">
        <f>IF('Solomon #3'!$E$33&lt;&gt;0,'Solomon #3'!$E$33,"  ")</f>
        <v>56655</v>
      </c>
      <c r="E24" s="334">
        <f>IF('Solomon #3'!$E$40&lt;&gt;0,'Solomon #3'!$E$40,0)</f>
        <v>50205</v>
      </c>
      <c r="F24" s="130" t="str">
        <f>IF(AND('Solomon #3'!E40=0,$F$40&gt;=0)," ",IF(AND(E24&gt;0,$F$40=0)," ",IF(AND(E24&gt;0,$F$40&gt;0),ROUND(E24/$F$40*1000,3))))</f>
        <v> </v>
      </c>
    </row>
    <row r="25" spans="1:6" ht="15.75">
      <c r="A25" s="129" t="str">
        <f>IF((inputPrYr!$B20&gt;"  "),(inputPrYr!$B20),"  ")</f>
        <v>  </v>
      </c>
      <c r="B25" s="128" t="str">
        <f>IF((inputPrYr!C20&gt;0),(inputPrYr!C20),"  ")</f>
        <v>  </v>
      </c>
      <c r="C25" s="121"/>
      <c r="D25" s="129"/>
      <c r="E25" s="334"/>
      <c r="F25" s="130"/>
    </row>
    <row r="26" spans="1:6" ht="15.75">
      <c r="A26" s="129" t="str">
        <f>IF((inputPrYr!$B21&gt;"  "),(inputPrYr!$B21),"  ")</f>
        <v>  </v>
      </c>
      <c r="B26" s="128" t="str">
        <f>IF((inputPrYr!C21&gt;0),(inputPrYr!C21),"  ")</f>
        <v>  </v>
      </c>
      <c r="C26" s="121"/>
      <c r="D26" s="129"/>
      <c r="E26" s="334"/>
      <c r="F26" s="130"/>
    </row>
    <row r="27" spans="1:6" ht="12.75">
      <c r="A27" s="129" t="str">
        <f>IF((inputPrYr!$B24&gt;"  "),(inputPrYr!$B24),"  ")</f>
        <v>MCO F.D. # 1 Spec. Equip.</v>
      </c>
      <c r="B27" s="132"/>
      <c r="C27" s="121">
        <f>IF('MCOEq-TipEq.'!C66&gt;0,'MCOEq-TipEq.'!C66,"  ")</f>
        <v>10</v>
      </c>
      <c r="D27" s="129">
        <f>IF('MCOEq-TipEq.'!$E$29&lt;&gt;0,'MCOEq-TipEq.'!$E$29,"  ")</f>
        <v>7130</v>
      </c>
      <c r="E27" s="126"/>
      <c r="F27" s="126"/>
    </row>
    <row r="28" spans="1:6" ht="12.75">
      <c r="A28" s="129" t="str">
        <f>IF((inputPrYr!$B25&gt;"  "),(inputPrYr!$B25),"  ")</f>
        <v>Tipton F.D. # 2 Spec. Equip.</v>
      </c>
      <c r="B28" s="132"/>
      <c r="C28" s="121">
        <f>IF('MCOEq-TipEq.'!C66&gt;0,'MCOEq-TipEq.'!C66,"  ")</f>
        <v>10</v>
      </c>
      <c r="D28" s="129">
        <f>IF('MCOEq-TipEq.'!$E$60&lt;&gt;0,'MCOEq-TipEq.'!$E$60,"  ")</f>
        <v>1818</v>
      </c>
      <c r="E28" s="126"/>
      <c r="F28" s="126"/>
    </row>
    <row r="29" spans="1:6" ht="12.75">
      <c r="A29" s="129" t="str">
        <f>IF((inputPrYr!$B26&gt;"  "),(inputPrYr!$B26),"  ")</f>
        <v>Solomon Rapids F.D. # 3 Spec. Equip.</v>
      </c>
      <c r="B29" s="132"/>
      <c r="C29" s="121">
        <f>IF(SolomonEq!C66&gt;0,SolomonEq!C66,"  ")</f>
        <v>11</v>
      </c>
      <c r="D29" s="129">
        <f>IF(SolomonEq!$E$29&lt;&gt;0,SolomonEq!$E$29,"  ")</f>
        <v>66252</v>
      </c>
      <c r="E29" s="126"/>
      <c r="F29" s="126"/>
    </row>
    <row r="30" spans="1:6" ht="12.75">
      <c r="A30" s="129" t="str">
        <f>IF((inputPrYr!$B27&gt;"  "),(inputPrYr!$B27),"  ")</f>
        <v>  </v>
      </c>
      <c r="B30" s="132"/>
      <c r="C30" s="121"/>
      <c r="D30" s="129" t="str">
        <f>IF(SolomonEq!$E$60&lt;&gt;0,SolomonEq!$E$60,"  ")</f>
        <v>  </v>
      </c>
      <c r="E30" s="126"/>
      <c r="F30" s="126"/>
    </row>
    <row r="31" spans="1:6" ht="12.75">
      <c r="A31" s="129" t="str">
        <f>IF((inputPrYr!$B28&gt;"  "),(inputPrYr!$B28),"  ")</f>
        <v>  </v>
      </c>
      <c r="B31" s="132"/>
      <c r="C31" s="121"/>
      <c r="D31" s="129"/>
      <c r="E31" s="133"/>
      <c r="F31" s="133"/>
    </row>
    <row r="32" spans="1:6" ht="12.75">
      <c r="A32" s="129" t="str">
        <f>IF((inputPrYr!$B29&gt;"  "),(inputPrYr!$B29),"  ")</f>
        <v>  </v>
      </c>
      <c r="B32" s="126"/>
      <c r="C32" s="121"/>
      <c r="D32" s="129"/>
      <c r="E32" s="133"/>
      <c r="F32" s="133"/>
    </row>
    <row r="33" spans="1:6" ht="12.75">
      <c r="A33" s="129" t="str">
        <f>IF((inputPrYr!$B33&gt;"  "),(#REF!),"  ")</f>
        <v>  </v>
      </c>
      <c r="B33" s="126"/>
      <c r="C33" s="121"/>
      <c r="D33" s="129"/>
      <c r="E33" s="133"/>
      <c r="F33" s="133"/>
    </row>
    <row r="34" spans="1:6" ht="12.75">
      <c r="A34" s="129" t="str">
        <f>IF((inputPrYr!$B39&gt;"  "),(#REF!),"  ")</f>
        <v>  </v>
      </c>
      <c r="B34" s="126"/>
      <c r="C34" s="121"/>
      <c r="D34" s="129"/>
      <c r="E34" s="133"/>
      <c r="F34" s="133"/>
    </row>
    <row r="35" spans="1:6" ht="12.75">
      <c r="A35" s="129" t="str">
        <f>IF((inputPrYr!$B45&gt;"  "),(#REF!),"  ")</f>
        <v>  </v>
      </c>
      <c r="B35" s="126"/>
      <c r="C35" s="121"/>
      <c r="D35" s="129"/>
      <c r="E35" s="133"/>
      <c r="F35" s="133"/>
    </row>
    <row r="36" spans="1:6" ht="12.75">
      <c r="A36" s="129" t="str">
        <f>IF((inputPrYr!$B51&gt;"  "),(#REF!),"  ")</f>
        <v>  </v>
      </c>
      <c r="B36" s="126"/>
      <c r="C36" s="121"/>
      <c r="D36" s="129"/>
      <c r="E36" s="133"/>
      <c r="F36" s="133"/>
    </row>
    <row r="37" spans="1:6" ht="14.25" customHeight="1" thickBot="1">
      <c r="A37" s="134" t="s">
        <v>47</v>
      </c>
      <c r="B37" s="133"/>
      <c r="C37" s="121" t="s">
        <v>13</v>
      </c>
      <c r="D37" s="135">
        <f>SUM(D22:D36)</f>
        <v>212855</v>
      </c>
      <c r="E37" s="135">
        <f>SUM(E22:E26)</f>
        <v>111354.01000000001</v>
      </c>
      <c r="F37" s="136">
        <f>IF(SUM(F22:F26)=0,"",SUM(F22:F26))</f>
      </c>
    </row>
    <row r="38" spans="1:6" ht="14.25" customHeight="1" thickTop="1">
      <c r="A38" s="137" t="s">
        <v>12</v>
      </c>
      <c r="B38" s="138"/>
      <c r="C38" s="121">
        <f>summ!E60</f>
        <v>12</v>
      </c>
      <c r="D38" s="139"/>
      <c r="E38" s="139"/>
      <c r="F38" s="117"/>
    </row>
    <row r="39" spans="1:6" ht="12.75">
      <c r="A39" s="118"/>
      <c r="B39" s="119"/>
      <c r="C39" s="121"/>
      <c r="D39" s="140"/>
      <c r="E39" s="104"/>
      <c r="F39" s="295" t="s">
        <v>165</v>
      </c>
    </row>
    <row r="40" spans="1:6" ht="15.75">
      <c r="A40" s="376"/>
      <c r="B40" s="377"/>
      <c r="C40" s="131"/>
      <c r="D40" s="141" t="s">
        <v>15</v>
      </c>
      <c r="E40" s="142" t="str">
        <f>IF(E37&gt;'comp-MCO # 1'!J35,"Yes","No")</f>
        <v>Yes</v>
      </c>
      <c r="F40" s="143"/>
    </row>
    <row r="41" spans="1:6" ht="14.25" customHeight="1">
      <c r="A41" s="118" t="s">
        <v>14</v>
      </c>
      <c r="B41" s="144"/>
      <c r="C41" s="131">
        <f>IF(Resolution!E55&gt;0,Resolution!E55,"")</f>
        <v>13</v>
      </c>
      <c r="D41" s="140"/>
      <c r="E41" s="117"/>
      <c r="F41" s="379" t="str">
        <f>CONCATENATE("Nov 1, ",F3-1," Total Assessed Valuation")</f>
        <v>Nov 1, 2011 Total Assessed Valuation</v>
      </c>
    </row>
    <row r="42" spans="1:6" ht="12.75">
      <c r="A42" s="102" t="s">
        <v>43</v>
      </c>
      <c r="B42" s="104"/>
      <c r="C42" s="107"/>
      <c r="D42" s="104"/>
      <c r="E42" s="104"/>
      <c r="F42" s="380"/>
    </row>
    <row r="43" spans="1:6" ht="12.75">
      <c r="A43" s="146" t="s">
        <v>263</v>
      </c>
      <c r="B43" s="104"/>
      <c r="C43" s="104"/>
      <c r="D43" s="104"/>
      <c r="E43" s="266"/>
      <c r="F43" s="266"/>
    </row>
    <row r="44" spans="1:6" ht="12.75">
      <c r="A44" s="148" t="s">
        <v>264</v>
      </c>
      <c r="B44" s="145"/>
      <c r="C44" s="104"/>
      <c r="D44" s="104"/>
      <c r="E44" s="147"/>
      <c r="F44" s="147"/>
    </row>
    <row r="45" spans="1:6" ht="12.75">
      <c r="A45" s="265" t="s">
        <v>166</v>
      </c>
      <c r="B45" s="145"/>
      <c r="C45" s="293"/>
      <c r="D45" s="293"/>
      <c r="E45" s="294"/>
      <c r="F45" s="294"/>
    </row>
    <row r="46" spans="1:6" ht="12.75">
      <c r="A46" s="146" t="s">
        <v>265</v>
      </c>
      <c r="B46" s="104"/>
      <c r="C46" s="114"/>
      <c r="D46" s="114"/>
      <c r="E46" s="149"/>
      <c r="F46" s="149"/>
    </row>
    <row r="47" spans="1:6" ht="12.75">
      <c r="A47" s="148" t="s">
        <v>266</v>
      </c>
      <c r="B47" s="150"/>
      <c r="C47" s="104"/>
      <c r="D47" s="104"/>
      <c r="E47" s="147"/>
      <c r="F47" s="151"/>
    </row>
    <row r="48" spans="1:6" ht="12.75">
      <c r="A48" s="148"/>
      <c r="B48" s="104"/>
      <c r="C48" s="114"/>
      <c r="D48" s="114"/>
      <c r="E48" s="149"/>
      <c r="F48" s="152"/>
    </row>
    <row r="49" spans="1:6" ht="12.75">
      <c r="A49" s="292" t="s">
        <v>6</v>
      </c>
      <c r="B49" s="153">
        <f>F3-1</f>
        <v>2011</v>
      </c>
      <c r="C49" s="104"/>
      <c r="D49" s="104"/>
      <c r="E49" s="105"/>
      <c r="F49" s="104"/>
    </row>
    <row r="50" spans="1:6" ht="12.75">
      <c r="A50" s="291"/>
      <c r="B50" s="104"/>
      <c r="C50" s="114"/>
      <c r="D50" s="114"/>
      <c r="E50" s="114"/>
      <c r="F50" s="114"/>
    </row>
    <row r="51" spans="1:6" ht="15">
      <c r="A51" s="296" t="s">
        <v>45</v>
      </c>
      <c r="B51" s="104"/>
      <c r="C51" s="378" t="s">
        <v>44</v>
      </c>
      <c r="D51" s="375"/>
      <c r="E51" s="375"/>
      <c r="F51" s="375"/>
    </row>
    <row r="52" spans="1:6" ht="12.75">
      <c r="A52" s="367"/>
      <c r="B52" s="367"/>
      <c r="C52" s="367"/>
      <c r="D52" s="367"/>
      <c r="E52" s="367"/>
      <c r="F52" s="367"/>
    </row>
    <row r="53" spans="3:6" ht="12.75">
      <c r="C53" s="154"/>
      <c r="E53" s="154"/>
      <c r="F53" s="154"/>
    </row>
  </sheetData>
  <sheetProtection/>
  <mergeCells count="9">
    <mergeCell ref="A52:F52"/>
    <mergeCell ref="A2:F2"/>
    <mergeCell ref="E13:E14"/>
    <mergeCell ref="A6:F6"/>
    <mergeCell ref="A4:F4"/>
    <mergeCell ref="A5:F5"/>
    <mergeCell ref="A40:B40"/>
    <mergeCell ref="C51:F51"/>
    <mergeCell ref="F41:F42"/>
  </mergeCells>
  <printOptions/>
  <pageMargins left="0.5" right="0.5" top="0" bottom="0.23" header="0" footer="0"/>
  <pageSetup blackAndWhite="1" fitToHeight="1" fitToWidth="1" horizontalDpi="120" verticalDpi="120" orientation="portrait" scale="85" r:id="rId1"/>
  <headerFooter alignWithMargins="0">
    <oddHeader>&amp;RState of Kansas
County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view="pageBreakPreview" zoomScale="99" zoomScaleNormal="85" zoomScaleSheetLayoutView="99" zoomScalePageLayoutView="0" workbookViewId="0" topLeftCell="A22">
      <selection activeCell="H34" sqref="H34"/>
    </sheetView>
  </sheetViews>
  <sheetFormatPr defaultColWidth="8.7968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28"/>
      <c r="B1" s="28"/>
      <c r="C1" s="161" t="str">
        <f>inputPrYr!C2</f>
        <v>MITCHELL COUNTY</v>
      </c>
      <c r="D1" s="28"/>
      <c r="E1" s="28"/>
      <c r="F1" s="28"/>
      <c r="G1" s="28"/>
      <c r="H1" s="28"/>
      <c r="I1" s="28"/>
      <c r="J1" s="28">
        <f>inputPrYr!C4</f>
        <v>2012</v>
      </c>
    </row>
    <row r="2" spans="1:10" ht="15.75" customHeight="1">
      <c r="A2" s="28"/>
      <c r="B2" s="28"/>
      <c r="C2" s="28"/>
      <c r="D2" s="28"/>
      <c r="E2" s="28" t="s">
        <v>224</v>
      </c>
      <c r="F2" s="28"/>
      <c r="G2" s="28"/>
      <c r="H2" s="28"/>
      <c r="I2" s="28"/>
      <c r="J2" s="28"/>
    </row>
    <row r="3" spans="1:10" ht="15.75">
      <c r="A3" s="355" t="str">
        <f>CONCATENATE("Computation to Determine Limit for ",J1,"")</f>
        <v>Computation to Determine Limit for 2012</v>
      </c>
      <c r="B3" s="382"/>
      <c r="C3" s="382"/>
      <c r="D3" s="382"/>
      <c r="E3" s="382"/>
      <c r="F3" s="382"/>
      <c r="G3" s="382"/>
      <c r="H3" s="382"/>
      <c r="I3" s="382"/>
      <c r="J3" s="382"/>
    </row>
    <row r="4" spans="1:10" ht="15.75">
      <c r="A4" s="28"/>
      <c r="B4" s="28"/>
      <c r="C4" s="28"/>
      <c r="D4" s="28"/>
      <c r="E4" s="382"/>
      <c r="F4" s="382"/>
      <c r="G4" s="382"/>
      <c r="H4" s="162"/>
      <c r="I4" s="28"/>
      <c r="J4" s="163" t="s">
        <v>112</v>
      </c>
    </row>
    <row r="5" spans="1:10" ht="15.75">
      <c r="A5" s="164" t="s">
        <v>113</v>
      </c>
      <c r="B5" s="28" t="str">
        <f>CONCATENATE("Total Tax Levy Amount in ",J1-1," Budget")</f>
        <v>Total Tax Levy Amount in 2011 Budget</v>
      </c>
      <c r="C5" s="28"/>
      <c r="D5" s="28"/>
      <c r="E5" s="86"/>
      <c r="F5" s="86"/>
      <c r="G5" s="86"/>
      <c r="H5" s="165" t="s">
        <v>114</v>
      </c>
      <c r="I5" s="86" t="s">
        <v>115</v>
      </c>
      <c r="J5" s="166">
        <f>inputPrYr!E16</f>
        <v>49285</v>
      </c>
    </row>
    <row r="6" spans="1:10" ht="15.75">
      <c r="A6" s="164" t="s">
        <v>116</v>
      </c>
      <c r="B6" s="28" t="str">
        <f>CONCATENATE("Debt Service Levy in ",J1-1," Budget")</f>
        <v>Debt Service Levy in 2011 Budget</v>
      </c>
      <c r="C6" s="28"/>
      <c r="D6" s="28"/>
      <c r="E6" s="86"/>
      <c r="F6" s="86"/>
      <c r="G6" s="86"/>
      <c r="H6" s="165" t="s">
        <v>117</v>
      </c>
      <c r="I6" s="86" t="s">
        <v>115</v>
      </c>
      <c r="J6" s="92"/>
    </row>
    <row r="7" spans="1:10" ht="15.75">
      <c r="A7" s="164" t="s">
        <v>118</v>
      </c>
      <c r="B7" s="93" t="s">
        <v>134</v>
      </c>
      <c r="C7" s="28"/>
      <c r="D7" s="28"/>
      <c r="E7" s="86"/>
      <c r="F7" s="86"/>
      <c r="G7" s="86"/>
      <c r="H7" s="86"/>
      <c r="I7" s="86" t="s">
        <v>115</v>
      </c>
      <c r="J7" s="92">
        <f>J5-J6</f>
        <v>49285</v>
      </c>
    </row>
    <row r="8" spans="1:10" ht="15.75">
      <c r="A8" s="28"/>
      <c r="B8" s="28"/>
      <c r="C8" s="28"/>
      <c r="D8" s="28"/>
      <c r="E8" s="86"/>
      <c r="F8" s="86"/>
      <c r="G8" s="86"/>
      <c r="H8" s="86"/>
      <c r="I8" s="86"/>
      <c r="J8" s="86"/>
    </row>
    <row r="9" spans="1:10" ht="15.75">
      <c r="A9" s="28"/>
      <c r="B9" s="93" t="str">
        <f>CONCATENATE("",J1-1," Valuation Information for Valuation Adjustments:")</f>
        <v>2011 Valuation Information for Valuation Adjustments:</v>
      </c>
      <c r="C9" s="28"/>
      <c r="D9" s="28"/>
      <c r="E9" s="86"/>
      <c r="F9" s="86"/>
      <c r="G9" s="86"/>
      <c r="H9" s="86"/>
      <c r="I9" s="86"/>
      <c r="J9" s="86"/>
    </row>
    <row r="10" spans="1:10" ht="15.75">
      <c r="A10" s="28"/>
      <c r="B10" s="28"/>
      <c r="C10" s="93"/>
      <c r="D10" s="28"/>
      <c r="E10" s="86"/>
      <c r="F10" s="86"/>
      <c r="G10" s="86"/>
      <c r="H10" s="86"/>
      <c r="I10" s="86"/>
      <c r="J10" s="86"/>
    </row>
    <row r="11" spans="1:10" ht="15.75">
      <c r="A11" s="164" t="s">
        <v>119</v>
      </c>
      <c r="B11" s="93" t="str">
        <f>CONCATENATE("New Improvements for ",J1-1,":")</f>
        <v>New Improvements for 2011:</v>
      </c>
      <c r="C11" s="28"/>
      <c r="D11" s="28"/>
      <c r="E11" s="165"/>
      <c r="F11" s="165" t="s">
        <v>114</v>
      </c>
      <c r="G11" s="166">
        <v>39688</v>
      </c>
      <c r="H11" s="64"/>
      <c r="I11" s="86"/>
      <c r="J11" s="86"/>
    </row>
    <row r="12" spans="1:10" ht="15.75">
      <c r="A12" s="164"/>
      <c r="B12" s="164"/>
      <c r="C12" s="28"/>
      <c r="D12" s="28"/>
      <c r="E12" s="165"/>
      <c r="F12" s="165"/>
      <c r="G12" s="64"/>
      <c r="H12" s="64"/>
      <c r="I12" s="86"/>
      <c r="J12" s="86"/>
    </row>
    <row r="13" spans="1:10" ht="15.75">
      <c r="A13" s="164" t="s">
        <v>120</v>
      </c>
      <c r="B13" s="93" t="str">
        <f>CONCATENATE("Increase in Personal Property for ",J1-1,":")</f>
        <v>Increase in Personal Property for 2011:</v>
      </c>
      <c r="C13" s="28"/>
      <c r="D13" s="28"/>
      <c r="E13" s="165"/>
      <c r="F13" s="165"/>
      <c r="G13" s="64"/>
      <c r="H13" s="64"/>
      <c r="I13" s="86"/>
      <c r="J13" s="86"/>
    </row>
    <row r="14" spans="1:10" ht="15.75">
      <c r="A14" s="28"/>
      <c r="B14" s="28" t="s">
        <v>121</v>
      </c>
      <c r="C14" s="28" t="str">
        <f>CONCATENATE("Personal Property ",J1-1,"")</f>
        <v>Personal Property 2011</v>
      </c>
      <c r="D14" s="164" t="s">
        <v>114</v>
      </c>
      <c r="E14" s="166">
        <v>258526</v>
      </c>
      <c r="F14" s="165"/>
      <c r="G14" s="86"/>
      <c r="H14" s="86"/>
      <c r="I14" s="64"/>
      <c r="J14" s="86"/>
    </row>
    <row r="15" spans="1:10" ht="15.75">
      <c r="A15" s="164"/>
      <c r="B15" s="28" t="s">
        <v>122</v>
      </c>
      <c r="C15" s="28" t="str">
        <f>CONCATENATE("Personal Property ",J1-2,"")</f>
        <v>Personal Property 2010</v>
      </c>
      <c r="D15" s="164" t="s">
        <v>117</v>
      </c>
      <c r="E15" s="92">
        <v>279418</v>
      </c>
      <c r="F15" s="165"/>
      <c r="G15" s="64"/>
      <c r="H15" s="64"/>
      <c r="I15" s="86"/>
      <c r="J15" s="86"/>
    </row>
    <row r="16" spans="1:10" ht="15.75">
      <c r="A16" s="164"/>
      <c r="B16" s="28" t="s">
        <v>123</v>
      </c>
      <c r="C16" s="28" t="s">
        <v>136</v>
      </c>
      <c r="D16" s="28"/>
      <c r="E16" s="86"/>
      <c r="F16" s="86" t="s">
        <v>114</v>
      </c>
      <c r="G16" s="166">
        <f>IF(E14&gt;E15,E14-E15,0)</f>
        <v>0</v>
      </c>
      <c r="H16" s="64"/>
      <c r="I16" s="86"/>
      <c r="J16" s="86"/>
    </row>
    <row r="17" spans="1:10" ht="15.75">
      <c r="A17" s="164"/>
      <c r="B17" s="164"/>
      <c r="C17" s="28"/>
      <c r="D17" s="28"/>
      <c r="E17" s="86"/>
      <c r="F17" s="86"/>
      <c r="G17" s="64" t="s">
        <v>129</v>
      </c>
      <c r="H17" s="64"/>
      <c r="I17" s="86"/>
      <c r="J17" s="86"/>
    </row>
    <row r="18" spans="1:10" ht="15.75">
      <c r="A18" s="164"/>
      <c r="B18" s="164"/>
      <c r="C18" s="28"/>
      <c r="D18" s="164"/>
      <c r="E18" s="64"/>
      <c r="F18" s="86"/>
      <c r="G18" s="64"/>
      <c r="H18" s="64"/>
      <c r="I18" s="86"/>
      <c r="J18" s="86"/>
    </row>
    <row r="19" spans="1:10" ht="15.75">
      <c r="A19" s="164" t="s">
        <v>124</v>
      </c>
      <c r="B19" s="93" t="str">
        <f>CONCATENATE("Valuation of Property that has Changed in Use during ",J1-1,":")</f>
        <v>Valuation of Property that has Changed in Use during 2011:</v>
      </c>
      <c r="C19" s="28"/>
      <c r="D19" s="28"/>
      <c r="E19" s="86"/>
      <c r="F19" s="86"/>
      <c r="G19" s="86">
        <v>38358</v>
      </c>
      <c r="H19" s="86"/>
      <c r="I19" s="86"/>
      <c r="J19" s="86"/>
    </row>
    <row r="20" spans="1:10" ht="15.75">
      <c r="A20" s="164"/>
      <c r="B20" s="28"/>
      <c r="C20" s="28"/>
      <c r="D20" s="164"/>
      <c r="E20" s="64"/>
      <c r="F20" s="86"/>
      <c r="G20" s="167"/>
      <c r="H20" s="64"/>
      <c r="I20" s="86"/>
      <c r="J20" s="86"/>
    </row>
    <row r="21" spans="1:10" ht="15.75">
      <c r="A21" s="164" t="s">
        <v>131</v>
      </c>
      <c r="B21" s="93" t="s">
        <v>135</v>
      </c>
      <c r="C21" s="28"/>
      <c r="D21" s="28"/>
      <c r="E21" s="86"/>
      <c r="F21" s="86"/>
      <c r="G21" s="166">
        <f>G11+G16+G19</f>
        <v>78046</v>
      </c>
      <c r="H21" s="64"/>
      <c r="I21" s="86"/>
      <c r="J21" s="86"/>
    </row>
    <row r="22" spans="1:10" ht="15.75">
      <c r="A22" s="164"/>
      <c r="B22" s="164"/>
      <c r="C22" s="93"/>
      <c r="D22" s="28"/>
      <c r="E22" s="86"/>
      <c r="F22" s="86"/>
      <c r="G22" s="64"/>
      <c r="H22" s="64"/>
      <c r="I22" s="86"/>
      <c r="J22" s="86"/>
    </row>
    <row r="23" spans="1:10" ht="15.75">
      <c r="A23" s="164" t="s">
        <v>132</v>
      </c>
      <c r="B23" s="28" t="str">
        <f>CONCATENATE("Total Estimated Valuation July 1,",J1-1,"")</f>
        <v>Total Estimated Valuation July 1,2011</v>
      </c>
      <c r="C23" s="28"/>
      <c r="D23" s="28"/>
      <c r="E23" s="166">
        <f>summ!B53</f>
        <v>7368097</v>
      </c>
      <c r="F23" s="86"/>
      <c r="G23" s="86"/>
      <c r="H23" s="86"/>
      <c r="I23" s="165"/>
      <c r="J23" s="86"/>
    </row>
    <row r="24" spans="1:10" ht="15.75">
      <c r="A24" s="164"/>
      <c r="B24" s="164"/>
      <c r="C24" s="28"/>
      <c r="D24" s="28"/>
      <c r="E24" s="64"/>
      <c r="F24" s="86"/>
      <c r="G24" s="86"/>
      <c r="H24" s="86"/>
      <c r="I24" s="165"/>
      <c r="J24" s="86"/>
    </row>
    <row r="25" spans="1:10" ht="15.75">
      <c r="A25" s="164" t="s">
        <v>125</v>
      </c>
      <c r="B25" s="93" t="s">
        <v>139</v>
      </c>
      <c r="C25" s="28"/>
      <c r="D25" s="28"/>
      <c r="E25" s="86"/>
      <c r="F25" s="86"/>
      <c r="G25" s="166">
        <f>E23-G21</f>
        <v>7290051</v>
      </c>
      <c r="H25" s="64"/>
      <c r="I25" s="165"/>
      <c r="J25" s="86"/>
    </row>
    <row r="26" spans="1:10" ht="15.75">
      <c r="A26" s="164"/>
      <c r="B26" s="164"/>
      <c r="C26" s="93"/>
      <c r="D26" s="28"/>
      <c r="E26" s="28"/>
      <c r="F26" s="28"/>
      <c r="G26" s="168"/>
      <c r="H26" s="31"/>
      <c r="I26" s="164"/>
      <c r="J26" s="28"/>
    </row>
    <row r="27" spans="1:10" ht="15.75">
      <c r="A27" s="164" t="s">
        <v>126</v>
      </c>
      <c r="B27" s="28" t="s">
        <v>138</v>
      </c>
      <c r="C27" s="28"/>
      <c r="D27" s="28"/>
      <c r="E27" s="28"/>
      <c r="F27" s="28"/>
      <c r="G27" s="169">
        <f>IF(G21&gt;0,G21/G25,0)</f>
        <v>0.010705823594375403</v>
      </c>
      <c r="H27" s="31"/>
      <c r="I27" s="28"/>
      <c r="J27" s="28"/>
    </row>
    <row r="28" spans="1:10" ht="15.75">
      <c r="A28" s="164"/>
      <c r="B28" s="164"/>
      <c r="C28" s="28"/>
      <c r="D28" s="28"/>
      <c r="E28" s="28"/>
      <c r="F28" s="28"/>
      <c r="G28" s="31"/>
      <c r="H28" s="31"/>
      <c r="I28" s="28"/>
      <c r="J28" s="28"/>
    </row>
    <row r="29" spans="1:10" ht="15.75">
      <c r="A29" s="164" t="s">
        <v>127</v>
      </c>
      <c r="B29" s="28" t="s">
        <v>137</v>
      </c>
      <c r="C29" s="28"/>
      <c r="D29" s="28"/>
      <c r="E29" s="28"/>
      <c r="F29" s="28"/>
      <c r="G29" s="31"/>
      <c r="H29" s="170" t="s">
        <v>114</v>
      </c>
      <c r="I29" s="28" t="s">
        <v>115</v>
      </c>
      <c r="J29" s="166">
        <f>ROUND(G27*J7,0)</f>
        <v>528</v>
      </c>
    </row>
    <row r="30" spans="1:10" ht="15.75">
      <c r="A30" s="164"/>
      <c r="B30" s="164"/>
      <c r="C30" s="28"/>
      <c r="D30" s="28"/>
      <c r="E30" s="28"/>
      <c r="F30" s="28"/>
      <c r="G30" s="31"/>
      <c r="H30" s="170"/>
      <c r="I30" s="28"/>
      <c r="J30" s="64"/>
    </row>
    <row r="31" spans="1:10" ht="16.5" thickBot="1">
      <c r="A31" s="164" t="s">
        <v>128</v>
      </c>
      <c r="B31" s="93" t="s">
        <v>143</v>
      </c>
      <c r="C31" s="28"/>
      <c r="D31" s="28"/>
      <c r="E31" s="28"/>
      <c r="F31" s="28"/>
      <c r="G31" s="28"/>
      <c r="H31" s="28"/>
      <c r="I31" s="28" t="s">
        <v>115</v>
      </c>
      <c r="J31" s="171">
        <f>J7+J29</f>
        <v>49813</v>
      </c>
    </row>
    <row r="32" spans="1:10" ht="16.5" thickTop="1">
      <c r="A32" s="28"/>
      <c r="B32" s="28"/>
      <c r="C32" s="28"/>
      <c r="D32" s="28"/>
      <c r="E32" s="28"/>
      <c r="F32" s="28"/>
      <c r="G32" s="28"/>
      <c r="H32" s="28"/>
      <c r="I32" s="28"/>
      <c r="J32" s="28"/>
    </row>
    <row r="33" spans="1:10" ht="15.75">
      <c r="A33" s="164" t="s">
        <v>141</v>
      </c>
      <c r="B33" s="93" t="str">
        <f>CONCATENATE("Debt Service Levy in this ",J1," Budget")</f>
        <v>Debt Service Levy in this 2012 Budget</v>
      </c>
      <c r="C33" s="28"/>
      <c r="D33" s="28"/>
      <c r="E33" s="28"/>
      <c r="F33" s="28"/>
      <c r="G33" s="28"/>
      <c r="H33" s="28"/>
      <c r="I33" s="28"/>
      <c r="J33" s="166"/>
    </row>
    <row r="34" spans="1:10" ht="15.75">
      <c r="A34" s="164"/>
      <c r="B34" s="93"/>
      <c r="C34" s="28"/>
      <c r="D34" s="28"/>
      <c r="E34" s="28"/>
      <c r="F34" s="28"/>
      <c r="G34" s="28"/>
      <c r="H34" s="28"/>
      <c r="I34" s="28"/>
      <c r="J34" s="31"/>
    </row>
    <row r="35" spans="1:10" ht="16.5" thickBot="1">
      <c r="A35" s="164" t="s">
        <v>142</v>
      </c>
      <c r="B35" s="93" t="s">
        <v>144</v>
      </c>
      <c r="C35" s="28"/>
      <c r="D35" s="28"/>
      <c r="E35" s="28"/>
      <c r="F35" s="28"/>
      <c r="G35" s="28"/>
      <c r="H35" s="28"/>
      <c r="I35" s="28"/>
      <c r="J35" s="171">
        <f>J31+J33</f>
        <v>49813</v>
      </c>
    </row>
    <row r="36" spans="1:10" ht="16.5" thickTop="1">
      <c r="A36" s="28"/>
      <c r="B36" s="28"/>
      <c r="C36" s="28"/>
      <c r="D36" s="28"/>
      <c r="E36" s="28"/>
      <c r="F36" s="28"/>
      <c r="G36" s="28"/>
      <c r="H36" s="28"/>
      <c r="I36" s="28"/>
      <c r="J36" s="28"/>
    </row>
    <row r="37" spans="1:10" s="172" customFormat="1" ht="18.75">
      <c r="A37" s="381" t="str">
        <f>CONCATENATE("If the ",J1," budget includes tax levies exceeding the total on line 14, you must")</f>
        <v>If the 2012 budget includes tax levies exceeding the total on line 14, you must</v>
      </c>
      <c r="B37" s="381"/>
      <c r="C37" s="381"/>
      <c r="D37" s="381"/>
      <c r="E37" s="381"/>
      <c r="F37" s="381"/>
      <c r="G37" s="381"/>
      <c r="H37" s="381"/>
      <c r="I37" s="381"/>
      <c r="J37" s="381"/>
    </row>
    <row r="38" spans="1:10" s="172" customFormat="1" ht="18.75">
      <c r="A38" s="381" t="s">
        <v>140</v>
      </c>
      <c r="B38" s="381"/>
      <c r="C38" s="381"/>
      <c r="D38" s="381"/>
      <c r="E38" s="381"/>
      <c r="F38" s="381"/>
      <c r="G38" s="381"/>
      <c r="H38" s="381"/>
      <c r="I38" s="381"/>
      <c r="J38" s="381"/>
    </row>
  </sheetData>
  <sheetProtection/>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8"/>
  <sheetViews>
    <sheetView view="pageBreakPreview" zoomScale="116" zoomScaleNormal="85" zoomScaleSheetLayoutView="116" zoomScalePageLayoutView="0" workbookViewId="0" topLeftCell="A17">
      <selection activeCell="C21" sqref="C21"/>
    </sheetView>
  </sheetViews>
  <sheetFormatPr defaultColWidth="8.7968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28"/>
      <c r="B1" s="28"/>
      <c r="C1" s="161" t="str">
        <f>inputPrYr!C2</f>
        <v>MITCHELL COUNTY</v>
      </c>
      <c r="D1" s="28"/>
      <c r="E1" s="28"/>
      <c r="F1" s="28"/>
      <c r="G1" s="28"/>
      <c r="H1" s="28"/>
      <c r="I1" s="28"/>
      <c r="J1" s="28">
        <f>inputPrYr!C4</f>
        <v>2012</v>
      </c>
    </row>
    <row r="2" spans="1:10" ht="15.75" customHeight="1">
      <c r="A2" s="28"/>
      <c r="B2" s="28"/>
      <c r="C2" s="28"/>
      <c r="D2" s="28"/>
      <c r="E2" s="28" t="s">
        <v>225</v>
      </c>
      <c r="F2" s="28"/>
      <c r="G2" s="28"/>
      <c r="H2" s="28"/>
      <c r="I2" s="28"/>
      <c r="J2" s="28"/>
    </row>
    <row r="3" spans="1:10" ht="15.75">
      <c r="A3" s="355" t="str">
        <f>CONCATENATE("Computation to Determine Limit for ",J1,"")</f>
        <v>Computation to Determine Limit for 2012</v>
      </c>
      <c r="B3" s="382"/>
      <c r="C3" s="382"/>
      <c r="D3" s="382"/>
      <c r="E3" s="382"/>
      <c r="F3" s="382"/>
      <c r="G3" s="382"/>
      <c r="H3" s="382"/>
      <c r="I3" s="382"/>
      <c r="J3" s="382"/>
    </row>
    <row r="4" spans="1:10" ht="15.75">
      <c r="A4" s="28"/>
      <c r="B4" s="28"/>
      <c r="C4" s="28"/>
      <c r="D4" s="28"/>
      <c r="E4" s="382"/>
      <c r="F4" s="382"/>
      <c r="G4" s="382"/>
      <c r="H4" s="162"/>
      <c r="I4" s="28"/>
      <c r="J4" s="163" t="s">
        <v>112</v>
      </c>
    </row>
    <row r="5" spans="1:10" ht="15.75">
      <c r="A5" s="164" t="s">
        <v>113</v>
      </c>
      <c r="B5" s="28" t="str">
        <f>CONCATENATE("Total Tax Levy Amount in ",J1-1," Budget")</f>
        <v>Total Tax Levy Amount in 2011 Budget</v>
      </c>
      <c r="C5" s="28"/>
      <c r="D5" s="28"/>
      <c r="E5" s="86"/>
      <c r="F5" s="86"/>
      <c r="G5" s="86"/>
      <c r="H5" s="165" t="s">
        <v>114</v>
      </c>
      <c r="I5" s="86" t="s">
        <v>115</v>
      </c>
      <c r="J5" s="166">
        <f>inputPrYr!E17</f>
        <v>11318</v>
      </c>
    </row>
    <row r="6" spans="1:10" ht="15.75">
      <c r="A6" s="164" t="s">
        <v>116</v>
      </c>
      <c r="B6" s="28" t="str">
        <f>CONCATENATE("Debt Service Levy in ",J1-1," Budget")</f>
        <v>Debt Service Levy in 2011 Budget</v>
      </c>
      <c r="C6" s="28"/>
      <c r="D6" s="28"/>
      <c r="E6" s="86"/>
      <c r="F6" s="86"/>
      <c r="G6" s="86"/>
      <c r="H6" s="165" t="s">
        <v>117</v>
      </c>
      <c r="I6" s="86" t="s">
        <v>115</v>
      </c>
      <c r="J6" s="92"/>
    </row>
    <row r="7" spans="1:10" ht="15.75">
      <c r="A7" s="164" t="s">
        <v>118</v>
      </c>
      <c r="B7" s="93" t="s">
        <v>134</v>
      </c>
      <c r="C7" s="28"/>
      <c r="D7" s="28"/>
      <c r="E7" s="86"/>
      <c r="F7" s="86"/>
      <c r="G7" s="86"/>
      <c r="H7" s="86"/>
      <c r="I7" s="86" t="s">
        <v>115</v>
      </c>
      <c r="J7" s="92">
        <f>J5-J6</f>
        <v>11318</v>
      </c>
    </row>
    <row r="8" spans="1:10" ht="15.75">
      <c r="A8" s="28"/>
      <c r="B8" s="28"/>
      <c r="C8" s="28"/>
      <c r="D8" s="28"/>
      <c r="E8" s="86"/>
      <c r="F8" s="86"/>
      <c r="G8" s="86"/>
      <c r="H8" s="86"/>
      <c r="I8" s="86"/>
      <c r="J8" s="86"/>
    </row>
    <row r="9" spans="1:10" ht="15.75">
      <c r="A9" s="28"/>
      <c r="B9" s="93" t="str">
        <f>CONCATENATE("",J1-1," Valuation Information for Valuation Adjustments:")</f>
        <v>2011 Valuation Information for Valuation Adjustments:</v>
      </c>
      <c r="C9" s="28"/>
      <c r="D9" s="28"/>
      <c r="E9" s="86"/>
      <c r="F9" s="86"/>
      <c r="G9" s="86"/>
      <c r="H9" s="86"/>
      <c r="I9" s="86"/>
      <c r="J9" s="86"/>
    </row>
    <row r="10" spans="1:10" ht="15.75">
      <c r="A10" s="28"/>
      <c r="B10" s="28"/>
      <c r="C10" s="93"/>
      <c r="D10" s="28"/>
      <c r="E10" s="86"/>
      <c r="F10" s="86"/>
      <c r="G10" s="86"/>
      <c r="H10" s="86"/>
      <c r="I10" s="86"/>
      <c r="J10" s="86"/>
    </row>
    <row r="11" spans="1:10" ht="15.75">
      <c r="A11" s="164" t="s">
        <v>119</v>
      </c>
      <c r="B11" s="93" t="str">
        <f>CONCATENATE("New Improvements for ",J1-1,":")</f>
        <v>New Improvements for 2011:</v>
      </c>
      <c r="C11" s="28"/>
      <c r="D11" s="28"/>
      <c r="E11" s="165"/>
      <c r="F11" s="165" t="s">
        <v>114</v>
      </c>
      <c r="G11" s="166">
        <v>56908</v>
      </c>
      <c r="H11" s="64"/>
      <c r="I11" s="86"/>
      <c r="J11" s="86"/>
    </row>
    <row r="12" spans="1:10" ht="15.75">
      <c r="A12" s="164"/>
      <c r="B12" s="164"/>
      <c r="C12" s="28"/>
      <c r="D12" s="28"/>
      <c r="E12" s="165"/>
      <c r="F12" s="165"/>
      <c r="G12" s="64"/>
      <c r="H12" s="64"/>
      <c r="I12" s="86"/>
      <c r="J12" s="86"/>
    </row>
    <row r="13" spans="1:10" ht="15.75">
      <c r="A13" s="164" t="s">
        <v>120</v>
      </c>
      <c r="B13" s="93" t="str">
        <f>CONCATENATE("Increase in Personal Property for ",J1-1,":")</f>
        <v>Increase in Personal Property for 2011:</v>
      </c>
      <c r="C13" s="28"/>
      <c r="D13" s="28"/>
      <c r="E13" s="165"/>
      <c r="F13" s="165"/>
      <c r="G13" s="64"/>
      <c r="H13" s="64"/>
      <c r="I13" s="86"/>
      <c r="J13" s="86"/>
    </row>
    <row r="14" spans="1:10" ht="15.75">
      <c r="A14" s="28"/>
      <c r="B14" s="28" t="s">
        <v>121</v>
      </c>
      <c r="C14" s="28" t="str">
        <f>CONCATENATE("Personal Property ",J1-1,"")</f>
        <v>Personal Property 2011</v>
      </c>
      <c r="D14" s="164" t="s">
        <v>114</v>
      </c>
      <c r="E14" s="166">
        <v>342213</v>
      </c>
      <c r="F14" s="165"/>
      <c r="G14" s="86"/>
      <c r="H14" s="86"/>
      <c r="I14" s="64"/>
      <c r="J14" s="86"/>
    </row>
    <row r="15" spans="1:10" ht="15.75">
      <c r="A15" s="164"/>
      <c r="B15" s="28" t="s">
        <v>122</v>
      </c>
      <c r="C15" s="28" t="str">
        <f>CONCATENATE("Personal Property ",J1-2,"")</f>
        <v>Personal Property 2010</v>
      </c>
      <c r="D15" s="164" t="s">
        <v>117</v>
      </c>
      <c r="E15" s="92">
        <v>365851</v>
      </c>
      <c r="F15" s="165"/>
      <c r="G15" s="64"/>
      <c r="H15" s="64"/>
      <c r="I15" s="86"/>
      <c r="J15" s="86"/>
    </row>
    <row r="16" spans="1:10" ht="15.75">
      <c r="A16" s="164"/>
      <c r="B16" s="28" t="s">
        <v>123</v>
      </c>
      <c r="C16" s="28" t="s">
        <v>136</v>
      </c>
      <c r="D16" s="28"/>
      <c r="E16" s="86"/>
      <c r="F16" s="86" t="s">
        <v>114</v>
      </c>
      <c r="G16" s="166">
        <f>IF(E14&gt;E15,E14-E15,0)</f>
        <v>0</v>
      </c>
      <c r="H16" s="64"/>
      <c r="I16" s="86"/>
      <c r="J16" s="86"/>
    </row>
    <row r="17" spans="1:10" ht="15.75">
      <c r="A17" s="164"/>
      <c r="B17" s="164"/>
      <c r="C17" s="28"/>
      <c r="D17" s="28"/>
      <c r="E17" s="86"/>
      <c r="F17" s="86"/>
      <c r="G17" s="64" t="s">
        <v>129</v>
      </c>
      <c r="H17" s="64"/>
      <c r="I17" s="86"/>
      <c r="J17" s="86"/>
    </row>
    <row r="18" spans="1:10" ht="15.75">
      <c r="A18" s="164"/>
      <c r="B18" s="164"/>
      <c r="C18" s="28"/>
      <c r="D18" s="164"/>
      <c r="E18" s="64"/>
      <c r="F18" s="86"/>
      <c r="G18" s="64"/>
      <c r="H18" s="64"/>
      <c r="I18" s="86"/>
      <c r="J18" s="86"/>
    </row>
    <row r="19" spans="1:10" ht="15.75">
      <c r="A19" s="164" t="s">
        <v>124</v>
      </c>
      <c r="B19" s="93" t="str">
        <f>CONCATENATE("Valuation of Property that has Changed in Use during ",J1-1,":")</f>
        <v>Valuation of Property that has Changed in Use during 2011:</v>
      </c>
      <c r="C19" s="28"/>
      <c r="D19" s="28"/>
      <c r="E19" s="86"/>
      <c r="F19" s="86"/>
      <c r="G19" s="86">
        <v>7065</v>
      </c>
      <c r="H19" s="86"/>
      <c r="I19" s="86"/>
      <c r="J19" s="86"/>
    </row>
    <row r="20" spans="1:10" ht="15.75">
      <c r="A20" s="164"/>
      <c r="B20" s="28"/>
      <c r="C20" s="28"/>
      <c r="D20" s="164"/>
      <c r="E20" s="64"/>
      <c r="F20" s="86"/>
      <c r="G20" s="167"/>
      <c r="H20" s="64"/>
      <c r="I20" s="86"/>
      <c r="J20" s="86"/>
    </row>
    <row r="21" spans="1:10" ht="15.75">
      <c r="A21" s="164" t="s">
        <v>131</v>
      </c>
      <c r="B21" s="93" t="s">
        <v>135</v>
      </c>
      <c r="C21" s="28"/>
      <c r="D21" s="28"/>
      <c r="E21" s="86"/>
      <c r="F21" s="86"/>
      <c r="G21" s="166">
        <f>G11+G16+G19</f>
        <v>63973</v>
      </c>
      <c r="H21" s="64"/>
      <c r="I21" s="86"/>
      <c r="J21" s="86"/>
    </row>
    <row r="22" spans="1:10" ht="15.75">
      <c r="A22" s="164"/>
      <c r="B22" s="164"/>
      <c r="C22" s="93"/>
      <c r="D22" s="28"/>
      <c r="E22" s="86"/>
      <c r="F22" s="86"/>
      <c r="G22" s="64"/>
      <c r="H22" s="64"/>
      <c r="I22" s="86"/>
      <c r="J22" s="86"/>
    </row>
    <row r="23" spans="1:10" ht="15.75">
      <c r="A23" s="164" t="s">
        <v>132</v>
      </c>
      <c r="B23" s="28" t="str">
        <f>CONCATENATE("Total Estimated Valuation July 1,",J1-1,"")</f>
        <v>Total Estimated Valuation July 1,2011</v>
      </c>
      <c r="C23" s="28"/>
      <c r="D23" s="28"/>
      <c r="E23" s="166">
        <f>summ!C53</f>
        <v>5350841</v>
      </c>
      <c r="F23" s="86"/>
      <c r="G23" s="86"/>
      <c r="H23" s="86"/>
      <c r="I23" s="165"/>
      <c r="J23" s="86"/>
    </row>
    <row r="24" spans="1:10" ht="15.75">
      <c r="A24" s="164"/>
      <c r="B24" s="164"/>
      <c r="C24" s="28"/>
      <c r="D24" s="28"/>
      <c r="E24" s="64"/>
      <c r="F24" s="86"/>
      <c r="G24" s="86"/>
      <c r="H24" s="86"/>
      <c r="I24" s="165"/>
      <c r="J24" s="86"/>
    </row>
    <row r="25" spans="1:10" ht="15.75">
      <c r="A25" s="164" t="s">
        <v>125</v>
      </c>
      <c r="B25" s="93" t="s">
        <v>139</v>
      </c>
      <c r="C25" s="28"/>
      <c r="D25" s="28"/>
      <c r="E25" s="86"/>
      <c r="F25" s="86"/>
      <c r="G25" s="166">
        <f>E23-G21</f>
        <v>5286868</v>
      </c>
      <c r="H25" s="64"/>
      <c r="I25" s="165"/>
      <c r="J25" s="86"/>
    </row>
    <row r="26" spans="1:10" ht="15.75">
      <c r="A26" s="164"/>
      <c r="B26" s="164"/>
      <c r="C26" s="93"/>
      <c r="D26" s="28"/>
      <c r="E26" s="28"/>
      <c r="F26" s="28"/>
      <c r="G26" s="168"/>
      <c r="H26" s="31"/>
      <c r="I26" s="164"/>
      <c r="J26" s="28"/>
    </row>
    <row r="27" spans="1:10" ht="15.75">
      <c r="A27" s="164" t="s">
        <v>126</v>
      </c>
      <c r="B27" s="28" t="s">
        <v>138</v>
      </c>
      <c r="C27" s="28"/>
      <c r="D27" s="28"/>
      <c r="E27" s="28"/>
      <c r="F27" s="28"/>
      <c r="G27" s="169">
        <f>IF(G21&gt;0,G21/G25,0)</f>
        <v>0.012100358851403138</v>
      </c>
      <c r="H27" s="31"/>
      <c r="I27" s="28"/>
      <c r="J27" s="28"/>
    </row>
    <row r="28" spans="1:10" ht="15.75">
      <c r="A28" s="164"/>
      <c r="B28" s="164"/>
      <c r="C28" s="28"/>
      <c r="D28" s="28"/>
      <c r="E28" s="28"/>
      <c r="F28" s="28"/>
      <c r="G28" s="31"/>
      <c r="H28" s="31"/>
      <c r="I28" s="28"/>
      <c r="J28" s="28"/>
    </row>
    <row r="29" spans="1:10" ht="15.75">
      <c r="A29" s="164" t="s">
        <v>127</v>
      </c>
      <c r="B29" s="28" t="s">
        <v>137</v>
      </c>
      <c r="C29" s="28"/>
      <c r="D29" s="28"/>
      <c r="E29" s="28"/>
      <c r="F29" s="28"/>
      <c r="G29" s="31"/>
      <c r="H29" s="170" t="s">
        <v>114</v>
      </c>
      <c r="I29" s="28" t="s">
        <v>115</v>
      </c>
      <c r="J29" s="166">
        <f>ROUND(G27*J7,0)</f>
        <v>137</v>
      </c>
    </row>
    <row r="30" spans="1:10" ht="15.75">
      <c r="A30" s="164"/>
      <c r="B30" s="164"/>
      <c r="C30" s="28"/>
      <c r="D30" s="28"/>
      <c r="E30" s="28"/>
      <c r="F30" s="28"/>
      <c r="G30" s="31"/>
      <c r="H30" s="170"/>
      <c r="I30" s="28"/>
      <c r="J30" s="64"/>
    </row>
    <row r="31" spans="1:10" ht="16.5" thickBot="1">
      <c r="A31" s="164" t="s">
        <v>128</v>
      </c>
      <c r="B31" s="93" t="s">
        <v>143</v>
      </c>
      <c r="C31" s="28"/>
      <c r="D31" s="28"/>
      <c r="E31" s="28"/>
      <c r="F31" s="28"/>
      <c r="G31" s="28"/>
      <c r="H31" s="28"/>
      <c r="I31" s="28" t="s">
        <v>115</v>
      </c>
      <c r="J31" s="171">
        <f>J7+J29</f>
        <v>11455</v>
      </c>
    </row>
    <row r="32" spans="1:10" ht="16.5" thickTop="1">
      <c r="A32" s="28"/>
      <c r="B32" s="28"/>
      <c r="C32" s="28"/>
      <c r="D32" s="28"/>
      <c r="E32" s="28"/>
      <c r="F32" s="28"/>
      <c r="G32" s="28"/>
      <c r="H32" s="28"/>
      <c r="I32" s="28"/>
      <c r="J32" s="28"/>
    </row>
    <row r="33" spans="1:10" ht="15.75">
      <c r="A33" s="164" t="s">
        <v>141</v>
      </c>
      <c r="B33" s="93" t="str">
        <f>CONCATENATE("Debt Service Levy in this ",J1," Budget")</f>
        <v>Debt Service Levy in this 2012 Budget</v>
      </c>
      <c r="C33" s="28"/>
      <c r="D33" s="28"/>
      <c r="E33" s="28"/>
      <c r="F33" s="28"/>
      <c r="G33" s="28"/>
      <c r="H33" s="28"/>
      <c r="I33" s="28"/>
      <c r="J33" s="166"/>
    </row>
    <row r="34" spans="1:10" ht="15.75">
      <c r="A34" s="164"/>
      <c r="B34" s="93"/>
      <c r="C34" s="28"/>
      <c r="D34" s="28"/>
      <c r="E34" s="28"/>
      <c r="F34" s="28"/>
      <c r="G34" s="28"/>
      <c r="H34" s="28"/>
      <c r="I34" s="28"/>
      <c r="J34" s="31"/>
    </row>
    <row r="35" spans="1:10" ht="16.5" thickBot="1">
      <c r="A35" s="164" t="s">
        <v>142</v>
      </c>
      <c r="B35" s="93" t="s">
        <v>144</v>
      </c>
      <c r="C35" s="28"/>
      <c r="D35" s="28"/>
      <c r="E35" s="28"/>
      <c r="F35" s="28"/>
      <c r="G35" s="28"/>
      <c r="H35" s="28"/>
      <c r="I35" s="28"/>
      <c r="J35" s="171">
        <f>J31+J33</f>
        <v>11455</v>
      </c>
    </row>
    <row r="36" spans="1:10" ht="16.5" thickTop="1">
      <c r="A36" s="28"/>
      <c r="B36" s="28"/>
      <c r="C36" s="28"/>
      <c r="D36" s="28"/>
      <c r="E36" s="28"/>
      <c r="F36" s="28"/>
      <c r="G36" s="28"/>
      <c r="H36" s="28"/>
      <c r="I36" s="28"/>
      <c r="J36" s="28"/>
    </row>
    <row r="37" spans="1:10" s="172" customFormat="1" ht="18.75">
      <c r="A37" s="381" t="str">
        <f>CONCATENATE("If the ",J1," budget includes tax levies exceeding the total on line 14, you must")</f>
        <v>If the 2012 budget includes tax levies exceeding the total on line 14, you must</v>
      </c>
      <c r="B37" s="381"/>
      <c r="C37" s="381"/>
      <c r="D37" s="381"/>
      <c r="E37" s="381"/>
      <c r="F37" s="381"/>
      <c r="G37" s="381"/>
      <c r="H37" s="381"/>
      <c r="I37" s="381"/>
      <c r="J37" s="381"/>
    </row>
    <row r="38" spans="1:10" s="172" customFormat="1" ht="18.75">
      <c r="A38" s="381" t="s">
        <v>140</v>
      </c>
      <c r="B38" s="381"/>
      <c r="C38" s="381"/>
      <c r="D38" s="381"/>
      <c r="E38" s="381"/>
      <c r="F38" s="381"/>
      <c r="G38" s="381"/>
      <c r="H38" s="381"/>
      <c r="I38" s="381"/>
      <c r="J38" s="381"/>
    </row>
  </sheetData>
  <sheetProtection/>
  <mergeCells count="4">
    <mergeCell ref="A3:J3"/>
    <mergeCell ref="E4:G4"/>
    <mergeCell ref="A37:J37"/>
    <mergeCell ref="A38:J38"/>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3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view="pageBreakPreview" zoomScale="104" zoomScaleNormal="85" zoomScaleSheetLayoutView="104" zoomScalePageLayoutView="0" workbookViewId="0" topLeftCell="A9">
      <selection activeCell="G24" sqref="G24"/>
    </sheetView>
  </sheetViews>
  <sheetFormatPr defaultColWidth="8.7968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28"/>
      <c r="B1" s="28"/>
      <c r="C1" s="161" t="str">
        <f>inputPrYr!C2</f>
        <v>MITCHELL COUNTY</v>
      </c>
      <c r="D1" s="28"/>
      <c r="E1" s="28"/>
      <c r="F1" s="28"/>
      <c r="G1" s="28"/>
      <c r="H1" s="28"/>
      <c r="I1" s="28"/>
      <c r="J1" s="28">
        <f>inputPrYr!C4</f>
        <v>2012</v>
      </c>
    </row>
    <row r="2" spans="1:10" ht="15.75" customHeight="1">
      <c r="A2" s="28"/>
      <c r="B2" s="28"/>
      <c r="C2" s="28"/>
      <c r="D2" s="28"/>
      <c r="E2" s="28" t="s">
        <v>226</v>
      </c>
      <c r="F2" s="28"/>
      <c r="G2" s="28"/>
      <c r="H2" s="28"/>
      <c r="I2" s="28"/>
      <c r="J2" s="28"/>
    </row>
    <row r="3" spans="1:10" ht="15.75">
      <c r="A3" s="355" t="str">
        <f>CONCATENATE("Computation to Determine Limit for ",J1,"")</f>
        <v>Computation to Determine Limit for 2012</v>
      </c>
      <c r="B3" s="382"/>
      <c r="C3" s="382"/>
      <c r="D3" s="382"/>
      <c r="E3" s="382"/>
      <c r="F3" s="382"/>
      <c r="G3" s="382"/>
      <c r="H3" s="382"/>
      <c r="I3" s="382"/>
      <c r="J3" s="382"/>
    </row>
    <row r="4" spans="1:10" ht="15.75">
      <c r="A4" s="28"/>
      <c r="B4" s="28"/>
      <c r="C4" s="28"/>
      <c r="D4" s="28"/>
      <c r="E4" s="382"/>
      <c r="F4" s="382"/>
      <c r="G4" s="382"/>
      <c r="H4" s="162"/>
      <c r="I4" s="28"/>
      <c r="J4" s="163" t="s">
        <v>112</v>
      </c>
    </row>
    <row r="5" spans="1:10" ht="15.75">
      <c r="A5" s="164" t="s">
        <v>113</v>
      </c>
      <c r="B5" s="28" t="str">
        <f>CONCATENATE("Total Tax Levy Amount in ",J1-1," Budget")</f>
        <v>Total Tax Levy Amount in 2011 Budget</v>
      </c>
      <c r="C5" s="28"/>
      <c r="D5" s="28"/>
      <c r="E5" s="86"/>
      <c r="F5" s="86"/>
      <c r="G5" s="86"/>
      <c r="H5" s="165" t="s">
        <v>114</v>
      </c>
      <c r="I5" s="86" t="s">
        <v>115</v>
      </c>
      <c r="J5" s="166">
        <f>inputPrYr!E18</f>
        <v>46041</v>
      </c>
    </row>
    <row r="6" spans="1:10" ht="15.75">
      <c r="A6" s="164" t="s">
        <v>116</v>
      </c>
      <c r="B6" s="28" t="str">
        <f>CONCATENATE("Debt Service Levy in ",J1-1," Budget")</f>
        <v>Debt Service Levy in 2011 Budget</v>
      </c>
      <c r="C6" s="28"/>
      <c r="D6" s="28"/>
      <c r="E6" s="86"/>
      <c r="F6" s="86"/>
      <c r="G6" s="86"/>
      <c r="H6" s="165" t="s">
        <v>117</v>
      </c>
      <c r="I6" s="86" t="s">
        <v>115</v>
      </c>
      <c r="J6" s="92"/>
    </row>
    <row r="7" spans="1:10" ht="15.75">
      <c r="A7" s="164" t="s">
        <v>118</v>
      </c>
      <c r="B7" s="93" t="s">
        <v>134</v>
      </c>
      <c r="C7" s="28"/>
      <c r="D7" s="28"/>
      <c r="E7" s="86"/>
      <c r="F7" s="86"/>
      <c r="G7" s="86"/>
      <c r="H7" s="86"/>
      <c r="I7" s="86" t="s">
        <v>115</v>
      </c>
      <c r="J7" s="92">
        <f>J5-J6</f>
        <v>46041</v>
      </c>
    </row>
    <row r="8" spans="1:10" ht="15.75">
      <c r="A8" s="28"/>
      <c r="B8" s="28"/>
      <c r="C8" s="28"/>
      <c r="D8" s="28"/>
      <c r="E8" s="86"/>
      <c r="F8" s="86"/>
      <c r="G8" s="86"/>
      <c r="H8" s="86"/>
      <c r="I8" s="86"/>
      <c r="J8" s="86"/>
    </row>
    <row r="9" spans="1:10" ht="15.75">
      <c r="A9" s="28"/>
      <c r="B9" s="93" t="str">
        <f>CONCATENATE("",J1-1," Valuation Information for Valuation Adjustments:")</f>
        <v>2011 Valuation Information for Valuation Adjustments:</v>
      </c>
      <c r="C9" s="28"/>
      <c r="D9" s="28"/>
      <c r="E9" s="86"/>
      <c r="F9" s="86"/>
      <c r="G9" s="86"/>
      <c r="H9" s="86"/>
      <c r="I9" s="86"/>
      <c r="J9" s="86"/>
    </row>
    <row r="10" spans="1:10" ht="15.75">
      <c r="A10" s="28"/>
      <c r="B10" s="28"/>
      <c r="C10" s="93"/>
      <c r="D10" s="28"/>
      <c r="E10" s="86"/>
      <c r="F10" s="86"/>
      <c r="G10" s="86"/>
      <c r="H10" s="86"/>
      <c r="I10" s="86"/>
      <c r="J10" s="86"/>
    </row>
    <row r="11" spans="1:10" ht="15.75">
      <c r="A11" s="164" t="s">
        <v>119</v>
      </c>
      <c r="B11" s="93" t="str">
        <f>CONCATENATE("New Improvements for ",J1-1,":")</f>
        <v>New Improvements for 2011:</v>
      </c>
      <c r="C11" s="28"/>
      <c r="D11" s="28"/>
      <c r="E11" s="165"/>
      <c r="F11" s="165" t="s">
        <v>114</v>
      </c>
      <c r="G11" s="166">
        <v>457416</v>
      </c>
      <c r="H11" s="64"/>
      <c r="I11" s="86"/>
      <c r="J11" s="86"/>
    </row>
    <row r="12" spans="1:10" ht="15.75">
      <c r="A12" s="164"/>
      <c r="B12" s="164"/>
      <c r="C12" s="28"/>
      <c r="D12" s="28"/>
      <c r="E12" s="165"/>
      <c r="F12" s="165"/>
      <c r="G12" s="64"/>
      <c r="H12" s="64"/>
      <c r="I12" s="86"/>
      <c r="J12" s="86"/>
    </row>
    <row r="13" spans="1:10" ht="15.75">
      <c r="A13" s="164" t="s">
        <v>120</v>
      </c>
      <c r="B13" s="93" t="str">
        <f>CONCATENATE("Increase in Personal Property for ",J1-1,":")</f>
        <v>Increase in Personal Property for 2011:</v>
      </c>
      <c r="C13" s="28"/>
      <c r="D13" s="28"/>
      <c r="E13" s="165"/>
      <c r="F13" s="165"/>
      <c r="G13" s="64"/>
      <c r="H13" s="64"/>
      <c r="I13" s="86"/>
      <c r="J13" s="86"/>
    </row>
    <row r="14" spans="1:10" ht="15.75">
      <c r="A14" s="28"/>
      <c r="B14" s="28" t="s">
        <v>121</v>
      </c>
      <c r="C14" s="28" t="str">
        <f>CONCATENATE("Personal Property ",J1-1,"")</f>
        <v>Personal Property 2011</v>
      </c>
      <c r="D14" s="164" t="s">
        <v>114</v>
      </c>
      <c r="E14" s="166">
        <v>712466</v>
      </c>
      <c r="F14" s="165"/>
      <c r="G14" s="86"/>
      <c r="H14" s="86"/>
      <c r="I14" s="64"/>
      <c r="J14" s="86"/>
    </row>
    <row r="15" spans="1:10" ht="15.75">
      <c r="A15" s="164"/>
      <c r="B15" s="28" t="s">
        <v>122</v>
      </c>
      <c r="C15" s="28" t="str">
        <f>CONCATENATE("Personal Property ",J1-2,"")</f>
        <v>Personal Property 2010</v>
      </c>
      <c r="D15" s="164" t="s">
        <v>117</v>
      </c>
      <c r="E15" s="92">
        <v>718748</v>
      </c>
      <c r="F15" s="165"/>
      <c r="G15" s="64"/>
      <c r="H15" s="64"/>
      <c r="I15" s="86"/>
      <c r="J15" s="86"/>
    </row>
    <row r="16" spans="1:10" ht="15.75">
      <c r="A16" s="164"/>
      <c r="B16" s="28" t="s">
        <v>123</v>
      </c>
      <c r="C16" s="28" t="s">
        <v>136</v>
      </c>
      <c r="D16" s="28"/>
      <c r="E16" s="86"/>
      <c r="F16" s="86" t="s">
        <v>114</v>
      </c>
      <c r="G16" s="166">
        <f>IF(E14&gt;E15,E14-E15,0)</f>
        <v>0</v>
      </c>
      <c r="H16" s="64"/>
      <c r="I16" s="86"/>
      <c r="J16" s="86"/>
    </row>
    <row r="17" spans="1:10" ht="15.75">
      <c r="A17" s="164"/>
      <c r="B17" s="164"/>
      <c r="C17" s="28"/>
      <c r="D17" s="28"/>
      <c r="E17" s="86"/>
      <c r="F17" s="86"/>
      <c r="G17" s="64" t="s">
        <v>129</v>
      </c>
      <c r="H17" s="64"/>
      <c r="I17" s="86"/>
      <c r="J17" s="86"/>
    </row>
    <row r="18" spans="1:10" ht="15.75">
      <c r="A18" s="164"/>
      <c r="B18" s="164"/>
      <c r="C18" s="28"/>
      <c r="D18" s="164"/>
      <c r="E18" s="64"/>
      <c r="F18" s="86"/>
      <c r="G18" s="64"/>
      <c r="H18" s="64"/>
      <c r="I18" s="86"/>
      <c r="J18" s="86"/>
    </row>
    <row r="19" spans="1:10" ht="15.75">
      <c r="A19" s="164" t="s">
        <v>124</v>
      </c>
      <c r="B19" s="93" t="str">
        <f>CONCATENATE("Valuation of Property that has Changed in Use during ",J1-1,":")</f>
        <v>Valuation of Property that has Changed in Use during 2011:</v>
      </c>
      <c r="C19" s="28"/>
      <c r="D19" s="28"/>
      <c r="E19" s="86"/>
      <c r="F19" s="86"/>
      <c r="G19" s="86">
        <v>215611</v>
      </c>
      <c r="H19" s="86"/>
      <c r="I19" s="86"/>
      <c r="J19" s="86"/>
    </row>
    <row r="20" spans="1:10" ht="15.75">
      <c r="A20" s="164"/>
      <c r="B20" s="28"/>
      <c r="C20" s="28"/>
      <c r="D20" s="164"/>
      <c r="E20" s="64"/>
      <c r="F20" s="86"/>
      <c r="G20" s="167"/>
      <c r="H20" s="64"/>
      <c r="I20" s="86"/>
      <c r="J20" s="86"/>
    </row>
    <row r="21" spans="1:10" ht="15.75">
      <c r="A21" s="164" t="s">
        <v>131</v>
      </c>
      <c r="B21" s="93" t="s">
        <v>135</v>
      </c>
      <c r="C21" s="28"/>
      <c r="D21" s="28"/>
      <c r="E21" s="86"/>
      <c r="F21" s="86"/>
      <c r="G21" s="166">
        <f>G11+G16+G19</f>
        <v>673027</v>
      </c>
      <c r="H21" s="64"/>
      <c r="I21" s="86"/>
      <c r="J21" s="86"/>
    </row>
    <row r="22" spans="1:10" ht="15.75">
      <c r="A22" s="164"/>
      <c r="B22" s="164"/>
      <c r="C22" s="93"/>
      <c r="D22" s="28"/>
      <c r="E22" s="86"/>
      <c r="F22" s="86"/>
      <c r="G22" s="64"/>
      <c r="H22" s="64"/>
      <c r="I22" s="86"/>
      <c r="J22" s="86"/>
    </row>
    <row r="23" spans="1:10" ht="15.75">
      <c r="A23" s="164" t="s">
        <v>132</v>
      </c>
      <c r="B23" s="28" t="str">
        <f>CONCATENATE("Total Estimated Valuation July 1,",J1-1,"")</f>
        <v>Total Estimated Valuation July 1,2011</v>
      </c>
      <c r="C23" s="28"/>
      <c r="D23" s="28"/>
      <c r="E23" s="166">
        <f>summ!D53</f>
        <v>17397688</v>
      </c>
      <c r="F23" s="86"/>
      <c r="G23" s="86"/>
      <c r="H23" s="86"/>
      <c r="I23" s="165"/>
      <c r="J23" s="86"/>
    </row>
    <row r="24" spans="1:10" ht="15.75">
      <c r="A24" s="164"/>
      <c r="B24" s="164"/>
      <c r="C24" s="28"/>
      <c r="D24" s="28"/>
      <c r="E24" s="64"/>
      <c r="F24" s="86"/>
      <c r="G24" s="86"/>
      <c r="H24" s="86"/>
      <c r="I24" s="165"/>
      <c r="J24" s="86"/>
    </row>
    <row r="25" spans="1:10" ht="15.75">
      <c r="A25" s="164" t="s">
        <v>125</v>
      </c>
      <c r="B25" s="93" t="s">
        <v>139</v>
      </c>
      <c r="C25" s="28"/>
      <c r="D25" s="28"/>
      <c r="E25" s="86"/>
      <c r="F25" s="86"/>
      <c r="G25" s="166">
        <f>E23-G21</f>
        <v>16724661</v>
      </c>
      <c r="H25" s="64"/>
      <c r="I25" s="165"/>
      <c r="J25" s="86"/>
    </row>
    <row r="26" spans="1:10" ht="15.75">
      <c r="A26" s="164"/>
      <c r="B26" s="164"/>
      <c r="C26" s="93"/>
      <c r="D26" s="28"/>
      <c r="E26" s="28"/>
      <c r="F26" s="28"/>
      <c r="G26" s="168"/>
      <c r="H26" s="31"/>
      <c r="I26" s="164"/>
      <c r="J26" s="28"/>
    </row>
    <row r="27" spans="1:10" ht="15.75">
      <c r="A27" s="164" t="s">
        <v>126</v>
      </c>
      <c r="B27" s="28" t="s">
        <v>138</v>
      </c>
      <c r="C27" s="28"/>
      <c r="D27" s="28"/>
      <c r="E27" s="28"/>
      <c r="F27" s="28"/>
      <c r="G27" s="169">
        <f>IF(G21&gt;0,G21/G25,0)</f>
        <v>0.04024159293871487</v>
      </c>
      <c r="H27" s="31"/>
      <c r="I27" s="28"/>
      <c r="J27" s="28"/>
    </row>
    <row r="28" spans="1:10" ht="15.75">
      <c r="A28" s="164"/>
      <c r="B28" s="164"/>
      <c r="C28" s="28"/>
      <c r="D28" s="28"/>
      <c r="E28" s="28"/>
      <c r="F28" s="28"/>
      <c r="G28" s="31"/>
      <c r="H28" s="31"/>
      <c r="I28" s="28"/>
      <c r="J28" s="28"/>
    </row>
    <row r="29" spans="1:10" ht="15.75">
      <c r="A29" s="164" t="s">
        <v>127</v>
      </c>
      <c r="B29" s="28" t="s">
        <v>137</v>
      </c>
      <c r="C29" s="28"/>
      <c r="D29" s="28"/>
      <c r="E29" s="28"/>
      <c r="F29" s="28"/>
      <c r="G29" s="31"/>
      <c r="H29" s="170" t="s">
        <v>114</v>
      </c>
      <c r="I29" s="28" t="s">
        <v>115</v>
      </c>
      <c r="J29" s="166">
        <f>ROUND(G27*J7,0)</f>
        <v>1853</v>
      </c>
    </row>
    <row r="30" spans="1:10" ht="15.75">
      <c r="A30" s="164"/>
      <c r="B30" s="164"/>
      <c r="C30" s="28"/>
      <c r="D30" s="28"/>
      <c r="E30" s="28"/>
      <c r="F30" s="28"/>
      <c r="G30" s="31"/>
      <c r="H30" s="170"/>
      <c r="I30" s="28"/>
      <c r="J30" s="64"/>
    </row>
    <row r="31" spans="1:10" ht="16.5" thickBot="1">
      <c r="A31" s="164" t="s">
        <v>128</v>
      </c>
      <c r="B31" s="93" t="s">
        <v>143</v>
      </c>
      <c r="C31" s="28"/>
      <c r="D31" s="28"/>
      <c r="E31" s="28"/>
      <c r="F31" s="28"/>
      <c r="G31" s="28"/>
      <c r="H31" s="28"/>
      <c r="I31" s="28" t="s">
        <v>115</v>
      </c>
      <c r="J31" s="171">
        <f>J7+J29</f>
        <v>47894</v>
      </c>
    </row>
    <row r="32" spans="1:10" ht="16.5" thickTop="1">
      <c r="A32" s="28"/>
      <c r="B32" s="28"/>
      <c r="C32" s="28"/>
      <c r="D32" s="28"/>
      <c r="E32" s="28"/>
      <c r="F32" s="28"/>
      <c r="G32" s="28"/>
      <c r="H32" s="28"/>
      <c r="I32" s="28"/>
      <c r="J32" s="28"/>
    </row>
    <row r="33" spans="1:10" ht="15.75">
      <c r="A33" s="164" t="s">
        <v>141</v>
      </c>
      <c r="B33" s="93" t="str">
        <f>CONCATENATE("Debt Service Levy in this ",J1," Budget")</f>
        <v>Debt Service Levy in this 2012 Budget</v>
      </c>
      <c r="C33" s="28"/>
      <c r="D33" s="28"/>
      <c r="E33" s="28"/>
      <c r="F33" s="28"/>
      <c r="G33" s="28"/>
      <c r="H33" s="28"/>
      <c r="I33" s="28"/>
      <c r="J33" s="166"/>
    </row>
    <row r="34" spans="1:10" ht="15.75">
      <c r="A34" s="164"/>
      <c r="B34" s="93"/>
      <c r="C34" s="28"/>
      <c r="D34" s="28"/>
      <c r="E34" s="28"/>
      <c r="F34" s="28"/>
      <c r="G34" s="28"/>
      <c r="H34" s="28"/>
      <c r="I34" s="28"/>
      <c r="J34" s="31"/>
    </row>
    <row r="35" spans="1:10" ht="16.5" thickBot="1">
      <c r="A35" s="164" t="s">
        <v>142</v>
      </c>
      <c r="B35" s="93" t="s">
        <v>144</v>
      </c>
      <c r="C35" s="28"/>
      <c r="D35" s="28"/>
      <c r="E35" s="28"/>
      <c r="F35" s="28"/>
      <c r="G35" s="28"/>
      <c r="H35" s="28"/>
      <c r="I35" s="28"/>
      <c r="J35" s="171">
        <f>J31+J33</f>
        <v>47894</v>
      </c>
    </row>
    <row r="36" spans="1:10" ht="16.5" thickTop="1">
      <c r="A36" s="28"/>
      <c r="B36" s="28"/>
      <c r="C36" s="28"/>
      <c r="D36" s="28"/>
      <c r="E36" s="28"/>
      <c r="F36" s="28"/>
      <c r="G36" s="28"/>
      <c r="H36" s="28"/>
      <c r="I36" s="28"/>
      <c r="J36" s="28"/>
    </row>
    <row r="37" spans="1:10" s="172" customFormat="1" ht="18.75">
      <c r="A37" s="381" t="str">
        <f>CONCATENATE("If the ",J1," budget includes tax levies exceeding the total on line 14, you must")</f>
        <v>If the 2012 budget includes tax levies exceeding the total on line 14, you must</v>
      </c>
      <c r="B37" s="381"/>
      <c r="C37" s="381"/>
      <c r="D37" s="381"/>
      <c r="E37" s="381"/>
      <c r="F37" s="381"/>
      <c r="G37" s="381"/>
      <c r="H37" s="381"/>
      <c r="I37" s="381"/>
      <c r="J37" s="381"/>
    </row>
    <row r="38" spans="1:10" s="172" customFormat="1" ht="18.75">
      <c r="A38" s="381" t="s">
        <v>140</v>
      </c>
      <c r="B38" s="381"/>
      <c r="C38" s="381"/>
      <c r="D38" s="381"/>
      <c r="E38" s="381"/>
      <c r="F38" s="381"/>
      <c r="G38" s="381"/>
      <c r="H38" s="381"/>
      <c r="I38" s="381"/>
      <c r="J38" s="381"/>
    </row>
  </sheetData>
  <sheetProtection/>
  <mergeCells count="4">
    <mergeCell ref="A3:J3"/>
    <mergeCell ref="E4:G4"/>
    <mergeCell ref="A37:J37"/>
    <mergeCell ref="A38:J38"/>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4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view="pageBreakPreview" zoomScale="97" zoomScaleSheetLayoutView="97" zoomScalePageLayoutView="0" workbookViewId="0" topLeftCell="A1">
      <selection activeCell="F11" sqref="F11"/>
    </sheetView>
  </sheetViews>
  <sheetFormatPr defaultColWidth="8.796875" defaultRowHeight="15"/>
  <cols>
    <col min="1" max="1" width="17.796875" style="84" customWidth="1"/>
    <col min="2" max="2" width="19.19921875" style="84" customWidth="1"/>
    <col min="3" max="5" width="12.796875" style="84" customWidth="1"/>
    <col min="6" max="6" width="13.69921875" style="84" customWidth="1"/>
    <col min="7" max="16384" width="8.8984375" style="84" customWidth="1"/>
  </cols>
  <sheetData>
    <row r="1" spans="1:6" ht="15.75">
      <c r="A1" s="161"/>
      <c r="B1" s="28"/>
      <c r="C1" s="28"/>
      <c r="D1" s="28"/>
      <c r="E1" s="173"/>
      <c r="F1" s="28"/>
    </row>
    <row r="2" spans="1:6" ht="15.75">
      <c r="A2" s="85" t="str">
        <f>inputPrYr!C2</f>
        <v>MITCHELL COUNTY</v>
      </c>
      <c r="B2" s="85"/>
      <c r="C2" s="28"/>
      <c r="D2" s="28"/>
      <c r="E2" s="173"/>
      <c r="F2" s="28">
        <f>inputPrYr!C4</f>
        <v>2012</v>
      </c>
    </row>
    <row r="3" spans="1:6" ht="15.75">
      <c r="A3" s="161"/>
      <c r="B3" s="85"/>
      <c r="C3" s="28"/>
      <c r="D3" s="28"/>
      <c r="E3" s="173"/>
      <c r="F3" s="28"/>
    </row>
    <row r="4" spans="1:6" ht="15.75">
      <c r="A4" s="161"/>
      <c r="B4" s="28"/>
      <c r="C4" s="28"/>
      <c r="D4" s="28"/>
      <c r="E4" s="173"/>
      <c r="F4" s="28"/>
    </row>
    <row r="5" spans="1:6" ht="15" customHeight="1">
      <c r="A5" s="382" t="s">
        <v>148</v>
      </c>
      <c r="B5" s="382"/>
      <c r="C5" s="382"/>
      <c r="D5" s="382"/>
      <c r="E5" s="382"/>
      <c r="F5" s="382"/>
    </row>
    <row r="6" spans="1:6" ht="14.25" customHeight="1">
      <c r="A6" s="162"/>
      <c r="B6" s="174"/>
      <c r="C6" s="174"/>
      <c r="D6" s="174"/>
      <c r="E6" s="174"/>
      <c r="F6" s="174"/>
    </row>
    <row r="7" spans="1:6" ht="15" customHeight="1">
      <c r="A7" s="175" t="s">
        <v>206</v>
      </c>
      <c r="B7" s="175" t="s">
        <v>207</v>
      </c>
      <c r="C7" s="176" t="s">
        <v>64</v>
      </c>
      <c r="D7" s="176" t="s">
        <v>163</v>
      </c>
      <c r="E7" s="176" t="s">
        <v>164</v>
      </c>
      <c r="F7" s="176" t="s">
        <v>185</v>
      </c>
    </row>
    <row r="8" spans="1:6" ht="15" customHeight="1">
      <c r="A8" s="177" t="s">
        <v>208</v>
      </c>
      <c r="B8" s="177" t="s">
        <v>209</v>
      </c>
      <c r="C8" s="178" t="s">
        <v>184</v>
      </c>
      <c r="D8" s="178" t="s">
        <v>184</v>
      </c>
      <c r="E8" s="178" t="s">
        <v>184</v>
      </c>
      <c r="F8" s="178" t="s">
        <v>186</v>
      </c>
    </row>
    <row r="9" spans="1:6" s="160" customFormat="1" ht="15" customHeight="1" thickBot="1">
      <c r="A9" s="179" t="s">
        <v>182</v>
      </c>
      <c r="B9" s="180" t="s">
        <v>183</v>
      </c>
      <c r="C9" s="181">
        <f>F2-2</f>
        <v>2010</v>
      </c>
      <c r="D9" s="181">
        <f>F2-1</f>
        <v>2011</v>
      </c>
      <c r="E9" s="181">
        <f>F2</f>
        <v>2012</v>
      </c>
      <c r="F9" s="180" t="s">
        <v>26</v>
      </c>
    </row>
    <row r="10" spans="1:6" ht="15" customHeight="1" thickTop="1">
      <c r="A10" s="182" t="s">
        <v>224</v>
      </c>
      <c r="B10" s="182" t="s">
        <v>267</v>
      </c>
      <c r="C10" s="183"/>
      <c r="D10" s="183">
        <v>4500</v>
      </c>
      <c r="E10" s="183">
        <v>4500</v>
      </c>
      <c r="F10" s="182" t="s">
        <v>268</v>
      </c>
    </row>
    <row r="11" spans="1:6" ht="15" customHeight="1">
      <c r="A11" s="52" t="s">
        <v>269</v>
      </c>
      <c r="B11" s="52" t="s">
        <v>270</v>
      </c>
      <c r="C11" s="184">
        <v>25000</v>
      </c>
      <c r="D11" s="184">
        <v>8000</v>
      </c>
      <c r="E11" s="184">
        <v>8000</v>
      </c>
      <c r="F11" s="182" t="s">
        <v>268</v>
      </c>
    </row>
    <row r="12" spans="1:6" ht="15" customHeight="1">
      <c r="A12" s="52"/>
      <c r="B12" s="52"/>
      <c r="C12" s="184"/>
      <c r="D12" s="184"/>
      <c r="E12" s="184"/>
      <c r="F12" s="52"/>
    </row>
    <row r="13" spans="1:6" ht="15" customHeight="1">
      <c r="A13" s="52"/>
      <c r="B13" s="52"/>
      <c r="C13" s="184"/>
      <c r="D13" s="184"/>
      <c r="E13" s="184"/>
      <c r="F13" s="52"/>
    </row>
    <row r="14" spans="1:6" ht="15" customHeight="1">
      <c r="A14" s="52"/>
      <c r="B14" s="52"/>
      <c r="C14" s="184"/>
      <c r="D14" s="184"/>
      <c r="E14" s="184"/>
      <c r="F14" s="52"/>
    </row>
    <row r="15" spans="1:6" ht="15" customHeight="1">
      <c r="A15" s="52"/>
      <c r="B15" s="52"/>
      <c r="C15" s="184"/>
      <c r="D15" s="184"/>
      <c r="E15" s="184"/>
      <c r="F15" s="52"/>
    </row>
    <row r="16" spans="1:6" ht="15" customHeight="1">
      <c r="A16" s="52"/>
      <c r="B16" s="52"/>
      <c r="C16" s="184"/>
      <c r="D16" s="184"/>
      <c r="E16" s="184"/>
      <c r="F16" s="52"/>
    </row>
    <row r="17" spans="1:6" ht="15" customHeight="1">
      <c r="A17" s="52"/>
      <c r="B17" s="52"/>
      <c r="C17" s="184"/>
      <c r="D17" s="184"/>
      <c r="E17" s="184"/>
      <c r="F17" s="52"/>
    </row>
    <row r="18" spans="1:6" ht="15" customHeight="1">
      <c r="A18" s="52"/>
      <c r="B18" s="52"/>
      <c r="C18" s="184"/>
      <c r="D18" s="184"/>
      <c r="E18" s="184"/>
      <c r="F18" s="52"/>
    </row>
    <row r="19" spans="1:6" ht="15" customHeight="1">
      <c r="A19" s="52"/>
      <c r="B19" s="185"/>
      <c r="C19" s="184"/>
      <c r="D19" s="184"/>
      <c r="E19" s="184"/>
      <c r="F19" s="52"/>
    </row>
    <row r="20" spans="1:6" ht="15" customHeight="1">
      <c r="A20" s="52"/>
      <c r="B20" s="52"/>
      <c r="C20" s="184"/>
      <c r="D20" s="184"/>
      <c r="E20" s="184"/>
      <c r="F20" s="52"/>
    </row>
    <row r="21" spans="1:6" ht="15" customHeight="1">
      <c r="A21" s="52"/>
      <c r="B21" s="52"/>
      <c r="C21" s="184"/>
      <c r="D21" s="184"/>
      <c r="E21" s="184"/>
      <c r="F21" s="52"/>
    </row>
    <row r="22" spans="1:6" ht="15" customHeight="1">
      <c r="A22" s="52"/>
      <c r="B22" s="52"/>
      <c r="C22" s="184"/>
      <c r="D22" s="184"/>
      <c r="E22" s="184"/>
      <c r="F22" s="52"/>
    </row>
    <row r="23" spans="1:6" ht="15" customHeight="1">
      <c r="A23" s="52"/>
      <c r="B23" s="52"/>
      <c r="C23" s="184"/>
      <c r="D23" s="184"/>
      <c r="E23" s="184"/>
      <c r="F23" s="52"/>
    </row>
    <row r="24" spans="1:6" ht="15" customHeight="1">
      <c r="A24" s="52"/>
      <c r="B24" s="52"/>
      <c r="C24" s="184"/>
      <c r="D24" s="184"/>
      <c r="E24" s="184"/>
      <c r="F24" s="52"/>
    </row>
    <row r="25" spans="1:6" ht="15" customHeight="1">
      <c r="A25" s="52"/>
      <c r="B25" s="52"/>
      <c r="C25" s="184"/>
      <c r="D25" s="184"/>
      <c r="E25" s="184"/>
      <c r="F25" s="52"/>
    </row>
    <row r="26" spans="1:6" ht="15" customHeight="1">
      <c r="A26" s="52"/>
      <c r="B26" s="52"/>
      <c r="C26" s="184"/>
      <c r="D26" s="184"/>
      <c r="E26" s="184"/>
      <c r="F26" s="52"/>
    </row>
    <row r="27" spans="1:6" ht="15.75">
      <c r="A27" s="78"/>
      <c r="B27" s="186" t="s">
        <v>27</v>
      </c>
      <c r="C27" s="61">
        <f>SUM(C10:C26)</f>
        <v>25000</v>
      </c>
      <c r="D27" s="61">
        <f>SUM(D10:D26)</f>
        <v>12500</v>
      </c>
      <c r="E27" s="61">
        <f>SUM(E10:E26)</f>
        <v>12500</v>
      </c>
      <c r="F27" s="78"/>
    </row>
    <row r="28" spans="1:6" ht="15.75">
      <c r="A28" s="78"/>
      <c r="B28" s="187" t="s">
        <v>204</v>
      </c>
      <c r="C28" s="47"/>
      <c r="D28" s="48"/>
      <c r="E28" s="48"/>
      <c r="F28" s="78"/>
    </row>
    <row r="29" spans="1:6" ht="15.75">
      <c r="A29" s="78"/>
      <c r="B29" s="186" t="s">
        <v>187</v>
      </c>
      <c r="C29" s="61">
        <f>C27</f>
        <v>25000</v>
      </c>
      <c r="D29" s="61">
        <f>SUM(D27-D28)</f>
        <v>12500</v>
      </c>
      <c r="E29" s="61">
        <f>SUM(E27-E28)</f>
        <v>12500</v>
      </c>
      <c r="F29" s="78"/>
    </row>
    <row r="30" spans="1:6" ht="15.75">
      <c r="A30" s="78"/>
      <c r="B30" s="78"/>
      <c r="C30" s="78"/>
      <c r="D30" s="78"/>
      <c r="E30" s="78"/>
      <c r="F30" s="78"/>
    </row>
    <row r="31" spans="1:6" ht="15.75">
      <c r="A31" s="78"/>
      <c r="B31" s="78"/>
      <c r="C31" s="78"/>
      <c r="D31" s="78"/>
      <c r="E31" s="78"/>
      <c r="F31" s="78"/>
    </row>
    <row r="32" spans="1:6" ht="15.75">
      <c r="A32" s="277" t="s">
        <v>205</v>
      </c>
      <c r="B32" s="278" t="str">
        <f>CONCATENATE("Adjustments are required only if the transfer is being made in ",D9," and/or ",E9," from a non-budgeted fund.")</f>
        <v>Adjustments are required only if the transfer is being made in 2011 and/or 2012 from a non-budgeted fund.</v>
      </c>
      <c r="C32" s="78"/>
      <c r="D32" s="78"/>
      <c r="E32" s="78"/>
      <c r="F32" s="78"/>
    </row>
  </sheetData>
  <sheetProtection/>
  <mergeCells count="1">
    <mergeCell ref="A5:F5"/>
  </mergeCells>
  <printOptions/>
  <pageMargins left="0.5" right="0.5" top="0.72" bottom="0.23" header="0.5" footer="0"/>
  <pageSetup blackAndWhite="1" fitToHeight="1" fitToWidth="1" horizontalDpi="120" verticalDpi="120" orientation="portrait" scale="84" r:id="rId1"/>
  <headerFooter alignWithMargins="0">
    <oddHeader>&amp;RState of Kansas
County
</oddHeader>
    <oddFooter>&amp;CPage No. 5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B42"/>
  <sheetViews>
    <sheetView view="pageBreakPreview" zoomScale="108" zoomScaleNormal="75" zoomScaleSheetLayoutView="108" zoomScalePageLayoutView="0" workbookViewId="0" topLeftCell="B12">
      <selection activeCell="B12" sqref="B12"/>
    </sheetView>
  </sheetViews>
  <sheetFormatPr defaultColWidth="8.796875" defaultRowHeight="15"/>
  <cols>
    <col min="1" max="1" width="20.796875" style="84" customWidth="1"/>
    <col min="2" max="2" width="9.3984375" style="84" customWidth="1"/>
    <col min="3" max="3" width="9.796875" style="84" customWidth="1"/>
    <col min="4" max="4" width="8.796875" style="84" customWidth="1"/>
    <col min="5" max="5" width="12.796875" style="84" customWidth="1"/>
    <col min="6" max="6" width="14" style="84" customWidth="1"/>
    <col min="7" max="12" width="9.796875" style="84" customWidth="1"/>
    <col min="13" max="16384" width="8.8984375" style="84" customWidth="1"/>
  </cols>
  <sheetData>
    <row r="1" spans="1:12" ht="15.75">
      <c r="A1" s="161" t="str">
        <f>inputPrYr!$C$2</f>
        <v>MITCHELL COUNTY</v>
      </c>
      <c r="B1" s="28"/>
      <c r="C1" s="28"/>
      <c r="D1" s="28"/>
      <c r="E1" s="28"/>
      <c r="F1" s="28"/>
      <c r="G1" s="28"/>
      <c r="H1" s="28"/>
      <c r="I1" s="28"/>
      <c r="J1" s="28"/>
      <c r="K1" s="28"/>
      <c r="L1" s="188">
        <f>inputPrYr!$C$4</f>
        <v>2012</v>
      </c>
    </row>
    <row r="2" spans="1:12" ht="15.75">
      <c r="A2" s="161"/>
      <c r="B2" s="28"/>
      <c r="C2" s="28"/>
      <c r="D2" s="28"/>
      <c r="E2" s="28"/>
      <c r="F2" s="28"/>
      <c r="G2" s="28"/>
      <c r="H2" s="28"/>
      <c r="I2" s="28"/>
      <c r="J2" s="28"/>
      <c r="K2" s="28"/>
      <c r="L2" s="173"/>
    </row>
    <row r="3" spans="1:12" ht="15.75">
      <c r="A3" s="189" t="s">
        <v>110</v>
      </c>
      <c r="B3" s="36"/>
      <c r="C3" s="36"/>
      <c r="D3" s="36"/>
      <c r="E3" s="36"/>
      <c r="F3" s="36"/>
      <c r="G3" s="36"/>
      <c r="H3" s="36"/>
      <c r="I3" s="36"/>
      <c r="J3" s="36"/>
      <c r="K3" s="36"/>
      <c r="L3" s="36"/>
    </row>
    <row r="4" spans="1:12" ht="15.75">
      <c r="A4" s="28"/>
      <c r="B4" s="190"/>
      <c r="C4" s="190"/>
      <c r="D4" s="190"/>
      <c r="E4" s="190"/>
      <c r="F4" s="190"/>
      <c r="G4" s="190"/>
      <c r="H4" s="190"/>
      <c r="I4" s="190"/>
      <c r="J4" s="190"/>
      <c r="K4" s="190"/>
      <c r="L4" s="190"/>
    </row>
    <row r="5" spans="1:12" ht="15.75">
      <c r="A5" s="28"/>
      <c r="B5" s="191" t="s">
        <v>79</v>
      </c>
      <c r="C5" s="191" t="s">
        <v>79</v>
      </c>
      <c r="D5" s="191" t="s">
        <v>94</v>
      </c>
      <c r="E5" s="191"/>
      <c r="F5" s="191" t="s">
        <v>188</v>
      </c>
      <c r="G5" s="28"/>
      <c r="H5" s="28"/>
      <c r="I5" s="192" t="s">
        <v>80</v>
      </c>
      <c r="J5" s="193"/>
      <c r="K5" s="192" t="s">
        <v>80</v>
      </c>
      <c r="L5" s="193"/>
    </row>
    <row r="6" spans="1:12" ht="15.75">
      <c r="A6" s="28"/>
      <c r="B6" s="194" t="s">
        <v>81</v>
      </c>
      <c r="C6" s="194" t="s">
        <v>189</v>
      </c>
      <c r="D6" s="194" t="s">
        <v>82</v>
      </c>
      <c r="E6" s="194" t="s">
        <v>46</v>
      </c>
      <c r="F6" s="194" t="s">
        <v>149</v>
      </c>
      <c r="G6" s="383" t="s">
        <v>83</v>
      </c>
      <c r="H6" s="384"/>
      <c r="I6" s="385">
        <f>L1-1</f>
        <v>2011</v>
      </c>
      <c r="J6" s="386"/>
      <c r="K6" s="385">
        <f>L1</f>
        <v>2012</v>
      </c>
      <c r="L6" s="386"/>
    </row>
    <row r="7" spans="1:12" ht="15.75">
      <c r="A7" s="196" t="s">
        <v>84</v>
      </c>
      <c r="B7" s="197" t="s">
        <v>85</v>
      </c>
      <c r="C7" s="197" t="s">
        <v>190</v>
      </c>
      <c r="D7" s="197" t="s">
        <v>60</v>
      </c>
      <c r="E7" s="197" t="s">
        <v>86</v>
      </c>
      <c r="F7" s="195" t="str">
        <f>CONCATENATE("Jan 1,",L1-1,"")</f>
        <v>Jan 1,2011</v>
      </c>
      <c r="G7" s="186" t="s">
        <v>94</v>
      </c>
      <c r="H7" s="186" t="s">
        <v>95</v>
      </c>
      <c r="I7" s="186" t="s">
        <v>94</v>
      </c>
      <c r="J7" s="186" t="s">
        <v>95</v>
      </c>
      <c r="K7" s="186" t="s">
        <v>94</v>
      </c>
      <c r="L7" s="186" t="s">
        <v>95</v>
      </c>
    </row>
    <row r="8" spans="1:12" ht="15.75">
      <c r="A8" s="196" t="s">
        <v>87</v>
      </c>
      <c r="B8" s="50"/>
      <c r="C8" s="50"/>
      <c r="D8" s="198"/>
      <c r="E8" s="199"/>
      <c r="F8" s="199"/>
      <c r="G8" s="50"/>
      <c r="H8" s="50"/>
      <c r="I8" s="199"/>
      <c r="J8" s="199"/>
      <c r="K8" s="199"/>
      <c r="L8" s="199"/>
    </row>
    <row r="9" spans="1:12" ht="15.75">
      <c r="A9" s="200"/>
      <c r="B9" s="281"/>
      <c r="C9" s="281"/>
      <c r="D9" s="201"/>
      <c r="E9" s="202"/>
      <c r="F9" s="203"/>
      <c r="G9" s="204"/>
      <c r="H9" s="204"/>
      <c r="I9" s="203"/>
      <c r="J9" s="203"/>
      <c r="K9" s="203"/>
      <c r="L9" s="203"/>
    </row>
    <row r="10" spans="1:12" ht="15.75">
      <c r="A10" s="200"/>
      <c r="B10" s="281"/>
      <c r="C10" s="281"/>
      <c r="D10" s="201"/>
      <c r="E10" s="202"/>
      <c r="F10" s="203"/>
      <c r="G10" s="204"/>
      <c r="H10" s="204"/>
      <c r="I10" s="203"/>
      <c r="J10" s="203"/>
      <c r="K10" s="203"/>
      <c r="L10" s="203"/>
    </row>
    <row r="11" spans="1:12" ht="15.75">
      <c r="A11" s="200"/>
      <c r="B11" s="281"/>
      <c r="C11" s="281"/>
      <c r="D11" s="201"/>
      <c r="E11" s="202"/>
      <c r="F11" s="203"/>
      <c r="G11" s="204"/>
      <c r="H11" s="204"/>
      <c r="I11" s="203"/>
      <c r="J11" s="203"/>
      <c r="K11" s="203"/>
      <c r="L11" s="203"/>
    </row>
    <row r="12" spans="1:12" ht="15.75">
      <c r="A12" s="200"/>
      <c r="B12" s="281"/>
      <c r="C12" s="281"/>
      <c r="D12" s="201"/>
      <c r="E12" s="202"/>
      <c r="F12" s="203"/>
      <c r="G12" s="204"/>
      <c r="H12" s="204"/>
      <c r="I12" s="203"/>
      <c r="J12" s="203"/>
      <c r="K12" s="203"/>
      <c r="L12" s="203"/>
    </row>
    <row r="13" spans="1:12" ht="15.75">
      <c r="A13" s="200"/>
      <c r="B13" s="281"/>
      <c r="C13" s="281"/>
      <c r="D13" s="201"/>
      <c r="E13" s="202"/>
      <c r="F13" s="203"/>
      <c r="G13" s="204"/>
      <c r="H13" s="204"/>
      <c r="I13" s="203"/>
      <c r="J13" s="203"/>
      <c r="K13" s="203"/>
      <c r="L13" s="203"/>
    </row>
    <row r="14" spans="1:12" ht="15.75">
      <c r="A14" s="200"/>
      <c r="B14" s="281"/>
      <c r="C14" s="281"/>
      <c r="D14" s="201"/>
      <c r="E14" s="202"/>
      <c r="F14" s="203"/>
      <c r="G14" s="204"/>
      <c r="H14" s="204"/>
      <c r="I14" s="203"/>
      <c r="J14" s="203"/>
      <c r="K14" s="203"/>
      <c r="L14" s="203"/>
    </row>
    <row r="15" spans="1:12" ht="15.75">
      <c r="A15" s="200"/>
      <c r="B15" s="281"/>
      <c r="C15" s="281"/>
      <c r="D15" s="201"/>
      <c r="E15" s="202"/>
      <c r="F15" s="203"/>
      <c r="G15" s="204"/>
      <c r="H15" s="204"/>
      <c r="I15" s="203"/>
      <c r="J15" s="203"/>
      <c r="K15" s="203"/>
      <c r="L15" s="203"/>
    </row>
    <row r="16" spans="1:12" ht="15.75">
      <c r="A16" s="200"/>
      <c r="B16" s="281"/>
      <c r="C16" s="281"/>
      <c r="D16" s="201"/>
      <c r="E16" s="202"/>
      <c r="F16" s="203"/>
      <c r="G16" s="204"/>
      <c r="H16" s="204"/>
      <c r="I16" s="203"/>
      <c r="J16" s="203"/>
      <c r="K16" s="203"/>
      <c r="L16" s="203"/>
    </row>
    <row r="17" spans="1:12" ht="15.75">
      <c r="A17" s="200"/>
      <c r="B17" s="281"/>
      <c r="C17" s="281"/>
      <c r="D17" s="201"/>
      <c r="E17" s="202"/>
      <c r="F17" s="203"/>
      <c r="G17" s="204"/>
      <c r="H17" s="204"/>
      <c r="I17" s="203"/>
      <c r="J17" s="203"/>
      <c r="K17" s="203"/>
      <c r="L17" s="203"/>
    </row>
    <row r="18" spans="1:12" ht="15.75">
      <c r="A18" s="200"/>
      <c r="B18" s="281"/>
      <c r="C18" s="281"/>
      <c r="D18" s="201"/>
      <c r="E18" s="202"/>
      <c r="F18" s="203"/>
      <c r="G18" s="204"/>
      <c r="H18" s="204"/>
      <c r="I18" s="203"/>
      <c r="J18" s="203"/>
      <c r="K18" s="203"/>
      <c r="L18" s="203"/>
    </row>
    <row r="19" spans="1:12" ht="15.75">
      <c r="A19" s="205" t="s">
        <v>88</v>
      </c>
      <c r="B19" s="206"/>
      <c r="C19" s="206"/>
      <c r="D19" s="207"/>
      <c r="E19" s="208"/>
      <c r="F19" s="209">
        <f>SUM(F9:F18)</f>
        <v>0</v>
      </c>
      <c r="G19" s="210"/>
      <c r="H19" s="210"/>
      <c r="I19" s="209">
        <f>SUM(I9:I18)</f>
        <v>0</v>
      </c>
      <c r="J19" s="209">
        <f>SUM(J9:J18)</f>
        <v>0</v>
      </c>
      <c r="K19" s="209">
        <f>SUM(K9:K18)</f>
        <v>0</v>
      </c>
      <c r="L19" s="209">
        <f>SUM(L9:L18)</f>
        <v>0</v>
      </c>
    </row>
    <row r="20" spans="1:12" ht="15.75">
      <c r="A20" s="186" t="s">
        <v>89</v>
      </c>
      <c r="B20" s="211"/>
      <c r="C20" s="211"/>
      <c r="D20" s="212"/>
      <c r="E20" s="213"/>
      <c r="F20" s="213"/>
      <c r="G20" s="214"/>
      <c r="H20" s="214"/>
      <c r="I20" s="213"/>
      <c r="J20" s="213"/>
      <c r="K20" s="213"/>
      <c r="L20" s="213"/>
    </row>
    <row r="21" spans="1:12" ht="15.75">
      <c r="A21" s="200"/>
      <c r="B21" s="281"/>
      <c r="C21" s="281"/>
      <c r="D21" s="201"/>
      <c r="E21" s="202"/>
      <c r="F21" s="203"/>
      <c r="G21" s="204"/>
      <c r="H21" s="204"/>
      <c r="I21" s="203"/>
      <c r="J21" s="203"/>
      <c r="K21" s="203"/>
      <c r="L21" s="203"/>
    </row>
    <row r="22" spans="1:12" ht="15.75">
      <c r="A22" s="200"/>
      <c r="B22" s="281"/>
      <c r="C22" s="281"/>
      <c r="D22" s="201"/>
      <c r="E22" s="202"/>
      <c r="F22" s="203"/>
      <c r="G22" s="204"/>
      <c r="H22" s="204"/>
      <c r="I22" s="203"/>
      <c r="J22" s="203"/>
      <c r="K22" s="203"/>
      <c r="L22" s="203"/>
    </row>
    <row r="23" spans="1:12" ht="15.75">
      <c r="A23" s="200"/>
      <c r="B23" s="281"/>
      <c r="C23" s="281"/>
      <c r="D23" s="201"/>
      <c r="E23" s="202"/>
      <c r="F23" s="203"/>
      <c r="G23" s="204"/>
      <c r="H23" s="204"/>
      <c r="I23" s="203"/>
      <c r="J23" s="203"/>
      <c r="K23" s="203"/>
      <c r="L23" s="203"/>
    </row>
    <row r="24" spans="1:12" ht="15.75">
      <c r="A24" s="200"/>
      <c r="B24" s="281"/>
      <c r="C24" s="281"/>
      <c r="D24" s="201"/>
      <c r="E24" s="202"/>
      <c r="F24" s="203"/>
      <c r="G24" s="204"/>
      <c r="H24" s="204"/>
      <c r="I24" s="203"/>
      <c r="J24" s="203"/>
      <c r="K24" s="203"/>
      <c r="L24" s="203"/>
    </row>
    <row r="25" spans="1:12" ht="15.75">
      <c r="A25" s="200"/>
      <c r="B25" s="281"/>
      <c r="C25" s="281"/>
      <c r="D25" s="201"/>
      <c r="E25" s="202"/>
      <c r="F25" s="203"/>
      <c r="G25" s="204"/>
      <c r="H25" s="204"/>
      <c r="I25" s="203"/>
      <c r="J25" s="203"/>
      <c r="K25" s="203"/>
      <c r="L25" s="203"/>
    </row>
    <row r="26" spans="1:12" ht="15.75">
      <c r="A26" s="200"/>
      <c r="B26" s="281"/>
      <c r="C26" s="281"/>
      <c r="D26" s="201"/>
      <c r="E26" s="202"/>
      <c r="F26" s="203"/>
      <c r="G26" s="204"/>
      <c r="H26" s="204"/>
      <c r="I26" s="203"/>
      <c r="J26" s="203"/>
      <c r="K26" s="203"/>
      <c r="L26" s="203"/>
    </row>
    <row r="27" spans="1:12" ht="15.75">
      <c r="A27" s="205" t="s">
        <v>90</v>
      </c>
      <c r="B27" s="206"/>
      <c r="C27" s="206"/>
      <c r="D27" s="215"/>
      <c r="E27" s="208"/>
      <c r="F27" s="216">
        <f>SUM(F21:F26)</f>
        <v>0</v>
      </c>
      <c r="G27" s="210"/>
      <c r="H27" s="210"/>
      <c r="I27" s="216">
        <f>SUM(I21:I26)</f>
        <v>0</v>
      </c>
      <c r="J27" s="216">
        <f>SUM(J21:J26)</f>
        <v>0</v>
      </c>
      <c r="K27" s="209">
        <f>SUM(K21:K26)</f>
        <v>0</v>
      </c>
      <c r="L27" s="216">
        <f>SUM(L21:L26)</f>
        <v>0</v>
      </c>
    </row>
    <row r="28" spans="1:12" ht="15.75">
      <c r="A28" s="186" t="s">
        <v>91</v>
      </c>
      <c r="B28" s="211"/>
      <c r="C28" s="211"/>
      <c r="D28" s="212"/>
      <c r="E28" s="213"/>
      <c r="F28" s="217"/>
      <c r="G28" s="214"/>
      <c r="H28" s="214"/>
      <c r="I28" s="213"/>
      <c r="J28" s="213"/>
      <c r="K28" s="213"/>
      <c r="L28" s="213"/>
    </row>
    <row r="29" spans="1:12" ht="15.75">
      <c r="A29" s="200"/>
      <c r="B29" s="281"/>
      <c r="C29" s="281"/>
      <c r="D29" s="201"/>
      <c r="E29" s="202"/>
      <c r="F29" s="203"/>
      <c r="G29" s="204"/>
      <c r="H29" s="204"/>
      <c r="I29" s="203"/>
      <c r="J29" s="203"/>
      <c r="K29" s="203"/>
      <c r="L29" s="203"/>
    </row>
    <row r="30" spans="1:12" ht="15.75">
      <c r="A30" s="200"/>
      <c r="B30" s="281"/>
      <c r="C30" s="281"/>
      <c r="D30" s="201"/>
      <c r="E30" s="202"/>
      <c r="F30" s="203"/>
      <c r="G30" s="204"/>
      <c r="H30" s="204"/>
      <c r="I30" s="203"/>
      <c r="J30" s="203"/>
      <c r="K30" s="203"/>
      <c r="L30" s="203"/>
    </row>
    <row r="31" spans="1:12" ht="15.75">
      <c r="A31" s="200"/>
      <c r="B31" s="281"/>
      <c r="C31" s="281"/>
      <c r="D31" s="201"/>
      <c r="E31" s="202"/>
      <c r="F31" s="203"/>
      <c r="G31" s="204"/>
      <c r="H31" s="204"/>
      <c r="I31" s="203"/>
      <c r="J31" s="203"/>
      <c r="K31" s="203"/>
      <c r="L31" s="203"/>
    </row>
    <row r="32" spans="1:12" ht="15.75">
      <c r="A32" s="200"/>
      <c r="B32" s="281"/>
      <c r="C32" s="281"/>
      <c r="D32" s="201"/>
      <c r="E32" s="202"/>
      <c r="F32" s="203"/>
      <c r="G32" s="204"/>
      <c r="H32" s="204"/>
      <c r="I32" s="203"/>
      <c r="J32" s="203"/>
      <c r="K32" s="203"/>
      <c r="L32" s="203"/>
    </row>
    <row r="33" spans="1:12" ht="15.75">
      <c r="A33" s="200"/>
      <c r="B33" s="281"/>
      <c r="C33" s="281"/>
      <c r="D33" s="201"/>
      <c r="E33" s="202"/>
      <c r="F33" s="203"/>
      <c r="G33" s="204"/>
      <c r="H33" s="204"/>
      <c r="I33" s="203"/>
      <c r="J33" s="203"/>
      <c r="K33" s="203"/>
      <c r="L33" s="203"/>
    </row>
    <row r="34" spans="1:12" ht="15.75">
      <c r="A34" s="200"/>
      <c r="B34" s="281"/>
      <c r="C34" s="281"/>
      <c r="D34" s="201"/>
      <c r="E34" s="202"/>
      <c r="F34" s="203"/>
      <c r="G34" s="204"/>
      <c r="H34" s="204"/>
      <c r="I34" s="203"/>
      <c r="J34" s="203"/>
      <c r="K34" s="203"/>
      <c r="L34" s="203"/>
    </row>
    <row r="35" spans="1:28" ht="15.75">
      <c r="A35" s="200"/>
      <c r="B35" s="281"/>
      <c r="C35" s="281"/>
      <c r="D35" s="201"/>
      <c r="E35" s="202"/>
      <c r="F35" s="203"/>
      <c r="G35" s="204"/>
      <c r="H35" s="204"/>
      <c r="I35" s="203"/>
      <c r="J35" s="203"/>
      <c r="K35" s="203"/>
      <c r="L35" s="203"/>
      <c r="M35" s="25"/>
      <c r="N35" s="25"/>
      <c r="O35" s="25"/>
      <c r="P35" s="25"/>
      <c r="Q35" s="25"/>
      <c r="R35" s="25"/>
      <c r="S35" s="25"/>
      <c r="T35" s="25"/>
      <c r="U35" s="25"/>
      <c r="V35" s="25"/>
      <c r="W35" s="25"/>
      <c r="X35" s="25"/>
      <c r="Y35" s="25"/>
      <c r="Z35" s="25"/>
      <c r="AA35" s="25"/>
      <c r="AB35" s="25"/>
    </row>
    <row r="36" spans="1:12" ht="15.75">
      <c r="A36" s="205" t="s">
        <v>191</v>
      </c>
      <c r="B36" s="205"/>
      <c r="C36" s="205"/>
      <c r="D36" s="215"/>
      <c r="E36" s="208"/>
      <c r="F36" s="216">
        <f>SUM(F29:F35)</f>
        <v>0</v>
      </c>
      <c r="G36" s="208"/>
      <c r="H36" s="208"/>
      <c r="I36" s="216">
        <f>SUM(I29:I35)</f>
        <v>0</v>
      </c>
      <c r="J36" s="216">
        <f>SUM(J29:J35)</f>
        <v>0</v>
      </c>
      <c r="K36" s="216">
        <f>SUM(K29:K35)</f>
        <v>0</v>
      </c>
      <c r="L36" s="216">
        <f>SUM(L29:L35)</f>
        <v>0</v>
      </c>
    </row>
    <row r="37" spans="1:12" ht="15.75">
      <c r="A37" s="205" t="s">
        <v>92</v>
      </c>
      <c r="B37" s="205"/>
      <c r="C37" s="205"/>
      <c r="D37" s="205"/>
      <c r="E37" s="208"/>
      <c r="F37" s="216">
        <f>SUM(F19+F27+F36)</f>
        <v>0</v>
      </c>
      <c r="G37" s="208"/>
      <c r="H37" s="208"/>
      <c r="I37" s="216">
        <f>SUM(I19+I27+I36)</f>
        <v>0</v>
      </c>
      <c r="J37" s="216">
        <f>SUM(J19+J27+J36)</f>
        <v>0</v>
      </c>
      <c r="K37" s="216">
        <f>SUM(K19+K27+K36)</f>
        <v>0</v>
      </c>
      <c r="L37" s="216">
        <f>SUM(L19+L27+L36)</f>
        <v>0</v>
      </c>
    </row>
    <row r="38" spans="1:12" ht="15.75">
      <c r="A38" s="25"/>
      <c r="B38" s="25"/>
      <c r="C38" s="25"/>
      <c r="D38" s="25"/>
      <c r="E38" s="25"/>
      <c r="F38" s="25"/>
      <c r="G38" s="25"/>
      <c r="H38" s="25"/>
      <c r="I38" s="25"/>
      <c r="J38" s="25"/>
      <c r="K38" s="25"/>
      <c r="L38" s="25"/>
    </row>
    <row r="39" spans="5:12" ht="15.75">
      <c r="E39" s="218"/>
      <c r="F39" s="218"/>
      <c r="I39" s="218"/>
      <c r="J39" s="218"/>
      <c r="K39" s="218"/>
      <c r="L39" s="218"/>
    </row>
    <row r="40" spans="5:13" ht="15.75">
      <c r="E40" s="25"/>
      <c r="G40" s="219"/>
      <c r="M40" s="25"/>
    </row>
    <row r="41" spans="1:12" ht="15.75">
      <c r="A41" s="25"/>
      <c r="B41" s="25"/>
      <c r="C41" s="25"/>
      <c r="D41" s="25"/>
      <c r="E41" s="25"/>
      <c r="F41" s="25"/>
      <c r="G41" s="25"/>
      <c r="H41" s="25"/>
      <c r="I41" s="25"/>
      <c r="J41" s="25"/>
      <c r="K41" s="25"/>
      <c r="L41" s="25"/>
    </row>
    <row r="42" spans="1:12" ht="15.75">
      <c r="A42" s="25"/>
      <c r="B42" s="25"/>
      <c r="C42" s="25"/>
      <c r="D42" s="25"/>
      <c r="E42" s="25"/>
      <c r="F42" s="25"/>
      <c r="G42" s="25"/>
      <c r="H42" s="25"/>
      <c r="I42" s="25"/>
      <c r="J42" s="25"/>
      <c r="K42" s="25"/>
      <c r="L42" s="25"/>
    </row>
  </sheetData>
  <sheetProtection sheet="1"/>
  <mergeCells count="3">
    <mergeCell ref="G6:H6"/>
    <mergeCell ref="I6:J6"/>
    <mergeCell ref="K6:L6"/>
  </mergeCells>
  <printOptions/>
  <pageMargins left="1" right="0.5" top="0.78" bottom="0.4" header="0.5" footer="0"/>
  <pageSetup blackAndWhite="1" fitToHeight="1" fitToWidth="1" horizontalDpi="120" verticalDpi="120" orientation="landscape" scale="70" r:id="rId1"/>
  <headerFooter alignWithMargins="0">
    <oddHeader>&amp;RState of Kansas
County
</oddHeader>
    <oddFooter>&amp;CPage No.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John</cp:lastModifiedBy>
  <cp:lastPrinted>2011-08-12T20:54:18Z</cp:lastPrinted>
  <dcterms:created xsi:type="dcterms:W3CDTF">1998-08-26T13:26:11Z</dcterms:created>
  <dcterms:modified xsi:type="dcterms:W3CDTF">2011-08-12T21:43:42Z</dcterms:modified>
  <cp:category/>
  <cp:version/>
  <cp:contentType/>
  <cp:contentStatus/>
</cp:coreProperties>
</file>