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6"/>
  </bookViews>
  <sheets>
    <sheet name="instructions" sheetId="1" r:id="rId1"/>
    <sheet name="inputPrYr" sheetId="2" r:id="rId2"/>
    <sheet name="inputOth" sheetId="3" r:id="rId3"/>
    <sheet name="inputBudSum" sheetId="4" r:id="rId4"/>
    <sheet name="Signed Cert" sheetId="5" r:id="rId5"/>
    <sheet name="cert" sheetId="6" r:id="rId6"/>
    <sheet name="Publication" sheetId="7" r:id="rId7"/>
    <sheet name="computation" sheetId="8" r:id="rId8"/>
    <sheet name="mvalloc" sheetId="9" r:id="rId9"/>
    <sheet name="transfers" sheetId="10" r:id="rId10"/>
    <sheet name="TransferFunds" sheetId="11" r:id="rId11"/>
    <sheet name="debt" sheetId="12" r:id="rId12"/>
    <sheet name="gen" sheetId="13" r:id="rId13"/>
    <sheet name="DebtService" sheetId="14" r:id="rId14"/>
    <sheet name="levypage8" sheetId="15" r:id="rId15"/>
    <sheet name="nolevypage9" sheetId="16" r:id="rId16"/>
    <sheet name="NonBud"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3">'DebtService'!$B$1:$E$63</definedName>
    <definedName name="_xlnm.Print_Area" localSheetId="12">'gen'!$B$1:$F$63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<sst xmlns="http://schemas.openxmlformats.org/spreadsheetml/2006/main" count="1141" uniqueCount="775">
  <si>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</si>
  <si>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</si>
  <si>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</si>
  <si>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</si>
  <si>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</si>
  <si>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</si>
  <si>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</si>
  <si>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</si>
  <si>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</si>
  <si>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</si>
  <si>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</si>
  <si>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</si>
  <si>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</si>
  <si>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</si>
  <si>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</si>
  <si>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</si>
  <si>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</si>
  <si>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</si>
  <si>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</si>
  <si>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</si>
  <si>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</si>
  <si>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</si>
  <si>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</si>
  <si>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</si>
  <si>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</si>
  <si>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</si>
  <si>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</si>
  <si>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</si>
  <si>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</si>
  <si>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</si>
  <si>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</si>
  <si>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</si>
  <si>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</si>
  <si>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</si>
  <si>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</si>
  <si>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</si>
  <si>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</si>
  <si>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</si>
  <si>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</si>
  <si>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</si>
  <si>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</si>
  <si>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</si>
  <si>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</si>
  <si>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</si>
  <si>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</si>
  <si>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</si>
  <si>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</si>
  <si>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</si>
  <si>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</si>
  <si>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</si>
  <si>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</si>
  <si>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</si>
  <si>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</si>
  <si>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</si>
  <si>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</si>
  <si>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</si>
  <si>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</si>
  <si>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</si>
  <si>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</si>
  <si>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</si>
  <si>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</si>
  <si>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</si>
  <si>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</si>
  <si>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</si>
  <si>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</si>
  <si>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</si>
  <si>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</si>
  <si>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</si>
  <si>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</si>
  <si>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</si>
  <si>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</si>
  <si>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</si>
  <si>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</si>
  <si>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</si>
  <si>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</si>
  <si>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</si>
  <si>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</si>
  <si>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</si>
  <si>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</si>
  <si>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</si>
  <si>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</si>
  <si>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</si>
  <si>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</si>
  <si>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</si>
  <si>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</si>
  <si>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</si>
  <si>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</si>
  <si>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</si>
  <si>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</si>
  <si>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</si>
  <si>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</si>
  <si>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</si>
  <si>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</si>
  <si>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</si>
  <si>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</si>
  <si>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</si>
  <si>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</si>
  <si>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</si>
  <si>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</si>
  <si>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</si>
  <si>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</si>
  <si>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</si>
  <si>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</si>
  <si>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</si>
  <si>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</si>
  <si>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</si>
  <si>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</si>
  <si>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</si>
  <si>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</si>
  <si>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</si>
  <si>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</si>
  <si>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</si>
  <si>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</si>
  <si>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</si>
  <si>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</si>
  <si>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</si>
  <si>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</si>
  <si>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</si>
  <si>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</si>
  <si>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</si>
  <si>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</si>
  <si>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</si>
  <si>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</si>
  <si>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</si>
  <si>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</si>
  <si>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</si>
  <si>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</si>
  <si>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</si>
  <si>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</si>
  <si>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</si>
  <si>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</si>
  <si>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</si>
  <si>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</si>
  <si>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</si>
  <si>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</si>
  <si>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</si>
  <si>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</si>
  <si>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</si>
  <si>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</si>
  <si>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</si>
  <si>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</si>
  <si>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</si>
  <si>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</si>
  <si>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</si>
  <si>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</si>
  <si>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</si>
  <si>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</si>
  <si>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</si>
  <si>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</si>
  <si>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</si>
  <si>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</si>
  <si>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</si>
  <si>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</si>
  <si>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</si>
  <si>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</si>
  <si>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</si>
  <si>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</si>
  <si>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</si>
  <si>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</si>
  <si>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</si>
  <si>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</si>
  <si>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</si>
  <si>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</si>
  <si>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</si>
  <si>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</si>
  <si>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</si>
  <si>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</si>
  <si>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</si>
  <si>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</si>
  <si>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</si>
  <si>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</si>
  <si>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</si>
  <si>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</si>
  <si>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</si>
  <si>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</si>
  <si>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</si>
  <si>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</si>
  <si>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</si>
  <si>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</si>
  <si>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</si>
  <si>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</si>
  <si>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</si>
  <si>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</si>
  <si>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</si>
  <si>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</si>
  <si>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</si>
  <si>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</si>
  <si>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</si>
  <si>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</si>
  <si>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</si>
  <si>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</si>
  <si>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</si>
  <si>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</si>
  <si>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</si>
  <si>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</si>
  <si>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</si>
  <si>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</si>
  <si>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</si>
  <si>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</si>
  <si>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</si>
  <si>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</si>
  <si>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</si>
  <si>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</si>
  <si>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</si>
  <si>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</si>
  <si>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</si>
  <si>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</si>
  <si>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</si>
  <si>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</si>
  <si>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</si>
  <si>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</si>
  <si>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</si>
  <si>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</si>
  <si>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</si>
  <si>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</si>
  <si>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</si>
  <si>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</si>
  <si>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</si>
  <si>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</si>
  <si>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</si>
  <si>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</si>
  <si>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</si>
  <si>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</si>
  <si>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</si>
  <si>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</si>
  <si>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</si>
  <si>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</si>
  <si>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</si>
  <si>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</si>
  <si>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</si>
  <si>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</si>
  <si>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</si>
  <si>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</si>
  <si>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</si>
  <si>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</si>
  <si>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</si>
  <si>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</si>
  <si>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</si>
  <si>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</si>
  <si>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</si>
  <si>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</si>
  <si>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</si>
  <si>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</si>
  <si>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</si>
  <si>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</si>
  <si>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</si>
  <si>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</si>
  <si>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</si>
  <si>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</si>
  <si>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</si>
  <si>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</si>
  <si>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</si>
  <si>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</si>
  <si>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</si>
  <si>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</si>
  <si>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</si>
  <si>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</si>
  <si>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</si>
  <si>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</si>
  <si>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</si>
  <si>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</si>
  <si>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</si>
  <si>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</si>
  <si>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</si>
  <si>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</si>
  <si>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</si>
  <si>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</si>
  <si>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</si>
  <si>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</si>
  <si>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</si>
  <si>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</si>
  <si>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</si>
  <si>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</si>
  <si>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</si>
  <si>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</si>
  <si>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</si>
  <si>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</si>
  <si>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</si>
  <si>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</si>
  <si>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</si>
  <si>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</si>
  <si>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</si>
  <si>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</si>
  <si>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</si>
  <si>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</si>
  <si>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</si>
  <si>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</si>
  <si>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</si>
  <si>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</si>
  <si>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</si>
  <si>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</si>
  <si>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</si>
  <si>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</si>
  <si>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</si>
  <si>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</si>
  <si>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</si>
  <si>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</si>
  <si>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</si>
  <si>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</si>
  <si>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</si>
  <si>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</si>
  <si>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</si>
  <si>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</si>
  <si>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</si>
  <si>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</si>
  <si>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</si>
  <si>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</si>
  <si>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</si>
  <si>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</si>
  <si>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</si>
  <si>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</si>
  <si>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</si>
  <si>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</si>
  <si>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</si>
  <si>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</si>
  <si>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</si>
  <si>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</si>
  <si>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</si>
  <si>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</si>
  <si>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</si>
  <si>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</si>
  <si>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</si>
  <si>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</si>
  <si>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</si>
  <si>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</si>
  <si>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</si>
  <si>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</si>
  <si>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</si>
  <si>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</si>
  <si>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</si>
  <si>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</si>
  <si>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</si>
  <si>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</si>
  <si>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</si>
  <si>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</si>
  <si>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</si>
  <si>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</si>
  <si>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</si>
  <si>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</si>
  <si>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</si>
  <si>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</si>
  <si>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</si>
  <si>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</si>
  <si>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</si>
  <si>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</si>
  <si>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</si>
  <si>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</si>
  <si>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</si>
  <si>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</si>
  <si>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</si>
  <si>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</si>
  <si>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</si>
  <si>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</si>
  <si>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</si>
  <si>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</si>
  <si>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</si>
  <si>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</si>
  <si>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</si>
  <si>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</si>
  <si>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</si>
  <si>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</si>
  <si>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</si>
  <si>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</si>
  <si>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</si>
  <si>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</si>
  <si>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</si>
  <si>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</si>
  <si>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</si>
  <si>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</si>
  <si>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</si>
  <si>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</si>
  <si>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</si>
  <si>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</si>
  <si>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</si>
  <si>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</si>
  <si>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</si>
  <si>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</si>
  <si>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</si>
  <si>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</si>
  <si>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</si>
  <si>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</si>
  <si>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</si>
  <si>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</si>
  <si>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</si>
  <si>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</si>
  <si>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</si>
  <si>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</si>
  <si>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</si>
  <si>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</si>
  <si>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</si>
  <si>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</si>
  <si>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</si>
  <si>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</si>
  <si>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</si>
  <si>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</si>
  <si>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</si>
  <si>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</si>
  <si>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</si>
  <si>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</si>
  <si>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</si>
  <si>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</si>
  <si>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</si>
  <si>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</si>
  <si>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</si>
  <si>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</si>
  <si>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</si>
  <si>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</si>
  <si>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</si>
  <si>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</si>
  <si>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</si>
  <si>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</si>
  <si>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</si>
  <si>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</si>
  <si>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</si>
  <si>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</si>
  <si>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</si>
  <si>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</si>
  <si>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</si>
  <si>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</si>
  <si>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</si>
  <si>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</si>
  <si>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</si>
  <si>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</si>
  <si>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</si>
  <si>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</si>
  <si>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</si>
  <si>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</si>
  <si>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</si>
  <si>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</si>
  <si>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</si>
  <si>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</si>
  <si>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</si>
  <si>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</si>
  <si>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</si>
  <si>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</si>
  <si>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</si>
  <si>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</si>
  <si>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</si>
  <si>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</si>
  <si>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</si>
  <si>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</si>
  <si>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</si>
  <si>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</si>
  <si>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</si>
  <si>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</si>
  <si>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</si>
  <si>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</si>
  <si>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</si>
  <si>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</si>
  <si>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</si>
  <si>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</si>
  <si>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</si>
  <si>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</si>
  <si>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</si>
  <si>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</si>
  <si>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</si>
  <si>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</si>
  <si>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</si>
  <si>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</si>
  <si>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</si>
  <si>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</si>
  <si>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</si>
  <si>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</si>
  <si>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</si>
  <si>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</si>
  <si>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</si>
  <si>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</si>
  <si>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</si>
  <si>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</si>
  <si>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</si>
  <si>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</si>
  <si>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</si>
  <si>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</si>
  <si>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</si>
  <si>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</si>
  <si>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</si>
  <si>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</si>
  <si>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</si>
  <si>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</si>
  <si>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</si>
  <si>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</si>
  <si>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</si>
  <si>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</si>
  <si>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</si>
  <si>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</si>
  <si>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</si>
  <si>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</si>
  <si>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</si>
  <si>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</si>
  <si>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</si>
  <si>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</si>
  <si>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</si>
  <si>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</si>
  <si>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</si>
  <si>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</si>
  <si>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</si>
  <si>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</si>
  <si>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</si>
  <si>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</si>
  <si>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</si>
  <si>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</si>
  <si>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</si>
  <si>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</si>
  <si>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</si>
  <si>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</si>
  <si>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</si>
  <si>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</si>
  <si>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</si>
  <si>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</si>
  <si>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</si>
  <si>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</si>
  <si>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</si>
  <si>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</si>
  <si>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</si>
  <si>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</si>
  <si>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</si>
  <si>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</si>
  <si>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</si>
  <si>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</si>
  <si>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</si>
  <si>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</si>
  <si>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</si>
  <si>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</si>
  <si>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</si>
  <si>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</si>
  <si>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</si>
  <si>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</si>
  <si>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</si>
  <si>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</si>
  <si>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</si>
  <si>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</si>
  <si>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</si>
  <si>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</si>
  <si>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</si>
  <si>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</si>
  <si>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</si>
  <si>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</si>
  <si>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</si>
  <si>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</si>
  <si>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</si>
  <si>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</si>
  <si>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</si>
  <si>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</si>
  <si>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</si>
  <si>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</si>
  <si>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</si>
  <si>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</si>
  <si>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</si>
  <si>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</si>
  <si>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</si>
  <si>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</si>
  <si>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</si>
  <si>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</si>
  <si>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</si>
  <si>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</si>
  <si>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</si>
  <si>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</si>
  <si>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</si>
  <si>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</si>
  <si>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</si>
  <si>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</si>
  <si>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</si>
  <si>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</si>
  <si>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</si>
  <si>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</si>
  <si>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</si>
  <si>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</si>
  <si>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</si>
  <si>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</si>
  <si>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</si>
  <si>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</si>
  <si>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</si>
  <si>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</si>
  <si>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</si>
  <si>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</si>
  <si>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</si>
  <si>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</si>
  <si>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</si>
  <si>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</si>
  <si>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</si>
  <si>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</si>
  <si>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</si>
  <si>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</si>
  <si>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</si>
  <si>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</si>
  <si>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</si>
  <si>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</si>
  <si>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</si>
  <si>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</si>
  <si>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</si>
  <si>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</si>
  <si>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</si>
  <si>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</si>
  <si>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</si>
  <si>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</si>
  <si>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</si>
  <si>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</si>
  <si>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</si>
  <si>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</si>
  <si>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</si>
  <si>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</si>
  <si>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</si>
  <si>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</si>
  <si>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</si>
  <si>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</si>
  <si>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</si>
  <si>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</si>
  <si>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</si>
  <si>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</si>
  <si>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</si>
  <si>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</si>
  <si>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</si>
  <si>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</si>
  <si>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</si>
  <si>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</si>
  <si>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</si>
  <si>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</si>
  <si>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</si>
  <si>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</si>
  <si>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</si>
  <si>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</si>
  <si>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</si>
  <si>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</si>
  <si>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</si>
  <si>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</si>
  <si>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</si>
  <si>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</si>
  <si>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</si>
  <si>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</si>
  <si>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</si>
  <si>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</si>
  <si>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</si>
  <si>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</si>
  <si>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</si>
  <si>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</si>
  <si>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</si>
  <si>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</si>
  <si>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</si>
  <si>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</si>
  <si>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</si>
  <si>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</si>
  <si>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</si>
  <si>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</si>
  <si>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</si>
  <si>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</si>
  <si>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</si>
  <si>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</si>
  <si>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</si>
  <si>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</si>
  <si>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</si>
  <si>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</si>
  <si>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</si>
  <si>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</si>
  <si>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</si>
  <si>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</si>
  <si>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</si>
  <si>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</si>
  <si>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</si>
  <si>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</si>
  <si>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</si>
  <si>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</si>
  <si>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</si>
  <si>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</si>
  <si>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</si>
  <si>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</si>
  <si>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</si>
  <si>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</si>
  <si>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</si>
  <si>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</si>
  <si>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</si>
  <si>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</si>
  <si>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</si>
  <si>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</si>
  <si>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</si>
  <si>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</si>
  <si>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</si>
  <si>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</si>
  <si>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</si>
  <si>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</si>
  <si>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</si>
  <si>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</si>
  <si>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</si>
  <si>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</si>
  <si>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</si>
  <si>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</si>
  <si>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</si>
  <si>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</si>
  <si>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</si>
  <si>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</si>
  <si>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</si>
  <si>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</si>
  <si>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</si>
  <si>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</si>
  <si>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</si>
  <si>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</si>
  <si>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</si>
  <si>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</si>
  <si>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</si>
  <si>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</si>
  <si>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</si>
  <si>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</si>
  <si>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</si>
  <si>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</si>
  <si>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</si>
  <si>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</si>
  <si>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</si>
  <si>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</si>
  <si>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</si>
  <si>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</si>
  <si>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</si>
  <si>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</si>
  <si>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</si>
  <si>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</si>
  <si>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</si>
  <si>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</si>
  <si>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</si>
  <si>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</si>
  <si>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</si>
  <si>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</si>
  <si>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</si>
  <si>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</si>
  <si>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</si>
  <si>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</si>
  <si>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</si>
  <si>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</si>
  <si>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</si>
  <si>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</si>
  <si>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</si>
  <si>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</si>
  <si>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</si>
  <si>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</si>
  <si>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</si>
  <si>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</si>
  <si>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</si>
  <si>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</si>
  <si>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</si>
  <si>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</si>
  <si>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</si>
  <si>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</si>
  <si>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</si>
  <si>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</si>
  <si>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</si>
  <si>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</si>
  <si>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</si>
  <si>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Leavenworth</t>
  </si>
  <si>
    <t>3/1 &amp; 9/1</t>
  </si>
  <si>
    <t>Interest Payment</t>
  </si>
  <si>
    <t>Principal Payment</t>
  </si>
  <si>
    <t>Cash Basis</t>
  </si>
  <si>
    <t>NEKLS</t>
  </si>
  <si>
    <t>State Grants</t>
  </si>
  <si>
    <t>Donations</t>
  </si>
  <si>
    <t>Copies, Fax, Fines, Misc.</t>
  </si>
  <si>
    <t>Wages</t>
  </si>
  <si>
    <t>Materials</t>
  </si>
  <si>
    <t>Technology</t>
  </si>
  <si>
    <t>Library Operations</t>
  </si>
  <si>
    <t>Employee Benefits</t>
  </si>
  <si>
    <t>Building Programs</t>
  </si>
  <si>
    <t>Continuing Education</t>
  </si>
  <si>
    <t>Transfer to Capital Improvement</t>
  </si>
  <si>
    <t>General Fund</t>
  </si>
  <si>
    <t>Capital Improvement</t>
  </si>
  <si>
    <t>12-1258</t>
  </si>
  <si>
    <t>Advertising</t>
  </si>
  <si>
    <t>Postage</t>
  </si>
  <si>
    <t>Lagal &amp; Financial</t>
  </si>
  <si>
    <t>Furniture &amp; Equipment</t>
  </si>
  <si>
    <t>Trans from General</t>
  </si>
  <si>
    <t>Bldg Improvement</t>
  </si>
  <si>
    <t>August 11,2011</t>
  </si>
  <si>
    <t>6:00 P.M.</t>
  </si>
  <si>
    <t>Basehor Community Library, 1400 158th Street, Basehor</t>
  </si>
  <si>
    <t>Basehor Comm. Library</t>
  </si>
  <si>
    <t>19-3612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</si>
</sst>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9">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 fontId="4" fillId="33" borderId="12" xfId="0" applyNumberFormat="1" applyFont="1" applyFill="1" applyBorder="1" applyAlignment="1" applyProtection="1">
      <alignment horizontal="left" vertical="center"/>
      <protection locked="0"/>
    </xf>
    <xf numFmtId="4" fontId="4" fillId="33" borderId="12" xfId="0" applyNumberFormat="1" applyFont="1" applyFill="1" applyBorder="1" applyAlignment="1" applyProtection="1">
      <alignment horizontal="left" vertical="center"/>
      <protection locked="0"/>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95250</xdr:colOff>
      <xdr:row>36</xdr:row>
      <xdr:rowOff>38100</xdr:rowOff>
    </xdr:to>
    <xdr:pic>
      <xdr:nvPicPr>
        <xdr:cNvPr id="1" name="Picture 1"/>
        <xdr:cNvPicPr preferRelativeResize="1">
          <a:picLocks noChangeAspect="1"/>
        </xdr:cNvPicPr>
      </xdr:nvPicPr>
      <xdr:blipFill>
        <a:blip r:embed="rId1"/>
        <a:stretch>
          <a:fillRect/>
        </a:stretch>
      </xdr:blipFill>
      <xdr:spPr>
        <a:xfrm>
          <a:off x="0" y="0"/>
          <a:ext cx="5962650" cy="6896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133350</xdr:colOff>
      <xdr:row>46</xdr:row>
      <xdr:rowOff>114300</xdr:rowOff>
    </xdr:to>
    <xdr:pic>
      <xdr:nvPicPr>
        <xdr:cNvPr id="1" name="Picture 1"/>
        <xdr:cNvPicPr preferRelativeResize="1">
          <a:picLocks noChangeAspect="1"/>
        </xdr:cNvPicPr>
      </xdr:nvPicPr>
      <xdr:blipFill>
        <a:blip r:embed="rId1"/>
        <a:stretch>
          <a:fillRect/>
        </a:stretch>
      </xdr:blipFill>
      <xdr:spPr>
        <a:xfrm>
          <a:off x="0" y="0"/>
          <a:ext cx="7677150" cy="887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3" sqref="C23"/>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Basehor Comm. Library</v>
      </c>
      <c r="B2" s="175"/>
      <c r="C2" s="18"/>
      <c r="D2" s="18"/>
      <c r="E2" s="165"/>
      <c r="F2" s="18"/>
    </row>
    <row r="3" spans="1:6" ht="15.75">
      <c r="A3" s="175" t="str">
        <f>inputPrYr!D4</f>
        <v>Leavenworth</v>
      </c>
      <c r="B3" s="175"/>
      <c r="C3" s="18"/>
      <c r="D3" s="18"/>
      <c r="E3" s="165"/>
      <c r="F3" s="18"/>
    </row>
    <row r="4" spans="1:6" ht="15.75">
      <c r="A4" s="166"/>
      <c r="B4" s="18"/>
      <c r="C4" s="18"/>
      <c r="D4" s="18"/>
      <c r="E4" s="165"/>
      <c r="F4" s="18"/>
    </row>
    <row r="5" spans="1:6" ht="15" customHeight="1">
      <c r="A5" s="619" t="s">
        <v>148</v>
      </c>
      <c r="B5" s="619"/>
      <c r="C5" s="619"/>
      <c r="D5" s="619"/>
      <c r="E5" s="619"/>
      <c r="F5" s="619"/>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t="s">
        <v>761</v>
      </c>
      <c r="B10" s="182" t="s">
        <v>762</v>
      </c>
      <c r="C10" s="183">
        <v>20000</v>
      </c>
      <c r="D10" s="183">
        <v>10000</v>
      </c>
      <c r="E10" s="183">
        <v>10000</v>
      </c>
      <c r="F10" s="182" t="s">
        <v>763</v>
      </c>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20000</v>
      </c>
      <c r="D24" s="186">
        <f>SUM(D10:D23)</f>
        <v>10000</v>
      </c>
      <c r="E24" s="186">
        <f>SUM(E10:E23)</f>
        <v>10000</v>
      </c>
      <c r="F24" s="187"/>
      <c r="G24" s="63"/>
    </row>
    <row r="25" spans="1:7" ht="15.75">
      <c r="A25" s="32"/>
      <c r="B25" s="188" t="s">
        <v>570</v>
      </c>
      <c r="C25" s="189"/>
      <c r="D25" s="190"/>
      <c r="E25" s="190"/>
      <c r="F25" s="187"/>
      <c r="G25" s="63"/>
    </row>
    <row r="26" spans="1:7" ht="15.75">
      <c r="A26" s="32"/>
      <c r="B26" s="185" t="s">
        <v>171</v>
      </c>
      <c r="C26" s="186">
        <f>C24</f>
        <v>20000</v>
      </c>
      <c r="D26" s="186">
        <f>SUM(D24-D25)</f>
        <v>10000</v>
      </c>
      <c r="E26" s="186">
        <f>SUM(E24-E25)</f>
        <v>10000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5">
      <selection activeCell="K37" sqref="K37"/>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Basehor Comm. Library</v>
      </c>
      <c r="B1" s="18"/>
      <c r="C1" s="18"/>
      <c r="D1" s="18"/>
      <c r="E1" s="18"/>
      <c r="F1" s="18"/>
      <c r="G1" s="18"/>
      <c r="H1" s="18"/>
      <c r="I1" s="18"/>
      <c r="J1" s="18"/>
      <c r="K1" s="192">
        <f>inputPrYr!D6</f>
        <v>2012</v>
      </c>
    </row>
    <row r="2" spans="1:11" ht="15.75">
      <c r="A2" s="18" t="str">
        <f>inputPrYr!$D$4</f>
        <v>Leavenworth</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v>38932</v>
      </c>
      <c r="C10" s="205">
        <v>4.85</v>
      </c>
      <c r="D10" s="594">
        <v>2990000</v>
      </c>
      <c r="E10" s="58">
        <v>2945000</v>
      </c>
      <c r="F10" s="206" t="s">
        <v>745</v>
      </c>
      <c r="G10" s="206">
        <v>40603</v>
      </c>
      <c r="H10" s="595">
        <v>142202.5</v>
      </c>
      <c r="I10" s="594">
        <v>20000</v>
      </c>
      <c r="J10" s="205">
        <v>141133.75</v>
      </c>
      <c r="K10" s="205">
        <v>25000</v>
      </c>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2945000</v>
      </c>
      <c r="F12" s="215"/>
      <c r="G12" s="215"/>
      <c r="H12" s="214">
        <f>SUM(H10:H11)</f>
        <v>142202.5</v>
      </c>
      <c r="I12" s="214">
        <f>SUM(I10:I11)</f>
        <v>20000</v>
      </c>
      <c r="J12" s="214">
        <f>SUM(J10:J11)</f>
        <v>141133.75</v>
      </c>
      <c r="K12" s="214">
        <f>SUM(K10:K11)</f>
        <v>25000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2945000</v>
      </c>
      <c r="F21" s="219"/>
      <c r="G21" s="223"/>
      <c r="H21" s="222">
        <f>SUM(H12+H16+H20)</f>
        <v>142202.5</v>
      </c>
      <c r="I21" s="222">
        <f>SUM(I12+I16+I20)</f>
        <v>20000</v>
      </c>
      <c r="J21" s="222">
        <f>SUM(J12+J16+J20)</f>
        <v>141133.75</v>
      </c>
      <c r="K21" s="222">
        <f>SUM(K12+K16+K20)</f>
        <v>25000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9">
      <selection activeCell="G33" sqref="G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Basehor Comm. Library</v>
      </c>
      <c r="C1" s="241"/>
      <c r="D1" s="18"/>
      <c r="E1" s="192"/>
    </row>
    <row r="2" spans="2:5" ht="15.75">
      <c r="B2" s="18" t="str">
        <f>inputPrYr!D4</f>
        <v>Leavenworth</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64093</v>
      </c>
      <c r="D7" s="404">
        <f>C51</f>
        <v>62760.69000000006</v>
      </c>
      <c r="E7" s="47">
        <f>D51</f>
        <v>23518.69000000006</v>
      </c>
    </row>
    <row r="8" spans="2:5" ht="15.75">
      <c r="B8" s="246" t="s">
        <v>130</v>
      </c>
      <c r="C8" s="247"/>
      <c r="D8" s="247"/>
      <c r="E8" s="128"/>
    </row>
    <row r="9" spans="2:5" ht="15.75">
      <c r="B9" s="122" t="s">
        <v>33</v>
      </c>
      <c r="C9" s="397">
        <v>539174.59</v>
      </c>
      <c r="D9" s="404">
        <f>inputPrYr!E19</f>
        <v>573318</v>
      </c>
      <c r="E9" s="135" t="s">
        <v>28</v>
      </c>
    </row>
    <row r="10" spans="2:5" ht="15.75">
      <c r="B10" s="122" t="s">
        <v>34</v>
      </c>
      <c r="C10" s="397">
        <v>16462.05</v>
      </c>
      <c r="D10" s="397"/>
      <c r="E10" s="209"/>
    </row>
    <row r="11" spans="2:5" ht="15.75">
      <c r="B11" s="122" t="s">
        <v>35</v>
      </c>
      <c r="C11" s="397">
        <v>79155.12</v>
      </c>
      <c r="D11" s="397">
        <v>83221</v>
      </c>
      <c r="E11" s="47">
        <f>mvalloc!D11</f>
        <v>80510.13</v>
      </c>
    </row>
    <row r="12" spans="2:5" ht="15.75">
      <c r="B12" s="122" t="s">
        <v>36</v>
      </c>
      <c r="C12" s="397">
        <v>1344.37</v>
      </c>
      <c r="D12" s="397">
        <v>1480</v>
      </c>
      <c r="E12" s="47">
        <f>mvalloc!E11</f>
        <v>1363.11</v>
      </c>
    </row>
    <row r="13" spans="2:5" ht="15.75">
      <c r="B13" s="247" t="s">
        <v>112</v>
      </c>
      <c r="C13" s="397">
        <v>1823.83</v>
      </c>
      <c r="D13" s="397">
        <v>1959</v>
      </c>
      <c r="E13" s="47">
        <f>mvalloc!F11</f>
        <v>663.83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749</v>
      </c>
      <c r="C17" s="397">
        <v>2917.52</v>
      </c>
      <c r="D17" s="397"/>
      <c r="E17" s="209"/>
    </row>
    <row r="18" spans="2:5" ht="15.75">
      <c r="B18" s="248" t="s">
        <v>750</v>
      </c>
      <c r="C18" s="397">
        <v>9660.87</v>
      </c>
      <c r="D18" s="397">
        <v>3400</v>
      </c>
      <c r="E18" s="209"/>
    </row>
    <row r="19" spans="2:5" ht="15.75">
      <c r="B19" s="248" t="s">
        <v>751</v>
      </c>
      <c r="C19" s="397">
        <v>1102.5</v>
      </c>
      <c r="D19" s="397"/>
      <c r="E19" s="209"/>
    </row>
    <row r="20" spans="2:5" ht="15.75">
      <c r="B20" s="248" t="s">
        <v>752</v>
      </c>
      <c r="C20" s="397">
        <v>13353.78</v>
      </c>
      <c r="D20" s="397">
        <v>30000</v>
      </c>
      <c r="E20" s="209">
        <v>13000</v>
      </c>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321.65</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665316.28</v>
      </c>
      <c r="D28" s="399">
        <f>SUM(D9:D26)</f>
        <v>693378</v>
      </c>
      <c r="E28" s="254">
        <f>SUM(E9:E26)</f>
        <v>95537.07</v>
      </c>
    </row>
    <row r="29" spans="2:5" ht="15.75">
      <c r="B29" s="253" t="s">
        <v>40</v>
      </c>
      <c r="C29" s="399">
        <f>C7+C28</f>
        <v>729409.28</v>
      </c>
      <c r="D29" s="399">
        <f>D7+D28</f>
        <v>756138.6900000001</v>
      </c>
      <c r="E29" s="254">
        <f>E7+E28</f>
        <v>119055.76000000007</v>
      </c>
    </row>
    <row r="30" spans="2:5" ht="15.75">
      <c r="B30" s="122" t="s">
        <v>41</v>
      </c>
      <c r="C30" s="126"/>
      <c r="D30" s="126"/>
      <c r="E30" s="38"/>
    </row>
    <row r="31" spans="2:5" ht="15.75">
      <c r="B31" s="248" t="s">
        <v>753</v>
      </c>
      <c r="C31" s="397">
        <v>284770.88</v>
      </c>
      <c r="D31" s="397">
        <v>360500</v>
      </c>
      <c r="E31" s="209">
        <v>305000</v>
      </c>
    </row>
    <row r="32" spans="2:5" ht="15.75">
      <c r="B32" s="248" t="s">
        <v>754</v>
      </c>
      <c r="C32" s="397">
        <v>88738.21</v>
      </c>
      <c r="D32" s="397">
        <v>85000</v>
      </c>
      <c r="E32" s="209">
        <v>88000</v>
      </c>
    </row>
    <row r="33" spans="2:5" ht="15.75">
      <c r="B33" s="248" t="s">
        <v>766</v>
      </c>
      <c r="C33" s="397">
        <v>4792.54</v>
      </c>
      <c r="D33" s="397">
        <v>5000</v>
      </c>
      <c r="E33" s="209">
        <v>5000</v>
      </c>
    </row>
    <row r="34" spans="2:5" ht="15.75">
      <c r="B34" s="248" t="s">
        <v>755</v>
      </c>
      <c r="C34" s="397">
        <v>35032.05</v>
      </c>
      <c r="D34" s="397">
        <v>31000</v>
      </c>
      <c r="E34" s="209">
        <v>38100</v>
      </c>
    </row>
    <row r="35" spans="2:5" ht="15.75">
      <c r="B35" s="248" t="s">
        <v>756</v>
      </c>
      <c r="C35" s="397">
        <v>49953.19</v>
      </c>
      <c r="D35" s="397">
        <v>83215</v>
      </c>
      <c r="E35" s="209">
        <v>50000</v>
      </c>
    </row>
    <row r="36" spans="2:5" ht="15.75">
      <c r="B36" s="248" t="s">
        <v>757</v>
      </c>
      <c r="C36" s="397">
        <v>71745.75</v>
      </c>
      <c r="D36" s="397">
        <v>75000</v>
      </c>
      <c r="E36" s="209">
        <v>75000</v>
      </c>
    </row>
    <row r="37" spans="2:5" ht="15.75">
      <c r="B37" s="248" t="s">
        <v>758</v>
      </c>
      <c r="C37" s="397">
        <v>57624.68</v>
      </c>
      <c r="D37" s="397">
        <v>70000</v>
      </c>
      <c r="E37" s="209">
        <v>70000</v>
      </c>
    </row>
    <row r="38" spans="2:5" ht="15.75">
      <c r="B38" s="248" t="s">
        <v>759</v>
      </c>
      <c r="C38" s="397">
        <v>7680.72</v>
      </c>
      <c r="D38" s="397">
        <v>10000</v>
      </c>
      <c r="E38" s="209">
        <v>8000</v>
      </c>
    </row>
    <row r="39" spans="2:5" ht="15.75">
      <c r="B39" s="248" t="s">
        <v>760</v>
      </c>
      <c r="C39" s="397">
        <v>20000</v>
      </c>
      <c r="D39" s="397">
        <v>10000</v>
      </c>
      <c r="E39" s="209">
        <v>10000</v>
      </c>
    </row>
    <row r="40" spans="2:5" ht="15.75">
      <c r="B40" s="248" t="s">
        <v>228</v>
      </c>
      <c r="C40" s="397">
        <v>17507.94</v>
      </c>
      <c r="D40" s="397">
        <v>2905</v>
      </c>
      <c r="E40" s="209">
        <v>3000</v>
      </c>
    </row>
    <row r="41" spans="2:5" ht="15.75">
      <c r="B41" s="248" t="s">
        <v>764</v>
      </c>
      <c r="C41" s="397">
        <v>8449.9</v>
      </c>
      <c r="D41" s="397"/>
      <c r="E41" s="209">
        <v>8500</v>
      </c>
    </row>
    <row r="42" spans="2:5" ht="15.75">
      <c r="B42" s="248" t="s">
        <v>765</v>
      </c>
      <c r="C42" s="397">
        <v>6497.84</v>
      </c>
      <c r="D42" s="397"/>
      <c r="E42" s="209">
        <v>7500</v>
      </c>
    </row>
    <row r="43" spans="2:10" ht="15.75">
      <c r="B43" s="248" t="s">
        <v>767</v>
      </c>
      <c r="C43" s="397">
        <v>13854.89</v>
      </c>
      <c r="D43" s="397"/>
      <c r="E43" s="209">
        <v>15000</v>
      </c>
      <c r="G43" s="643" t="str">
        <f>CONCATENATE("Projected Carryover Into ",F3+1,"")</f>
        <v>Projected Carryover Into 2013</v>
      </c>
      <c r="H43" s="644"/>
      <c r="I43" s="644"/>
      <c r="J43" s="645"/>
    </row>
    <row r="44" spans="2:10" ht="15.75">
      <c r="B44" s="248"/>
      <c r="C44" s="397"/>
      <c r="D44" s="397"/>
      <c r="E44" s="209"/>
      <c r="G44" s="560"/>
      <c r="H44" s="545"/>
      <c r="I44" s="545"/>
      <c r="J44" s="544"/>
    </row>
    <row r="45" spans="2:10" ht="15.75">
      <c r="B45" s="248"/>
      <c r="C45" s="397"/>
      <c r="D45" s="397"/>
      <c r="E45" s="209"/>
      <c r="G45" s="554">
        <f>D51</f>
        <v>23518.69000000006</v>
      </c>
      <c r="H45" s="553" t="str">
        <f>CONCATENATE("",F3-1," Ending Cash Balance (est.)")</f>
        <v>2011 Ending Cash Balance (est.)</v>
      </c>
      <c r="I45" s="543"/>
      <c r="J45" s="544"/>
    </row>
    <row r="46" spans="2:10" ht="15.75">
      <c r="B46" s="248"/>
      <c r="C46" s="397"/>
      <c r="D46" s="397"/>
      <c r="E46" s="209"/>
      <c r="G46" s="554">
        <f>E28</f>
        <v>95537.07</v>
      </c>
      <c r="H46" s="543" t="str">
        <f>CONCATENATE("",F3," Non-AV Receipts (est.)")</f>
        <v>2012 Non-AV Receipts (est.)</v>
      </c>
      <c r="I46" s="543"/>
      <c r="J46" s="544"/>
    </row>
    <row r="47" spans="2:10" ht="15.75">
      <c r="B47" s="126" t="s">
        <v>229</v>
      </c>
      <c r="C47" s="397"/>
      <c r="D47" s="397"/>
      <c r="E47" s="214">
        <f>Nhood!E7</f>
      </c>
      <c r="G47" s="542">
        <f>E57</f>
        <v>564044.24</v>
      </c>
      <c r="H47" s="543" t="str">
        <f>CONCATENATE("",F3," Ad Valorem Tax (est.)")</f>
        <v>2012 Ad Valorem Tax (est.)</v>
      </c>
      <c r="I47" s="543"/>
      <c r="J47" s="544"/>
    </row>
    <row r="48" spans="2:10" ht="15.75">
      <c r="B48" s="126" t="s">
        <v>228</v>
      </c>
      <c r="C48" s="397"/>
      <c r="D48" s="397"/>
      <c r="E48" s="37"/>
      <c r="G48" s="554">
        <f>SUM(G45:G47)</f>
        <v>683100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666648.59</v>
      </c>
      <c r="D50" s="399">
        <f>SUM(D31:D48)</f>
        <v>732620</v>
      </c>
      <c r="E50" s="254">
        <f>SUM(E31:E48)</f>
        <v>683100</v>
      </c>
      <c r="G50" s="542">
        <f>C50*0.05+C50</f>
        <v>699981.0194999999</v>
      </c>
      <c r="H50" s="543" t="str">
        <f>CONCATENATE("Less ",F3-2," Expenditures + 5%")</f>
        <v>Less 2010 Expenditures + 5%</v>
      </c>
      <c r="I50" s="543"/>
      <c r="J50" s="544"/>
    </row>
    <row r="51" spans="2:10" ht="15.75">
      <c r="B51" s="122" t="s">
        <v>129</v>
      </c>
      <c r="C51" s="400">
        <f>C29-C50</f>
        <v>62760.69000000006</v>
      </c>
      <c r="D51" s="400">
        <f>D29-D50</f>
        <v>23518.69000000006</v>
      </c>
      <c r="E51" s="135" t="s">
        <v>28</v>
      </c>
      <c r="G51" s="540">
        <f>G48-G50</f>
        <v>-16881.019499999937</v>
      </c>
      <c r="H51" s="539" t="str">
        <f>CONCATENATE("Projected ",F3+1," Carryover (est.)")</f>
        <v>Projected 2013 Carryover (est.)</v>
      </c>
      <c r="I51" s="525"/>
      <c r="J51" s="538"/>
    </row>
    <row r="52" spans="2:10" ht="15.75">
      <c r="B52" s="145" t="str">
        <f>CONCATENATE("",F3-2,"/",F3-1," Budget Authority Amount:")</f>
        <v>2010/2011 Budget Authority Amount:</v>
      </c>
      <c r="C52" s="123">
        <f>inputOth!B42</f>
        <v>718739</v>
      </c>
      <c r="D52" s="425">
        <f>inputPrYr!D19</f>
        <v>732620</v>
      </c>
      <c r="E52" s="135" t="s">
        <v>28</v>
      </c>
      <c r="F52" s="255"/>
      <c r="G52" s="16"/>
      <c r="H52" s="16"/>
      <c r="I52" s="16"/>
      <c r="J52" s="16"/>
    </row>
    <row r="53" spans="2:10" ht="15.75">
      <c r="B53" s="145"/>
      <c r="C53" s="639" t="s">
        <v>684</v>
      </c>
      <c r="D53" s="640"/>
      <c r="E53" s="37"/>
      <c r="F53" s="255">
        <f>IF(E50/0.95-E50&lt;E53,"Exceeds 5%","")</f>
      </c>
      <c r="G53" s="537">
        <f>IF(inputOth!E7=0,"",ROUND(gen!E57/inputOth!E7*1000,3))</f>
        <v>5.636</v>
      </c>
      <c r="H53" s="536" t="str">
        <f>CONCATENATE("Projected ",F3-1," Mill Rate (est.)")</f>
        <v>Projected 2011 Mill Rate (est.)</v>
      </c>
      <c r="I53" s="535"/>
      <c r="J53" s="534"/>
    </row>
    <row r="54" spans="2:10" ht="15.75">
      <c r="B54" s="423" t="str">
        <f>CONCATENATE(C70,"     ",D70)</f>
        <v>     </v>
      </c>
      <c r="C54" s="641" t="s">
        <v>685</v>
      </c>
      <c r="D54" s="642"/>
      <c r="E54" s="47">
        <f>E50+E53</f>
        <v>683100</v>
      </c>
      <c r="G54" s="533"/>
      <c r="H54" s="533"/>
      <c r="I54" s="533"/>
      <c r="J54" s="533"/>
    </row>
    <row r="55" spans="2:10" ht="15.75">
      <c r="B55" s="423" t="str">
        <f>CONCATENATE(C71,"     ",D71)</f>
        <v>     </v>
      </c>
      <c r="C55" s="559"/>
      <c r="D55" s="558" t="s">
        <v>686</v>
      </c>
      <c r="E55" s="44">
        <f>IF(E54-E29&gt;0,E54-E29,0)</f>
        <v>564044.24</v>
      </c>
      <c r="G55" s="643" t="str">
        <f>CONCATENATE("Desired Carryover Into ",F3+1,"")</f>
        <v>Desired Carryover Into 2013</v>
      </c>
      <c r="H55" s="646"/>
      <c r="I55" s="646"/>
      <c r="J55" s="645"/>
    </row>
    <row r="56" spans="2:10" ht="15.75">
      <c r="B56" s="165"/>
      <c r="C56" s="556" t="s">
        <v>687</v>
      </c>
      <c r="D56" s="557">
        <f>inputOth!$E$36</f>
        <v>0</v>
      </c>
      <c r="E56" s="47">
        <f>ROUND(IF(D56&gt;0,(E55*D56),0),0)</f>
        <v>0</v>
      </c>
      <c r="G56" s="532"/>
      <c r="H56" s="545"/>
      <c r="I56" s="543"/>
      <c r="J56" s="531"/>
    </row>
    <row r="57" spans="2:10" ht="15.75">
      <c r="B57" s="18"/>
      <c r="C57" s="637" t="str">
        <f>CONCATENATE("Amount of  ",$F$3-1," Ad Valorem Tax")</f>
        <v>Amount of  2011 Ad Valorem Tax</v>
      </c>
      <c r="D57" s="638"/>
      <c r="E57" s="44">
        <f>E55+E56</f>
        <v>564044.24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27">
      <selection activeCell="D66" sqref="D66"/>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Basehor Comm. Library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v>33187</v>
      </c>
      <c r="D7" s="410">
        <f>C55</f>
        <v>27110.620000000024</v>
      </c>
      <c r="E7" s="261">
        <f>D55</f>
        <v>35750.620000000024</v>
      </c>
    </row>
    <row r="8" spans="2:5" ht="15.75">
      <c r="B8" s="262" t="s">
        <v>130</v>
      </c>
      <c r="C8" s="408"/>
      <c r="D8" s="410"/>
      <c r="E8" s="261"/>
    </row>
    <row r="9" spans="2:5" ht="15.75">
      <c r="B9" s="116" t="s">
        <v>33</v>
      </c>
      <c r="C9" s="397">
        <v>131011.82</v>
      </c>
      <c r="D9" s="408">
        <f>inputPrYr!E20</f>
        <v>149796</v>
      </c>
      <c r="E9" s="263" t="s">
        <v>28</v>
      </c>
    </row>
    <row r="10" spans="2:5" ht="15.75">
      <c r="B10" s="116" t="s">
        <v>34</v>
      </c>
      <c r="C10" s="397">
        <v>4197.85</v>
      </c>
      <c r="D10" s="397"/>
      <c r="E10" s="264"/>
    </row>
    <row r="11" spans="2:5" ht="15.75">
      <c r="B11" s="116" t="s">
        <v>35</v>
      </c>
      <c r="C11" s="397">
        <v>20740.99</v>
      </c>
      <c r="D11" s="397">
        <v>20211</v>
      </c>
      <c r="E11" s="265">
        <f>mvalloc!D12</f>
        <v>21035</v>
      </c>
    </row>
    <row r="12" spans="2:5" ht="15.75">
      <c r="B12" s="116" t="s">
        <v>36</v>
      </c>
      <c r="C12" s="397">
        <v>351.95</v>
      </c>
      <c r="D12" s="397">
        <v>360</v>
      </c>
      <c r="E12" s="265">
        <f>mvalloc!E12</f>
        <v>356</v>
      </c>
    </row>
    <row r="13" spans="2:5" ht="15.75">
      <c r="B13" s="266" t="s">
        <v>112</v>
      </c>
      <c r="C13" s="397">
        <v>452.09</v>
      </c>
      <c r="D13" s="397">
        <v>476</v>
      </c>
      <c r="E13" s="265">
        <f>mvalloc!F12</f>
        <v>173</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v>321.92</v>
      </c>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157076.62000000002</v>
      </c>
      <c r="D30" s="407">
        <f>SUM(D9:D28)</f>
        <v>170843</v>
      </c>
      <c r="E30" s="270">
        <f>SUM(E9:E28)</f>
        <v>21564</v>
      </c>
    </row>
    <row r="31" spans="2:5" ht="15.75">
      <c r="B31" s="253" t="s">
        <v>40</v>
      </c>
      <c r="C31" s="407">
        <f>C7+C30</f>
        <v>190263.62000000002</v>
      </c>
      <c r="D31" s="407">
        <f>D7+D30</f>
        <v>197953.62000000002</v>
      </c>
      <c r="E31" s="271">
        <f>E7+E30</f>
        <v>57314.620000000024</v>
      </c>
    </row>
    <row r="32" spans="2:5" ht="15.75">
      <c r="B32" s="262" t="s">
        <v>41</v>
      </c>
      <c r="C32" s="408"/>
      <c r="D32" s="408"/>
      <c r="E32" s="265"/>
    </row>
    <row r="33" spans="2:5" ht="15.75">
      <c r="B33" s="272" t="s">
        <v>746</v>
      </c>
      <c r="C33" s="397">
        <v>143153</v>
      </c>
      <c r="D33" s="397">
        <v>142203</v>
      </c>
      <c r="E33" s="264">
        <v>141133.75</v>
      </c>
    </row>
    <row r="34" spans="2:5" ht="15.75">
      <c r="B34" s="272" t="s">
        <v>747</v>
      </c>
      <c r="C34" s="397">
        <v>20000</v>
      </c>
      <c r="D34" s="397">
        <v>20000</v>
      </c>
      <c r="E34" s="264">
        <v>25000</v>
      </c>
    </row>
    <row r="35" spans="2:5" ht="15.75">
      <c r="B35" s="272" t="s">
        <v>748</v>
      </c>
      <c r="C35" s="397"/>
      <c r="D35" s="397"/>
      <c r="E35" s="264">
        <v>41533.44</v>
      </c>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7" t="str">
        <f>CONCATENATE("Projected Carryover Into ",E1+1,"")</f>
        <v>Projected Carryover Into 2013</v>
      </c>
      <c r="H52" s="648"/>
      <c r="I52" s="649"/>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163153</v>
      </c>
      <c r="D54" s="407">
        <f>SUM(D33:D52)</f>
        <v>162203</v>
      </c>
      <c r="E54" s="270">
        <f>SUM(E33:E52)</f>
        <v>207667.19</v>
      </c>
      <c r="G54" s="554">
        <f>D54</f>
        <v>162203</v>
      </c>
      <c r="H54" s="564" t="str">
        <f>CONCATENATE("",E1-1," Ending Cash Balance (est.)")</f>
        <v>2011 Ending Cash Balance (est.)</v>
      </c>
      <c r="I54" s="544"/>
    </row>
    <row r="55" spans="2:9" ht="15.75">
      <c r="B55" s="116" t="s">
        <v>129</v>
      </c>
      <c r="C55" s="405">
        <f>C31-C54</f>
        <v>27110.620000000024</v>
      </c>
      <c r="D55" s="405">
        <f>D31-D54</f>
        <v>35750.620000000024</v>
      </c>
      <c r="E55" s="263" t="s">
        <v>28</v>
      </c>
      <c r="G55" s="554">
        <f>E30</f>
        <v>21564</v>
      </c>
      <c r="H55" s="565" t="str">
        <f>CONCATENATE("",E1," Non-AV Receipts (est.)")</f>
        <v>2012 Non-AV Receipts (est.)</v>
      </c>
      <c r="I55" s="544"/>
    </row>
    <row r="56" spans="2:9" ht="15.75">
      <c r="B56" s="145" t="str">
        <f>CONCATENATE("",E1-2,"/",E1-1," Budget Authority Amount:")</f>
        <v>2010/2011 Budget Authority Amount:</v>
      </c>
      <c r="C56" s="123">
        <f>inputOth!B43</f>
        <v>198941</v>
      </c>
      <c r="D56" s="425">
        <f>inputPrYr!D20</f>
        <v>202753</v>
      </c>
      <c r="E56" s="263" t="s">
        <v>28</v>
      </c>
      <c r="F56" s="273"/>
      <c r="G56" s="542">
        <f>E61</f>
        <v>150352.56999999998</v>
      </c>
      <c r="H56" s="565" t="str">
        <f>CONCATENATE("",E1," Ad Valorem Tax (est.)")</f>
        <v>2012 Ad Valorem Tax (est.)</v>
      </c>
      <c r="I56" s="544"/>
    </row>
    <row r="57" spans="2:9" ht="15.75">
      <c r="B57" s="145"/>
      <c r="C57" s="639" t="s">
        <v>684</v>
      </c>
      <c r="D57" s="640"/>
      <c r="E57" s="37"/>
      <c r="F57" s="273">
        <f>IF(E54/0.95-E54&lt;E57,"Exceeds 5%","")</f>
      </c>
      <c r="G57" s="554">
        <f>SUM(G54:G56)</f>
        <v>334119.56999999995</v>
      </c>
      <c r="H57" s="565" t="str">
        <f>CONCATENATE("Total ",E1," Resources Available")</f>
        <v>Total 2012 Resources Available</v>
      </c>
      <c r="I57" s="544"/>
    </row>
    <row r="58" spans="2:9" ht="15.75">
      <c r="B58" s="423" t="str">
        <f>CONCATENATE(C69,"     ",D69)</f>
        <v>     </v>
      </c>
      <c r="C58" s="641" t="s">
        <v>685</v>
      </c>
      <c r="D58" s="642"/>
      <c r="E58" s="47">
        <f>E54+E57</f>
        <v>207667.19</v>
      </c>
      <c r="G58" s="541"/>
      <c r="H58" s="565"/>
      <c r="I58" s="544"/>
    </row>
    <row r="59" spans="2:9" ht="15.75">
      <c r="B59" s="423" t="str">
        <f>CONCATENATE(C70,"     ",D70)</f>
        <v>     </v>
      </c>
      <c r="C59" s="561"/>
      <c r="D59" s="558" t="s">
        <v>686</v>
      </c>
      <c r="E59" s="44">
        <f>IF(E58-E31&gt;0,E58-E31,0)</f>
        <v>150352.56999999998</v>
      </c>
      <c r="G59" s="542">
        <f>C54</f>
        <v>163153</v>
      </c>
      <c r="H59" s="565" t="str">
        <f>CONCATENATE("Less ",E1-2," Expenditures")</f>
        <v>Less 2010 Expenditures</v>
      </c>
      <c r="I59" s="544"/>
    </row>
    <row r="60" spans="2:9" ht="15.75">
      <c r="B60" s="165"/>
      <c r="C60" s="556" t="s">
        <v>687</v>
      </c>
      <c r="D60" s="557">
        <f>inputOth!$E$36</f>
        <v>0</v>
      </c>
      <c r="E60" s="47">
        <f>ROUND(IF(D60&gt;0,(E59*D60),0),0)</f>
        <v>0</v>
      </c>
      <c r="G60" s="587">
        <f>G57-G59</f>
        <v>170966.56999999995</v>
      </c>
      <c r="H60" s="566" t="str">
        <f>CONCATENATE("Projected ",E1+1," carryover (est.)")</f>
        <v>Projected 2013 carryover (est.)</v>
      </c>
      <c r="I60" s="538"/>
    </row>
    <row r="61" spans="2:5" ht="15.75">
      <c r="B61" s="18"/>
      <c r="C61" s="637" t="str">
        <f>CONCATENATE("Amount of  ",$E$1-1," Ad Valorem Tax")</f>
        <v>Amount of  2011 Ad Valorem Tax</v>
      </c>
      <c r="D61" s="638"/>
      <c r="E61" s="44">
        <f>E59+E60</f>
        <v>150352.56999999998</v>
      </c>
    </row>
    <row r="62" spans="2:9" ht="15.75">
      <c r="B62" s="165"/>
      <c r="C62" s="18"/>
      <c r="D62" s="18"/>
      <c r="E62" s="18"/>
      <c r="G62" s="588">
        <f>IF(inputOth!E7&gt;0,ROUND(DebtService!E61/inputOth!E7*1000,3),0)</f>
        <v>1.502</v>
      </c>
      <c r="H62" s="589" t="str">
        <f>CONCATENATE("",E1," Mill Rate")</f>
        <v>2012 Mill Rate</v>
      </c>
      <c r="I62" s="590"/>
    </row>
    <row r="63" spans="2:5" ht="15.75">
      <c r="B63" s="145" t="s">
        <v>44</v>
      </c>
      <c r="C63" s="274">
        <v>7</v>
      </c>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Basehor Comm. Library</v>
      </c>
      <c r="C1" s="18"/>
      <c r="D1" s="18"/>
      <c r="E1" s="192"/>
    </row>
    <row r="2" spans="2:5" ht="15.75">
      <c r="B2" s="18" t="str">
        <f>inputPrYr!D4</f>
        <v>Leavenworth</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9" t="s">
        <v>684</v>
      </c>
      <c r="D36" s="640"/>
      <c r="E36" s="37"/>
      <c r="F36" s="255">
        <f>IF(E33/0.95-E33&lt;E36,"Exceeds 5%","")</f>
      </c>
    </row>
    <row r="37" spans="2:5" ht="15.75">
      <c r="B37" s="423" t="str">
        <f>CONCATENATE(C87,"     ",D87)</f>
        <v>     </v>
      </c>
      <c r="C37" s="641" t="s">
        <v>685</v>
      </c>
      <c r="D37" s="642"/>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7" t="str">
        <f>CONCATENATE("Amount of  ",$F$3-1," Ad Valorem Tax")</f>
        <v>Amount of  2011 Ad Valorem Tax</v>
      </c>
      <c r="D40" s="638"/>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9" t="s">
        <v>684</v>
      </c>
      <c r="D74" s="640"/>
      <c r="E74" s="37"/>
      <c r="F74" s="255">
        <f>IF(E71/0.95-E71&lt;E74,"Exceeds 5%","")</f>
      </c>
    </row>
    <row r="75" spans="2:5" ht="15.75">
      <c r="B75" s="423" t="str">
        <f>CONCATENATE(C89,"     ",D89)</f>
        <v>     </v>
      </c>
      <c r="C75" s="641" t="s">
        <v>685</v>
      </c>
      <c r="D75" s="642"/>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7" t="str">
        <f>CONCATENATE("Amount of  ",$F$3-1," Ad Valorem Tax")</f>
        <v>Amount of  2011 Ad Valorem Tax</v>
      </c>
      <c r="D78" s="63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Basehor Comm. Library</v>
      </c>
      <c r="C1" s="241"/>
      <c r="D1" s="18"/>
      <c r="E1" s="192"/>
    </row>
    <row r="2" spans="2:5" ht="15.75">
      <c r="B2" s="18" t="str">
        <f>inputPrYr!D4</f>
        <v>Leavenworth</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12" sqref="B1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Basehor Comm. Library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50" t="str">
        <f>inputPrYr!B30</f>
        <v>Capital Improvement</v>
      </c>
      <c r="B5" s="651"/>
      <c r="C5" s="650">
        <f>inputPrYr!B31</f>
        <v>0</v>
      </c>
      <c r="D5" s="651"/>
      <c r="E5" s="650">
        <f>inputPrYr!B32</f>
        <v>0</v>
      </c>
      <c r="F5" s="651"/>
      <c r="G5" s="650">
        <f>inputPrYr!B33</f>
        <v>0</v>
      </c>
      <c r="H5" s="651"/>
      <c r="I5" s="650">
        <f>inputPrYr!B34</f>
        <v>0</v>
      </c>
      <c r="J5" s="651"/>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v>317040</v>
      </c>
      <c r="C7" s="290" t="s">
        <v>250</v>
      </c>
      <c r="D7" s="289"/>
      <c r="E7" s="290" t="s">
        <v>250</v>
      </c>
      <c r="F7" s="289"/>
      <c r="G7" s="290" t="s">
        <v>250</v>
      </c>
      <c r="H7" s="289"/>
      <c r="I7" s="290" t="s">
        <v>250</v>
      </c>
      <c r="J7" s="289"/>
      <c r="K7" s="291">
        <f>SUM(B7+D7+F7+H7+J7)</f>
        <v>317040</v>
      </c>
    </row>
    <row r="8" spans="1:11" ht="15.75">
      <c r="A8" s="292" t="s">
        <v>130</v>
      </c>
      <c r="B8" s="293"/>
      <c r="C8" s="292" t="s">
        <v>130</v>
      </c>
      <c r="D8" s="294"/>
      <c r="E8" s="292" t="s">
        <v>130</v>
      </c>
      <c r="F8" s="277"/>
      <c r="G8" s="292" t="s">
        <v>130</v>
      </c>
      <c r="H8" s="62"/>
      <c r="I8" s="292" t="s">
        <v>130</v>
      </c>
      <c r="J8" s="62"/>
      <c r="K8" s="277"/>
    </row>
    <row r="9" spans="1:11" ht="15.75">
      <c r="A9" s="295" t="s">
        <v>768</v>
      </c>
      <c r="B9" s="289">
        <v>20000</v>
      </c>
      <c r="C9" s="295"/>
      <c r="D9" s="289"/>
      <c r="E9" s="295"/>
      <c r="F9" s="289"/>
      <c r="G9" s="295"/>
      <c r="H9" s="289"/>
      <c r="I9" s="295"/>
      <c r="J9" s="289"/>
      <c r="K9" s="277"/>
    </row>
    <row r="10" spans="1:11" ht="15.75">
      <c r="A10" s="295" t="s">
        <v>70</v>
      </c>
      <c r="B10" s="289">
        <v>481.72</v>
      </c>
      <c r="C10" s="295"/>
      <c r="D10" s="289"/>
      <c r="E10" s="295"/>
      <c r="F10" s="289"/>
      <c r="G10" s="295"/>
      <c r="H10" s="289"/>
      <c r="I10" s="295"/>
      <c r="J10" s="289"/>
      <c r="K10" s="277"/>
    </row>
    <row r="11" spans="1:11" ht="15.75">
      <c r="A11" s="295" t="s">
        <v>70</v>
      </c>
      <c r="B11" s="289">
        <v>4888.26</v>
      </c>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25369.980000000003</v>
      </c>
      <c r="C17" s="292" t="s">
        <v>39</v>
      </c>
      <c r="D17" s="291">
        <f>SUM(D9:D16)</f>
        <v>0</v>
      </c>
      <c r="E17" s="292" t="s">
        <v>39</v>
      </c>
      <c r="F17" s="305">
        <f>SUM(F9:F16)</f>
        <v>0</v>
      </c>
      <c r="G17" s="292" t="s">
        <v>39</v>
      </c>
      <c r="H17" s="291">
        <f>SUM(H9:H16)</f>
        <v>0</v>
      </c>
      <c r="I17" s="292" t="s">
        <v>39</v>
      </c>
      <c r="J17" s="291">
        <f>SUM(J9:J16)</f>
        <v>0</v>
      </c>
      <c r="K17" s="291">
        <f>SUM(B17+D17+F17+H17+J17)</f>
        <v>25369.980000000003</v>
      </c>
    </row>
    <row r="18" spans="1:11" ht="15.75">
      <c r="A18" s="292" t="s">
        <v>40</v>
      </c>
      <c r="B18" s="291">
        <f>SUM(B7+B17)</f>
        <v>342409.98</v>
      </c>
      <c r="C18" s="292" t="s">
        <v>40</v>
      </c>
      <c r="D18" s="291">
        <f>SUM(D7+D17)</f>
        <v>0</v>
      </c>
      <c r="E18" s="292" t="s">
        <v>40</v>
      </c>
      <c r="F18" s="291">
        <f>SUM(F7+F17)</f>
        <v>0</v>
      </c>
      <c r="G18" s="292" t="s">
        <v>40</v>
      </c>
      <c r="H18" s="291">
        <f>SUM(H7+H17)</f>
        <v>0</v>
      </c>
      <c r="I18" s="292" t="s">
        <v>40</v>
      </c>
      <c r="J18" s="291">
        <f>SUM(J7+J17)</f>
        <v>0</v>
      </c>
      <c r="K18" s="291">
        <f>SUM(B18+D18+F18+H18+J18)</f>
        <v>342409.98</v>
      </c>
    </row>
    <row r="19" spans="1:11" ht="15.75">
      <c r="A19" s="292" t="s">
        <v>41</v>
      </c>
      <c r="B19" s="293"/>
      <c r="C19" s="292" t="s">
        <v>41</v>
      </c>
      <c r="D19" s="294"/>
      <c r="E19" s="292" t="s">
        <v>41</v>
      </c>
      <c r="F19" s="277"/>
      <c r="G19" s="292" t="s">
        <v>41</v>
      </c>
      <c r="H19" s="62"/>
      <c r="I19" s="292" t="s">
        <v>41</v>
      </c>
      <c r="J19" s="62"/>
      <c r="K19" s="277"/>
    </row>
    <row r="20" spans="1:11" ht="15.75">
      <c r="A20" s="295" t="s">
        <v>769</v>
      </c>
      <c r="B20" s="289">
        <v>4574</v>
      </c>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4574</v>
      </c>
      <c r="C28" s="292" t="s">
        <v>42</v>
      </c>
      <c r="D28" s="291">
        <f>SUM(D20:D27)</f>
        <v>0</v>
      </c>
      <c r="E28" s="292" t="s">
        <v>42</v>
      </c>
      <c r="F28" s="305">
        <f>SUM(F20:F27)</f>
        <v>0</v>
      </c>
      <c r="G28" s="292" t="s">
        <v>42</v>
      </c>
      <c r="H28" s="305">
        <f>SUM(H20:H27)</f>
        <v>0</v>
      </c>
      <c r="I28" s="292" t="s">
        <v>42</v>
      </c>
      <c r="J28" s="291">
        <f>SUM(J20:J27)</f>
        <v>0</v>
      </c>
      <c r="K28" s="291">
        <f>SUM(B28+D28+F28+H28+J28)</f>
        <v>4574</v>
      </c>
    </row>
    <row r="29" spans="1:12" ht="15.75">
      <c r="A29" s="292" t="s">
        <v>251</v>
      </c>
      <c r="B29" s="291">
        <f>SUM(B18-B28)</f>
        <v>337835.98</v>
      </c>
      <c r="C29" s="292" t="s">
        <v>251</v>
      </c>
      <c r="D29" s="291">
        <f>SUM(D18-D28)</f>
        <v>0</v>
      </c>
      <c r="E29" s="292" t="s">
        <v>251</v>
      </c>
      <c r="F29" s="291">
        <f>SUM(F18-F28)</f>
        <v>0</v>
      </c>
      <c r="G29" s="292" t="s">
        <v>251</v>
      </c>
      <c r="H29" s="291">
        <f>SUM(H18-H28)</f>
        <v>0</v>
      </c>
      <c r="I29" s="292" t="s">
        <v>251</v>
      </c>
      <c r="J29" s="291">
        <f>SUM(J18-J28)</f>
        <v>0</v>
      </c>
      <c r="K29" s="306">
        <f>SUM(B29+D29+F29+H29+J29)</f>
        <v>337835.98</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337835.98</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8</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2">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G51" sqref="G5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2" t="s">
        <v>86</v>
      </c>
      <c r="B1" s="602"/>
      <c r="C1" s="602"/>
      <c r="D1" s="602"/>
      <c r="E1" s="602"/>
      <c r="F1" s="602"/>
      <c r="G1" s="602"/>
      <c r="H1" s="652"/>
    </row>
    <row r="2" spans="1:8" ht="15.75">
      <c r="A2" s="18"/>
      <c r="B2" s="18"/>
      <c r="C2" s="18"/>
      <c r="D2" s="18"/>
      <c r="E2" s="18"/>
      <c r="F2" s="18"/>
      <c r="G2" s="18"/>
      <c r="H2" s="18"/>
    </row>
    <row r="3" spans="1:9" ht="15.75">
      <c r="A3" s="631" t="s">
        <v>113</v>
      </c>
      <c r="B3" s="631"/>
      <c r="C3" s="631"/>
      <c r="D3" s="631"/>
      <c r="E3" s="631"/>
      <c r="F3" s="631"/>
      <c r="G3" s="631"/>
      <c r="H3" s="631"/>
      <c r="I3" s="54">
        <f>inputPrYr!D6</f>
        <v>2012</v>
      </c>
    </row>
    <row r="4" spans="1:8" ht="15.75">
      <c r="A4" s="600" t="str">
        <f>inputPrYr!D3</f>
        <v>Basehor Comm. Library</v>
      </c>
      <c r="B4" s="600"/>
      <c r="C4" s="600"/>
      <c r="D4" s="600"/>
      <c r="E4" s="600"/>
      <c r="F4" s="600"/>
      <c r="G4" s="600"/>
      <c r="H4" s="600"/>
    </row>
    <row r="5" spans="1:8" ht="15.75">
      <c r="A5" s="655" t="str">
        <f>inputPrYr!D4</f>
        <v>Leavenworth</v>
      </c>
      <c r="B5" s="655"/>
      <c r="C5" s="655"/>
      <c r="D5" s="655"/>
      <c r="E5" s="655"/>
      <c r="F5" s="655"/>
      <c r="G5" s="655"/>
      <c r="H5" s="655"/>
    </row>
    <row r="6" spans="1:8" ht="15.75">
      <c r="A6" s="656" t="str">
        <f>CONCATENATE("will meet on ",inputBudSum!B5," at ",inputBudSum!B7," at ",inputBudSum!B9," for the purpose of hearing and")</f>
        <v>will meet on August 11,2011 at 6:00 P.M. at Basehor Community Library, 1400 158th Street, Basehor for the purpose of hearing and</v>
      </c>
      <c r="B6" s="656"/>
      <c r="C6" s="656"/>
      <c r="D6" s="656"/>
      <c r="E6" s="656"/>
      <c r="F6" s="656"/>
      <c r="G6" s="656"/>
      <c r="H6" s="656"/>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Basehor Community Library, 1400 158th Street, Basehor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7" t="str">
        <f>CONCATENATE("Estimated Value Of One Mill For ",I3,"")</f>
        <v>Estimated Value Of One Mill For 2012</v>
      </c>
      <c r="K12" s="658"/>
      <c r="L12" s="658"/>
      <c r="M12" s="65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3" t="str">
        <f>CONCATENATE("Amount of ",I3-1," Ad Valorem Tax")</f>
        <v>Amount of 2011 Ad Valorem Tax</v>
      </c>
      <c r="H14" s="316" t="s">
        <v>585</v>
      </c>
      <c r="J14" s="570" t="s">
        <v>692</v>
      </c>
      <c r="K14" s="571"/>
      <c r="L14" s="571"/>
      <c r="M14" s="572">
        <f>ROUND(F27/1000,0)</f>
        <v>100079</v>
      </c>
    </row>
    <row r="15" spans="1:13" ht="15.75">
      <c r="A15" s="179" t="s">
        <v>52</v>
      </c>
      <c r="B15" s="117" t="s">
        <v>53</v>
      </c>
      <c r="C15" s="317" t="s">
        <v>203</v>
      </c>
      <c r="D15" s="117" t="s">
        <v>53</v>
      </c>
      <c r="E15" s="317" t="s">
        <v>203</v>
      </c>
      <c r="F15" s="117" t="s">
        <v>580</v>
      </c>
      <c r="G15" s="654"/>
      <c r="H15" s="317" t="s">
        <v>203</v>
      </c>
      <c r="J15" s="16"/>
      <c r="K15" s="16"/>
      <c r="L15" s="16"/>
      <c r="M15" s="16"/>
    </row>
    <row r="16" spans="1:13" ht="15.75">
      <c r="A16" s="38" t="str">
        <f>inputPrYr!B19</f>
        <v>General</v>
      </c>
      <c r="B16" s="128">
        <f>IF(gen!$C$50&lt;&gt;0,gen!$C$50,"  ")</f>
        <v>666648.59</v>
      </c>
      <c r="C16" s="125">
        <f>IF(inputPrYr!D38&gt;0,inputPrYr!D38,"  ")</f>
        <v>5.667</v>
      </c>
      <c r="D16" s="128">
        <f>IF(gen!$D$50&lt;&gt;0,gen!$D$50,"  ")</f>
        <v>732620</v>
      </c>
      <c r="E16" s="125">
        <f>IF(inputOth!D16&gt;0,inputOth!D16,"  ")</f>
        <v>5.659</v>
      </c>
      <c r="F16" s="128">
        <f>IF(gen!$E$50&lt;&gt;0,gen!$E$50,"  ")</f>
        <v>683100</v>
      </c>
      <c r="G16" s="128">
        <f>IF(gen!$E$57&lt;&gt;0,gen!$E$57,"  ")</f>
        <v>564044.24</v>
      </c>
      <c r="H16" s="125">
        <f>IF(gen!E57&gt;0,ROUND(G16/$F$27*1000,3)," ")</f>
        <v>5.636</v>
      </c>
      <c r="J16" s="657" t="str">
        <f>CONCATENATE("Want The Mill Rate The Same As For ",I3-1,"?")</f>
        <v>Want The Mill Rate The Same As For 2011?</v>
      </c>
      <c r="K16" s="660"/>
      <c r="L16" s="660"/>
      <c r="M16" s="661"/>
    </row>
    <row r="17" spans="1:13" ht="15.75">
      <c r="A17" s="38" t="s">
        <v>282</v>
      </c>
      <c r="B17" s="128">
        <f>IF(DebtService!$C$54&lt;&gt;0,DebtService!$C$54,"  ")</f>
        <v>163153</v>
      </c>
      <c r="C17" s="125">
        <f>IF(inputPrYr!D39&gt;0,inputPrYr!D39,"  ")</f>
        <v>1.377</v>
      </c>
      <c r="D17" s="128">
        <f>IF(DebtService!$D$54&lt;&gt;0,DebtService!$D$54,"  ")</f>
        <v>162203</v>
      </c>
      <c r="E17" s="125">
        <f>IF(inputOth!D17&gt;0,inputOth!D17,"  ")</f>
        <v>1.479</v>
      </c>
      <c r="F17" s="128">
        <f>IF(DebtService!$E$54&lt;&gt;0,DebtService!$E$54,"  ")</f>
        <v>207667.19</v>
      </c>
      <c r="G17" s="128">
        <f>IF(DebtService!$E$61&lt;&gt;0,DebtService!$E$61,"  ")</f>
        <v>150352.56999999998</v>
      </c>
      <c r="H17" s="125">
        <f>IF(DebtService!E61&gt;0,ROUND(G17/$F$27*1000,3)," ")</f>
        <v>1.502</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7.138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-34.809999999939464</v>
      </c>
    </row>
    <row r="22" spans="1:13" ht="16.5" thickBot="1">
      <c r="A22" s="129" t="str">
        <f>IF((inputPrYr!$B$30&gt;" "),(NonBud!$A$3),"")</f>
        <v>Non-Budgeted Funds</v>
      </c>
      <c r="B22" s="548">
        <f>IF(NonBud!K28&gt;0,NonBud!K28,"")</f>
        <v>4574</v>
      </c>
      <c r="C22" s="547"/>
      <c r="D22" s="548"/>
      <c r="E22" s="547"/>
      <c r="F22" s="548"/>
      <c r="G22" s="548"/>
      <c r="H22" s="547"/>
      <c r="J22" s="581"/>
      <c r="K22" s="581"/>
      <c r="L22" s="581"/>
      <c r="M22" s="581"/>
    </row>
    <row r="23" spans="1:13" ht="15.75">
      <c r="A23" s="35" t="s">
        <v>137</v>
      </c>
      <c r="B23" s="321">
        <f>SUM(B16:B22)</f>
        <v>834375.59</v>
      </c>
      <c r="C23" s="549">
        <f aca="true" t="shared" si="0" ref="C23:H23">SUM(C16:C21)</f>
        <v>7.044</v>
      </c>
      <c r="D23" s="321">
        <f t="shared" si="0"/>
        <v>894823</v>
      </c>
      <c r="E23" s="549">
        <f t="shared" si="0"/>
        <v>7.138</v>
      </c>
      <c r="F23" s="321">
        <f t="shared" si="0"/>
        <v>890767.19</v>
      </c>
      <c r="G23" s="321">
        <f t="shared" si="0"/>
        <v>714396.8099999999</v>
      </c>
      <c r="H23" s="549">
        <f t="shared" si="0"/>
        <v>7.138</v>
      </c>
      <c r="J23" s="657" t="str">
        <f>CONCATENATE("Impact On Keeping The Same Mill Rate As For ",I3-1,"")</f>
        <v>Impact On Keeping The Same Mill Rate As For 2011</v>
      </c>
      <c r="K23" s="662"/>
      <c r="L23" s="662"/>
      <c r="M23" s="663"/>
    </row>
    <row r="24" spans="1:13" ht="15.75">
      <c r="A24" s="35" t="s">
        <v>173</v>
      </c>
      <c r="B24" s="214">
        <f>transfers!C26</f>
        <v>20000</v>
      </c>
      <c r="C24" s="133"/>
      <c r="D24" s="214">
        <f>transfers!D26</f>
        <v>10000</v>
      </c>
      <c r="E24" s="133"/>
      <c r="F24" s="318">
        <f>transfers!E26</f>
        <v>10000</v>
      </c>
      <c r="G24" s="260"/>
      <c r="H24" s="319"/>
      <c r="J24" s="573"/>
      <c r="K24" s="568"/>
      <c r="L24" s="568"/>
      <c r="M24" s="574"/>
    </row>
    <row r="25" spans="1:13" ht="16.5" thickBot="1">
      <c r="A25" s="35" t="s">
        <v>174</v>
      </c>
      <c r="B25" s="136">
        <f>SUM(B23-B24)</f>
        <v>814375.59</v>
      </c>
      <c r="C25" s="320"/>
      <c r="D25" s="136">
        <f>SUM(D23-D24)</f>
        <v>884823</v>
      </c>
      <c r="E25" s="320"/>
      <c r="F25" s="546">
        <f>SUM(F23-F24)</f>
        <v>880767.19</v>
      </c>
      <c r="G25" s="260"/>
      <c r="H25" s="319"/>
      <c r="J25" s="573" t="str">
        <f>CONCATENATE("",I3," Ad Valorem Tax Revenue:")</f>
        <v>2012 Ad Valorem Tax Revenue:</v>
      </c>
      <c r="K25" s="568"/>
      <c r="L25" s="568"/>
      <c r="M25" s="569">
        <f>G23</f>
        <v>714396.8099999999</v>
      </c>
    </row>
    <row r="26" spans="1:13" ht="16.5" thickTop="1">
      <c r="A26" s="35" t="s">
        <v>54</v>
      </c>
      <c r="B26" s="321">
        <f>inputPrYr!E44</f>
        <v>709508</v>
      </c>
      <c r="C26" s="230"/>
      <c r="D26" s="321">
        <f>inputPrYr!E24</f>
        <v>723114</v>
      </c>
      <c r="E26" s="230"/>
      <c r="F26" s="322" t="s">
        <v>179</v>
      </c>
      <c r="G26" s="18"/>
      <c r="H26" s="18"/>
      <c r="J26" s="573" t="str">
        <f>CONCATENATE("",I3-1," Ad Valorem Tax Revenue:")</f>
        <v>2011 Ad Valorem Tax Revenue:</v>
      </c>
      <c r="K26" s="568"/>
      <c r="L26" s="568"/>
      <c r="M26" s="582">
        <f>ROUND(F27*M18/1000,0)</f>
        <v>714362</v>
      </c>
    </row>
    <row r="27" spans="1:13" ht="15.75">
      <c r="A27" s="35" t="s">
        <v>175</v>
      </c>
      <c r="B27" s="214">
        <f>inputPrYr!E45</f>
        <v>100725112</v>
      </c>
      <c r="C27" s="230"/>
      <c r="D27" s="214">
        <f>inputOth!E24</f>
        <v>101300870</v>
      </c>
      <c r="E27" s="230"/>
      <c r="F27" s="214">
        <f>inputOth!E7</f>
        <v>100078781</v>
      </c>
      <c r="G27" s="18"/>
      <c r="H27" s="18"/>
      <c r="J27" s="583" t="s">
        <v>693</v>
      </c>
      <c r="K27" s="584"/>
      <c r="L27" s="584"/>
      <c r="M27" s="572">
        <f>M25-M26</f>
        <v>34.809999999939464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7" t="s">
        <v>694</v>
      </c>
      <c r="K29" s="660"/>
      <c r="L29" s="660"/>
      <c r="M29" s="661"/>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2980000</v>
      </c>
      <c r="C31" s="166"/>
      <c r="D31" s="323">
        <f>inputPrYr!E48</f>
        <v>2965000</v>
      </c>
      <c r="E31" s="18"/>
      <c r="F31" s="323">
        <f>debt!E12</f>
        <v>2945000</v>
      </c>
      <c r="G31" s="18"/>
      <c r="H31" s="54"/>
      <c r="J31" s="573" t="str">
        <f>CONCATENATE("Current ",I3," Estimated Mill Rate:")</f>
        <v>Current 2012 Estimated Mill Rate:</v>
      </c>
      <c r="K31" s="568"/>
      <c r="L31" s="568"/>
      <c r="M31" s="575">
        <f>H23</f>
        <v>7.138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2980000</v>
      </c>
      <c r="C35" s="18"/>
      <c r="D35" s="324">
        <f>SUM(D31:D34)</f>
        <v>2965000</v>
      </c>
      <c r="E35" s="18"/>
      <c r="F35" s="324">
        <f>SUM(F31:F34)</f>
        <v>2945000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7"/>
      <c r="B40" s="628"/>
      <c r="C40" s="102"/>
      <c r="D40" s="18"/>
      <c r="E40" s="18"/>
      <c r="F40" s="18"/>
      <c r="G40" s="18"/>
      <c r="H40" s="54"/>
    </row>
    <row r="41" spans="1:8" ht="15.75">
      <c r="A41" s="311" t="s">
        <v>60</v>
      </c>
      <c r="B41" s="26"/>
      <c r="C41" s="18"/>
      <c r="D41" s="145" t="s">
        <v>44</v>
      </c>
      <c r="E41" s="550">
        <v>9</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G15" sqref="G1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00" t="s">
        <v>7</v>
      </c>
      <c r="B1" s="601"/>
      <c r="C1" s="601"/>
      <c r="D1" s="601"/>
      <c r="E1" s="601"/>
    </row>
    <row r="2" spans="1:5" ht="15.75">
      <c r="A2" s="17"/>
      <c r="B2" s="18"/>
      <c r="C2" s="18"/>
      <c r="D2" s="18"/>
      <c r="E2" s="18"/>
    </row>
    <row r="3" spans="1:5" ht="15.75">
      <c r="A3" s="19" t="s">
        <v>134</v>
      </c>
      <c r="B3" s="18"/>
      <c r="C3" s="18"/>
      <c r="D3" s="20" t="s">
        <v>773</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2" t="s">
        <v>214</v>
      </c>
      <c r="B8" s="603"/>
      <c r="C8" s="603"/>
      <c r="D8" s="603"/>
      <c r="E8" s="603"/>
    </row>
    <row r="9" spans="1:5" ht="15.75">
      <c r="A9" s="25" t="s">
        <v>81</v>
      </c>
      <c r="B9" s="26"/>
      <c r="C9" s="26"/>
      <c r="D9" s="26"/>
      <c r="E9" s="26"/>
    </row>
    <row r="10" spans="1:5" ht="15.75">
      <c r="A10" s="604" t="s">
        <v>213</v>
      </c>
      <c r="B10" s="605"/>
      <c r="C10" s="605"/>
      <c r="D10" s="605"/>
      <c r="E10" s="605"/>
    </row>
    <row r="11" spans="1:5" ht="15.75">
      <c r="A11" s="27"/>
      <c r="B11" s="18"/>
      <c r="C11" s="18"/>
      <c r="D11" s="18"/>
      <c r="E11" s="18"/>
    </row>
    <row r="12" spans="1:5" ht="15.75">
      <c r="A12" s="598" t="s">
        <v>201</v>
      </c>
      <c r="B12" s="599"/>
      <c r="C12" s="599"/>
      <c r="D12" s="599"/>
      <c r="E12" s="599"/>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6" t="str">
        <f>CONCATENATE("Amount of ",D6-2,"     Ad Valorem Tax")</f>
        <v>Amount of 2010     Ad Valorem Tax</v>
      </c>
    </row>
    <row r="18" spans="1:5" ht="15.75">
      <c r="A18" s="17" t="s">
        <v>8</v>
      </c>
      <c r="B18" s="18"/>
      <c r="C18" s="32" t="s">
        <v>9</v>
      </c>
      <c r="D18" s="34" t="s">
        <v>287</v>
      </c>
      <c r="E18" s="607"/>
    </row>
    <row r="19" spans="1:5" ht="15.75">
      <c r="A19" s="18"/>
      <c r="B19" s="35" t="s">
        <v>10</v>
      </c>
      <c r="C19" s="436" t="s">
        <v>774</v>
      </c>
      <c r="D19" s="37">
        <v>732620</v>
      </c>
      <c r="E19" s="37">
        <v>573318</v>
      </c>
    </row>
    <row r="20" spans="1:5" ht="15.75">
      <c r="A20" s="18"/>
      <c r="B20" s="35" t="s">
        <v>282</v>
      </c>
      <c r="C20" s="114" t="s">
        <v>160</v>
      </c>
      <c r="D20" s="37">
        <v>202753</v>
      </c>
      <c r="E20" s="37">
        <v>149796</v>
      </c>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723114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935373</v>
      </c>
      <c r="E28" s="39"/>
    </row>
    <row r="29" spans="1:5" ht="15.75">
      <c r="A29" s="18" t="s">
        <v>254</v>
      </c>
      <c r="B29" s="18"/>
      <c r="C29" s="18"/>
      <c r="D29" s="18"/>
      <c r="E29" s="39"/>
    </row>
    <row r="30" spans="1:5" ht="15.75">
      <c r="A30" s="18">
        <v>1</v>
      </c>
      <c r="B30" s="48" t="s">
        <v>762</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6" t="str">
        <f>CONCATENATE("",D6-3," Tax Rate          (",D6-2," Column)")</f>
        <v>2009 Tax Rate          (2010 Column)</v>
      </c>
      <c r="E36" s="39"/>
    </row>
    <row r="37" spans="1:5" ht="15.75">
      <c r="A37" s="30" t="str">
        <f>CONCATENATE("the ",D6-1," Budget, Budget Summary Page:")</f>
        <v>the 2011 Budget, Budget Summary Page:</v>
      </c>
      <c r="B37" s="31"/>
      <c r="C37" s="18"/>
      <c r="D37" s="597"/>
      <c r="E37" s="39"/>
    </row>
    <row r="38" spans="1:5" ht="15.75">
      <c r="A38" s="18"/>
      <c r="B38" s="38" t="str">
        <f>B19</f>
        <v>General</v>
      </c>
      <c r="C38" s="18"/>
      <c r="D38" s="49">
        <v>5.667</v>
      </c>
      <c r="E38" s="39"/>
    </row>
    <row r="39" spans="1:5" ht="15.75">
      <c r="A39" s="18"/>
      <c r="B39" s="38" t="str">
        <f>B20</f>
        <v>Debt Service</v>
      </c>
      <c r="C39" s="18"/>
      <c r="D39" s="49">
        <v>1.377</v>
      </c>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7.044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709508</v>
      </c>
    </row>
    <row r="45" spans="1:5" ht="15.75">
      <c r="A45" s="51" t="str">
        <f>CONCATENATE("Assessed Valuation (",D6-2," budget column)")</f>
        <v>Assessed Valuation (2010 budget column)</v>
      </c>
      <c r="B45" s="29"/>
      <c r="C45" s="18"/>
      <c r="D45" s="18"/>
      <c r="E45" s="53">
        <v>100725112</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v>2980000</v>
      </c>
      <c r="E48" s="58">
        <v>2965000</v>
      </c>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v>2980000</v>
      </c>
      <c r="E52" s="58">
        <v>2965000</v>
      </c>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Basehor Comm. Library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9" t="str">
        <f>CONCATENATE("",F1," Neighborhood Revitalization Rebate")</f>
        <v>2012 Neighborhood Revitalization Rebate</v>
      </c>
      <c r="C4" s="666"/>
      <c r="D4" s="666"/>
      <c r="E4" s="652"/>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7" t="str">
        <f>CONCATENATE("",F1-1," July 1 Valuation:")</f>
        <v>2011 July 1 Valuation:</v>
      </c>
      <c r="B16" s="665"/>
      <c r="C16" s="667"/>
      <c r="D16" s="334">
        <f>inputOth!E7</f>
        <v>100078781</v>
      </c>
      <c r="E16" s="18"/>
      <c r="F16" s="54"/>
    </row>
    <row r="17" spans="1:6" ht="15.75">
      <c r="A17" s="18"/>
      <c r="B17" s="18"/>
      <c r="C17" s="18"/>
      <c r="D17" s="18"/>
      <c r="E17" s="18"/>
      <c r="F17" s="54"/>
    </row>
    <row r="18" spans="1:6" ht="15.75">
      <c r="A18" s="18"/>
      <c r="B18" s="667" t="s">
        <v>329</v>
      </c>
      <c r="C18" s="667"/>
      <c r="D18" s="335">
        <f>IF(D16&gt;0,(D16*0.001),"")</f>
        <v>100078.781</v>
      </c>
      <c r="E18" s="18"/>
      <c r="F18" s="54"/>
    </row>
    <row r="19" spans="1:6" ht="15.75">
      <c r="A19" s="18"/>
      <c r="B19" s="145"/>
      <c r="C19" s="145"/>
      <c r="D19" s="336"/>
      <c r="E19" s="18"/>
      <c r="F19" s="54"/>
    </row>
    <row r="20" spans="1:6" ht="15.75">
      <c r="A20" s="664" t="s">
        <v>327</v>
      </c>
      <c r="B20" s="652"/>
      <c r="C20" s="652"/>
      <c r="D20" s="337">
        <f>inputOth!E12</f>
        <v>884806</v>
      </c>
      <c r="E20" s="64"/>
      <c r="F20" s="64"/>
    </row>
    <row r="21" spans="1:6" ht="15">
      <c r="A21" s="64"/>
      <c r="B21" s="64"/>
      <c r="C21" s="64"/>
      <c r="D21" s="338"/>
      <c r="E21" s="64"/>
      <c r="F21" s="64"/>
    </row>
    <row r="22" spans="1:6" ht="15.75">
      <c r="A22" s="64"/>
      <c r="B22" s="664" t="s">
        <v>328</v>
      </c>
      <c r="C22" s="665"/>
      <c r="D22" s="339">
        <f>IF(D20&gt;0,(D20*0.001),"")</f>
        <v>884.806</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8" t="s">
        <v>143</v>
      </c>
      <c r="C1" s="668"/>
      <c r="D1" s="668"/>
      <c r="E1" s="668"/>
      <c r="F1" s="668"/>
      <c r="G1" s="668"/>
      <c r="H1" s="668"/>
    </row>
    <row r="2" spans="2:8" ht="15.75">
      <c r="B2" s="6"/>
      <c r="C2"/>
      <c r="D2"/>
      <c r="E2"/>
      <c r="F2"/>
      <c r="G2"/>
      <c r="H2"/>
    </row>
    <row r="3" spans="2:8" ht="15.75">
      <c r="B3" s="669" t="s">
        <v>140</v>
      </c>
      <c r="C3" s="669"/>
      <c r="D3" s="669"/>
      <c r="E3" s="669"/>
      <c r="F3" s="669"/>
      <c r="G3" s="669"/>
      <c r="H3" s="669"/>
    </row>
    <row r="4" spans="2:8" ht="15.75">
      <c r="B4" s="7"/>
      <c r="C4"/>
      <c r="D4"/>
      <c r="E4"/>
      <c r="F4"/>
      <c r="G4"/>
      <c r="H4"/>
    </row>
    <row r="5" spans="2:8" ht="15.75">
      <c r="B5" s="674" t="str">
        <f>CONCATENATE("A resolution expressing the property taxation policy of the Board of ",(inputPrYr!D3)," District with respect to financing the ",inputPrYr!D6," annual budget for ",(inputPrYr!D3)," , ",(inputPrYr!D4)," , Kansas.")</f>
        <v>A resolution expressing the property taxation policy of the Board of Basehor Comm. Library District with respect to financing the 2012 annual budget for Basehor Comm. Library , Leavenworth , Kansas.</v>
      </c>
      <c r="C5" s="675"/>
      <c r="D5" s="675"/>
      <c r="E5" s="675"/>
      <c r="F5" s="675"/>
      <c r="G5" s="675"/>
      <c r="H5" s="675"/>
    </row>
    <row r="6" spans="2:10" ht="15.75">
      <c r="B6" s="675"/>
      <c r="C6" s="675"/>
      <c r="D6" s="675"/>
      <c r="E6" s="675"/>
      <c r="F6" s="675"/>
      <c r="G6" s="675"/>
      <c r="H6" s="675"/>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Basehor Comm. Library district budget exceed the amount levied to finance the</v>
      </c>
      <c r="C9"/>
      <c r="D9"/>
      <c r="E9"/>
      <c r="F9"/>
      <c r="G9"/>
      <c r="H9"/>
    </row>
    <row r="10" spans="2:8" ht="15.75">
      <c r="B10" s="12" t="str">
        <f>CONCATENATE("",inputPrYr!D6-1," ",inputPrYr!D3," except with regard to revenue produced and attributable to the")</f>
        <v>2011 Basehor Comm. Library except with regard to revenue produced and attributable to the</v>
      </c>
      <c r="C10"/>
      <c r="D10"/>
      <c r="E10"/>
      <c r="F10"/>
      <c r="G10"/>
      <c r="H10"/>
    </row>
    <row r="11" spans="2:8" ht="15.75">
      <c r="B11" s="670" t="s">
        <v>181</v>
      </c>
      <c r="C11" s="671"/>
      <c r="D11" s="671"/>
      <c r="E11" s="671"/>
      <c r="F11" s="671"/>
      <c r="G11" s="671"/>
      <c r="H11" s="671"/>
    </row>
    <row r="12" spans="2:8" ht="15.75">
      <c r="B12" s="671"/>
      <c r="C12" s="671"/>
      <c r="D12" s="671"/>
      <c r="E12" s="671"/>
      <c r="F12" s="671"/>
      <c r="G12" s="671"/>
      <c r="H12" s="671"/>
    </row>
    <row r="13" spans="2:8" ht="15.75">
      <c r="B13" s="671"/>
      <c r="C13" s="671"/>
      <c r="D13" s="671"/>
      <c r="E13" s="671"/>
      <c r="F13" s="671"/>
      <c r="G13" s="671"/>
      <c r="H13" s="671"/>
    </row>
    <row r="14" spans="2:8" ht="15.75">
      <c r="B14" s="671"/>
      <c r="C14" s="671"/>
      <c r="D14" s="671"/>
      <c r="E14" s="671"/>
      <c r="F14" s="671"/>
      <c r="G14" s="671"/>
      <c r="H14" s="671"/>
    </row>
    <row r="15" spans="2:8" ht="15.75">
      <c r="B15" s="1"/>
      <c r="C15" s="1"/>
      <c r="D15" s="1"/>
      <c r="E15" s="1"/>
      <c r="F15" s="1"/>
      <c r="G15" s="1"/>
      <c r="H15" s="1"/>
    </row>
    <row r="16" spans="2:8" ht="15.75">
      <c r="B16" s="676" t="s">
        <v>152</v>
      </c>
      <c r="C16" s="677"/>
      <c r="D16" s="677"/>
      <c r="E16" s="677"/>
      <c r="F16" s="677"/>
      <c r="G16" s="677"/>
      <c r="H16" s="677"/>
    </row>
    <row r="17" spans="2:8" ht="15.75">
      <c r="B17" s="677"/>
      <c r="C17" s="677"/>
      <c r="D17" s="677"/>
      <c r="E17" s="677"/>
      <c r="F17" s="677"/>
      <c r="G17" s="677"/>
      <c r="H17" s="677"/>
    </row>
    <row r="18" spans="2:8" ht="15.75">
      <c r="B18" s="12"/>
      <c r="C18"/>
      <c r="D18"/>
      <c r="E18"/>
      <c r="F18"/>
      <c r="G18"/>
      <c r="H18"/>
    </row>
    <row r="19" spans="2:8" ht="15.75">
      <c r="B19" s="12" t="str">
        <f>CONCATENATE("Whereas, ",(inputPrYr!D3)," provides essential services to district residents; and")</f>
        <v>Whereas, Basehor Comm. Library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Basehor Comm. Library that is our desire to notify the public of the possibility of increased property taxes to finance the 2012 Basehor Comm. Library  budget as defined above.</v>
      </c>
      <c r="C23" s="678"/>
      <c r="D23" s="678"/>
      <c r="E23" s="678"/>
      <c r="F23" s="678"/>
      <c r="G23" s="678"/>
      <c r="H23" s="678"/>
    </row>
    <row r="24" spans="2:8" ht="15.75">
      <c r="B24" s="678"/>
      <c r="C24" s="678"/>
      <c r="D24" s="678"/>
      <c r="E24" s="678"/>
      <c r="F24" s="678"/>
      <c r="G24" s="678"/>
      <c r="H24" s="678"/>
    </row>
    <row r="25" spans="2:8" ht="15.75">
      <c r="B25" s="678"/>
      <c r="C25" s="678"/>
      <c r="D25" s="678"/>
      <c r="E25" s="678"/>
      <c r="F25" s="678"/>
      <c r="G25" s="678"/>
      <c r="H25" s="678"/>
    </row>
    <row r="26" spans="2:8" ht="15.75">
      <c r="B26" s="12"/>
      <c r="C26"/>
      <c r="D26"/>
      <c r="E26"/>
      <c r="F26"/>
      <c r="G26"/>
      <c r="H26"/>
    </row>
    <row r="27" spans="2:8" ht="15.75">
      <c r="B27" s="676" t="str">
        <f>CONCATENATE("Adopted this _________ day of ___________, ",inputPrYr!D6-1," by the ",(inputPrYr!D3)," District Board, ",(inputPrYr!D4),", Kansas.")</f>
        <v>Adopted this _________ day of ___________, 2011 by the Basehor Comm. Library District Board, Leavenworth, Kansas.</v>
      </c>
      <c r="C27" s="675"/>
      <c r="D27" s="675"/>
      <c r="E27" s="675"/>
      <c r="F27" s="675"/>
      <c r="G27" s="675"/>
      <c r="H27" s="675"/>
    </row>
    <row r="28" spans="2:8" ht="15.75">
      <c r="B28" s="675"/>
      <c r="C28" s="675"/>
      <c r="D28" s="675"/>
      <c r="E28" s="675"/>
      <c r="F28" s="675"/>
      <c r="G28" s="675"/>
      <c r="H28" s="675"/>
    </row>
    <row r="29" spans="2:8" ht="15.75">
      <c r="B29" s="8"/>
      <c r="C29"/>
      <c r="D29"/>
      <c r="E29"/>
      <c r="F29"/>
      <c r="G29"/>
      <c r="H29"/>
    </row>
    <row r="30" spans="2:8" ht="15.75">
      <c r="B30" s="8"/>
      <c r="C30"/>
      <c r="D30"/>
      <c r="E30"/>
      <c r="F30"/>
      <c r="G30"/>
      <c r="H30"/>
    </row>
    <row r="31" spans="2:8" ht="15.75">
      <c r="B31" s="9" t="str">
        <f>CONCATENATE(" ",(inputPrYr!D3)," District Board")</f>
        <v> Basehor Comm. Library District Board</v>
      </c>
      <c r="C31"/>
      <c r="D31"/>
      <c r="E31"/>
      <c r="F31"/>
      <c r="G31"/>
      <c r="H31"/>
    </row>
    <row r="32" spans="2:8" ht="15.75">
      <c r="B32" s="8"/>
      <c r="C32"/>
      <c r="D32"/>
      <c r="E32"/>
      <c r="F32"/>
      <c r="G32"/>
      <c r="H32"/>
    </row>
    <row r="33" spans="2:8" ht="15.75">
      <c r="B33"/>
      <c r="C33"/>
      <c r="D33"/>
      <c r="E33" s="672" t="s">
        <v>141</v>
      </c>
      <c r="F33" s="672"/>
      <c r="G33" s="672"/>
      <c r="H33" s="672"/>
    </row>
    <row r="34" spans="2:8" ht="15.75">
      <c r="B34"/>
      <c r="C34"/>
      <c r="D34"/>
      <c r="E34" s="672" t="s">
        <v>144</v>
      </c>
      <c r="F34" s="672"/>
      <c r="G34" s="672"/>
      <c r="H34" s="672"/>
    </row>
    <row r="35" spans="2:8" ht="15.75">
      <c r="B35" s="8"/>
      <c r="C35"/>
      <c r="D35"/>
      <c r="E35" s="672"/>
      <c r="F35" s="672"/>
      <c r="G35" s="672"/>
      <c r="H35" s="672"/>
    </row>
    <row r="36" spans="2:8" ht="15.75">
      <c r="B36"/>
      <c r="C36"/>
      <c r="D36"/>
      <c r="E36" s="672" t="s">
        <v>141</v>
      </c>
      <c r="F36" s="672"/>
      <c r="G36" s="672"/>
      <c r="H36" s="672"/>
    </row>
    <row r="37" spans="2:8" ht="15.75">
      <c r="B37"/>
      <c r="C37"/>
      <c r="D37"/>
      <c r="E37" s="672" t="s">
        <v>145</v>
      </c>
      <c r="F37" s="672"/>
      <c r="G37" s="672"/>
      <c r="H37" s="672"/>
    </row>
    <row r="38" spans="2:8" ht="15.75">
      <c r="B38" s="8"/>
      <c r="C38"/>
      <c r="D38"/>
      <c r="E38" s="672"/>
      <c r="F38" s="672"/>
      <c r="G38" s="672"/>
      <c r="H38" s="672"/>
    </row>
    <row r="39" spans="2:8" ht="15.75">
      <c r="B39"/>
      <c r="C39"/>
      <c r="D39"/>
      <c r="E39" s="672" t="s">
        <v>141</v>
      </c>
      <c r="F39" s="672"/>
      <c r="G39" s="672"/>
      <c r="H39" s="672"/>
    </row>
    <row r="40" spans="2:8" ht="15.75">
      <c r="B40"/>
      <c r="C40"/>
      <c r="D40"/>
      <c r="E40" s="672" t="s">
        <v>146</v>
      </c>
      <c r="F40" s="672"/>
      <c r="G40" s="672"/>
      <c r="H40" s="67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3"/>
      <c r="F46" s="673"/>
      <c r="G46" s="673"/>
      <c r="H46" s="673"/>
    </row>
    <row r="47" spans="2:8" ht="15.75">
      <c r="B47" s="3"/>
      <c r="E47" s="673"/>
      <c r="F47" s="673"/>
      <c r="G47" s="673"/>
      <c r="H47" s="673"/>
    </row>
    <row r="48" spans="5:8" ht="15.75">
      <c r="E48" s="673"/>
      <c r="F48" s="673"/>
      <c r="G48" s="673"/>
      <c r="H48" s="673"/>
    </row>
    <row r="49" spans="5:8" ht="15.75">
      <c r="E49" s="673"/>
      <c r="F49" s="673"/>
      <c r="G49" s="673"/>
      <c r="H49" s="673"/>
    </row>
    <row r="50" spans="2:8" ht="15.75">
      <c r="B50" s="3"/>
      <c r="E50" s="673"/>
      <c r="F50" s="673"/>
      <c r="G50" s="673"/>
      <c r="H50" s="673"/>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8" t="s">
        <v>586</v>
      </c>
      <c r="C6" s="696"/>
      <c r="D6" s="696"/>
      <c r="E6" s="696"/>
      <c r="F6" s="696"/>
      <c r="G6" s="696"/>
      <c r="H6" s="696"/>
      <c r="I6" s="696"/>
      <c r="J6" s="696"/>
      <c r="K6" s="696"/>
      <c r="L6" s="440"/>
    </row>
    <row r="7" spans="1:12" ht="40.5" customHeight="1">
      <c r="A7" s="437"/>
      <c r="B7" s="707" t="s">
        <v>587</v>
      </c>
      <c r="C7" s="708"/>
      <c r="D7" s="708"/>
      <c r="E7" s="708"/>
      <c r="F7" s="708"/>
      <c r="G7" s="708"/>
      <c r="H7" s="708"/>
      <c r="I7" s="708"/>
      <c r="J7" s="708"/>
      <c r="K7" s="708"/>
      <c r="L7" s="437"/>
    </row>
    <row r="8" spans="1:12" ht="14.25">
      <c r="A8" s="437"/>
      <c r="B8" s="704" t="s">
        <v>588</v>
      </c>
      <c r="C8" s="704"/>
      <c r="D8" s="704"/>
      <c r="E8" s="704"/>
      <c r="F8" s="704"/>
      <c r="G8" s="704"/>
      <c r="H8" s="704"/>
      <c r="I8" s="704"/>
      <c r="J8" s="704"/>
      <c r="K8" s="704"/>
      <c r="L8" s="437"/>
    </row>
    <row r="9" spans="1:12" ht="14.25">
      <c r="A9" s="437"/>
      <c r="L9" s="437"/>
    </row>
    <row r="10" spans="1:12" ht="14.25">
      <c r="A10" s="437"/>
      <c r="B10" s="704" t="s">
        <v>589</v>
      </c>
      <c r="C10" s="704"/>
      <c r="D10" s="704"/>
      <c r="E10" s="704"/>
      <c r="F10" s="704"/>
      <c r="G10" s="704"/>
      <c r="H10" s="704"/>
      <c r="I10" s="704"/>
      <c r="J10" s="704"/>
      <c r="K10" s="704"/>
      <c r="L10" s="437"/>
    </row>
    <row r="11" spans="1:12" ht="14.25">
      <c r="A11" s="437"/>
      <c r="B11" s="441"/>
      <c r="C11" s="441"/>
      <c r="D11" s="441"/>
      <c r="E11" s="441"/>
      <c r="F11" s="441"/>
      <c r="G11" s="441"/>
      <c r="H11" s="441"/>
      <c r="I11" s="441"/>
      <c r="J11" s="441"/>
      <c r="K11" s="441"/>
      <c r="L11" s="437"/>
    </row>
    <row r="12" spans="1:12" ht="32.25" customHeight="1">
      <c r="A12" s="437"/>
      <c r="B12" s="689" t="s">
        <v>590</v>
      </c>
      <c r="C12" s="689"/>
      <c r="D12" s="689"/>
      <c r="E12" s="689"/>
      <c r="F12" s="689"/>
      <c r="G12" s="689"/>
      <c r="H12" s="689"/>
      <c r="I12" s="689"/>
      <c r="J12" s="689"/>
      <c r="K12" s="689"/>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91">
        <v>133685008</v>
      </c>
      <c r="G23" s="691"/>
      <c r="L23" s="437"/>
    </row>
    <row r="24" spans="1:12" ht="14.25">
      <c r="A24" s="437"/>
      <c r="L24" s="437"/>
    </row>
    <row r="25" spans="1:12" ht="14.25">
      <c r="A25" s="437"/>
      <c r="C25" s="705">
        <f>F23</f>
        <v>133685008</v>
      </c>
      <c r="D25" s="705"/>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3" t="s">
        <v>587</v>
      </c>
      <c r="C30" s="693"/>
      <c r="D30" s="693"/>
      <c r="E30" s="693"/>
      <c r="F30" s="693"/>
      <c r="G30" s="693"/>
      <c r="H30" s="693"/>
      <c r="I30" s="693"/>
      <c r="J30" s="693"/>
      <c r="K30" s="693"/>
      <c r="L30" s="437"/>
    </row>
    <row r="31" spans="1:12" ht="14.25">
      <c r="A31" s="437"/>
      <c r="B31" s="704" t="s">
        <v>601</v>
      </c>
      <c r="C31" s="704"/>
      <c r="D31" s="704"/>
      <c r="E31" s="704"/>
      <c r="F31" s="704"/>
      <c r="G31" s="704"/>
      <c r="H31" s="704"/>
      <c r="I31" s="704"/>
      <c r="J31" s="704"/>
      <c r="K31" s="704"/>
      <c r="L31" s="437"/>
    </row>
    <row r="32" spans="1:12" ht="14.25">
      <c r="A32" s="437"/>
      <c r="L32" s="437"/>
    </row>
    <row r="33" spans="1:12" ht="14.25">
      <c r="A33" s="437"/>
      <c r="B33" s="704" t="s">
        <v>602</v>
      </c>
      <c r="C33" s="704"/>
      <c r="D33" s="704"/>
      <c r="E33" s="704"/>
      <c r="F33" s="704"/>
      <c r="G33" s="704"/>
      <c r="H33" s="704"/>
      <c r="I33" s="704"/>
      <c r="J33" s="704"/>
      <c r="K33" s="704"/>
      <c r="L33" s="437"/>
    </row>
    <row r="34" spans="1:12" ht="14.25">
      <c r="A34" s="437"/>
      <c r="L34" s="437"/>
    </row>
    <row r="35" spans="1:12" ht="89.25" customHeight="1">
      <c r="A35" s="437"/>
      <c r="B35" s="689" t="s">
        <v>603</v>
      </c>
      <c r="C35" s="699"/>
      <c r="D35" s="699"/>
      <c r="E35" s="699"/>
      <c r="F35" s="699"/>
      <c r="G35" s="699"/>
      <c r="H35" s="699"/>
      <c r="I35" s="699"/>
      <c r="J35" s="699"/>
      <c r="K35" s="699"/>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6">
        <v>3120000</v>
      </c>
      <c r="D41" s="706"/>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91">
        <v>133685008</v>
      </c>
      <c r="C48" s="691"/>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700" t="s">
        <v>611</v>
      </c>
      <c r="H50" s="701"/>
      <c r="I50" s="450" t="s">
        <v>597</v>
      </c>
      <c r="J50" s="460">
        <f>B50/F50</f>
        <v>52.8690023342034</v>
      </c>
      <c r="K50" s="452"/>
      <c r="L50" s="437"/>
    </row>
    <row r="51" spans="1:15" ht="15" thickBot="1">
      <c r="A51" s="437"/>
      <c r="B51" s="453"/>
      <c r="C51" s="454"/>
      <c r="D51" s="454"/>
      <c r="E51" s="454"/>
      <c r="F51" s="454"/>
      <c r="G51" s="454"/>
      <c r="H51" s="454"/>
      <c r="I51" s="702" t="s">
        <v>612</v>
      </c>
      <c r="J51" s="702"/>
      <c r="K51" s="703"/>
      <c r="L51" s="437"/>
      <c r="O51" s="461"/>
    </row>
    <row r="52" spans="1:12" ht="40.5" customHeight="1">
      <c r="A52" s="437"/>
      <c r="B52" s="693" t="s">
        <v>587</v>
      </c>
      <c r="C52" s="693"/>
      <c r="D52" s="693"/>
      <c r="E52" s="693"/>
      <c r="F52" s="693"/>
      <c r="G52" s="693"/>
      <c r="H52" s="693"/>
      <c r="I52" s="693"/>
      <c r="J52" s="693"/>
      <c r="K52" s="693"/>
      <c r="L52" s="437"/>
    </row>
    <row r="53" spans="1:12" ht="14.25">
      <c r="A53" s="437"/>
      <c r="B53" s="704" t="s">
        <v>613</v>
      </c>
      <c r="C53" s="704"/>
      <c r="D53" s="704"/>
      <c r="E53" s="704"/>
      <c r="F53" s="704"/>
      <c r="G53" s="704"/>
      <c r="H53" s="704"/>
      <c r="I53" s="704"/>
      <c r="J53" s="704"/>
      <c r="K53" s="704"/>
      <c r="L53" s="437"/>
    </row>
    <row r="54" spans="1:12" ht="14.25">
      <c r="A54" s="437"/>
      <c r="B54" s="441"/>
      <c r="C54" s="441"/>
      <c r="D54" s="441"/>
      <c r="E54" s="441"/>
      <c r="F54" s="441"/>
      <c r="G54" s="441"/>
      <c r="H54" s="441"/>
      <c r="I54" s="441"/>
      <c r="J54" s="441"/>
      <c r="K54" s="441"/>
      <c r="L54" s="437"/>
    </row>
    <row r="55" spans="1:12" ht="14.25">
      <c r="A55" s="437"/>
      <c r="B55" s="688" t="s">
        <v>614</v>
      </c>
      <c r="C55" s="688"/>
      <c r="D55" s="688"/>
      <c r="E55" s="688"/>
      <c r="F55" s="688"/>
      <c r="G55" s="688"/>
      <c r="H55" s="688"/>
      <c r="I55" s="688"/>
      <c r="J55" s="688"/>
      <c r="K55" s="688"/>
      <c r="L55" s="437"/>
    </row>
    <row r="56" spans="1:12" ht="15" customHeight="1">
      <c r="A56" s="437"/>
      <c r="L56" s="437"/>
    </row>
    <row r="57" spans="1:24" ht="74.25" customHeight="1">
      <c r="A57" s="437"/>
      <c r="B57" s="689" t="s">
        <v>615</v>
      </c>
      <c r="C57" s="699"/>
      <c r="D57" s="699"/>
      <c r="E57" s="699"/>
      <c r="F57" s="699"/>
      <c r="G57" s="699"/>
      <c r="H57" s="699"/>
      <c r="I57" s="699"/>
      <c r="J57" s="699"/>
      <c r="K57" s="699"/>
      <c r="L57" s="437"/>
      <c r="M57" s="462"/>
      <c r="N57" s="463"/>
      <c r="O57" s="463"/>
      <c r="P57" s="463"/>
      <c r="Q57" s="463"/>
      <c r="R57" s="463"/>
      <c r="S57" s="463"/>
      <c r="T57" s="463"/>
      <c r="U57" s="463"/>
      <c r="V57" s="463"/>
      <c r="W57" s="463"/>
      <c r="X57" s="463"/>
    </row>
    <row r="58" spans="1:24" ht="15" customHeight="1">
      <c r="A58" s="437"/>
      <c r="B58" s="689"/>
      <c r="C58" s="699"/>
      <c r="D58" s="699"/>
      <c r="E58" s="699"/>
      <c r="F58" s="699"/>
      <c r="G58" s="699"/>
      <c r="H58" s="699"/>
      <c r="I58" s="699"/>
      <c r="J58" s="699"/>
      <c r="K58" s="699"/>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91">
        <v>133685008</v>
      </c>
      <c r="D74" s="691"/>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91">
        <v>5000</v>
      </c>
      <c r="D77" s="691"/>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91">
        <v>100000</v>
      </c>
      <c r="D80" s="691"/>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3" t="s">
        <v>587</v>
      </c>
      <c r="C85" s="693"/>
      <c r="D85" s="693"/>
      <c r="E85" s="693"/>
      <c r="F85" s="693"/>
      <c r="G85" s="693"/>
      <c r="H85" s="693"/>
      <c r="I85" s="693"/>
      <c r="J85" s="693"/>
      <c r="K85" s="693"/>
      <c r="L85" s="437"/>
    </row>
    <row r="86" spans="1:12" ht="14.25">
      <c r="A86" s="437"/>
      <c r="B86" s="688" t="s">
        <v>635</v>
      </c>
      <c r="C86" s="688"/>
      <c r="D86" s="688"/>
      <c r="E86" s="688"/>
      <c r="F86" s="688"/>
      <c r="G86" s="688"/>
      <c r="H86" s="688"/>
      <c r="I86" s="688"/>
      <c r="J86" s="688"/>
      <c r="K86" s="688"/>
      <c r="L86" s="437"/>
    </row>
    <row r="87" spans="1:12" ht="14.25">
      <c r="A87" s="437"/>
      <c r="B87" s="477"/>
      <c r="C87" s="477"/>
      <c r="D87" s="477"/>
      <c r="E87" s="477"/>
      <c r="F87" s="477"/>
      <c r="G87" s="477"/>
      <c r="H87" s="477"/>
      <c r="I87" s="477"/>
      <c r="J87" s="477"/>
      <c r="K87" s="477"/>
      <c r="L87" s="437"/>
    </row>
    <row r="88" spans="1:12" ht="14.25">
      <c r="A88" s="437"/>
      <c r="B88" s="688" t="s">
        <v>636</v>
      </c>
      <c r="C88" s="688"/>
      <c r="D88" s="688"/>
      <c r="E88" s="688"/>
      <c r="F88" s="688"/>
      <c r="G88" s="688"/>
      <c r="H88" s="688"/>
      <c r="I88" s="688"/>
      <c r="J88" s="688"/>
      <c r="K88" s="688"/>
      <c r="L88" s="437"/>
    </row>
    <row r="89" spans="1:12" ht="14.25">
      <c r="A89" s="437"/>
      <c r="B89" s="478"/>
      <c r="C89" s="478"/>
      <c r="D89" s="478"/>
      <c r="E89" s="478"/>
      <c r="F89" s="478"/>
      <c r="G89" s="478"/>
      <c r="H89" s="478"/>
      <c r="I89" s="478"/>
      <c r="J89" s="478"/>
      <c r="K89" s="478"/>
      <c r="L89" s="437"/>
    </row>
    <row r="90" spans="1:12" ht="45" customHeight="1">
      <c r="A90" s="437"/>
      <c r="B90" s="689" t="s">
        <v>637</v>
      </c>
      <c r="C90" s="689"/>
      <c r="D90" s="689"/>
      <c r="E90" s="689"/>
      <c r="F90" s="689"/>
      <c r="G90" s="689"/>
      <c r="H90" s="689"/>
      <c r="I90" s="689"/>
      <c r="J90" s="689"/>
      <c r="K90" s="689"/>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91">
        <v>133685008</v>
      </c>
      <c r="D94" s="691"/>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91">
        <v>50000</v>
      </c>
      <c r="D97" s="691"/>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91">
        <v>2500000</v>
      </c>
      <c r="D100" s="691"/>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3" t="s">
        <v>587</v>
      </c>
      <c r="C105" s="694"/>
      <c r="D105" s="694"/>
      <c r="E105" s="694"/>
      <c r="F105" s="694"/>
      <c r="G105" s="694"/>
      <c r="H105" s="694"/>
      <c r="I105" s="694"/>
      <c r="J105" s="694"/>
      <c r="K105" s="694"/>
      <c r="L105" s="437"/>
    </row>
    <row r="106" spans="1:12" ht="15" customHeight="1">
      <c r="A106" s="437"/>
      <c r="B106" s="695" t="s">
        <v>639</v>
      </c>
      <c r="C106" s="696"/>
      <c r="D106" s="696"/>
      <c r="E106" s="696"/>
      <c r="F106" s="696"/>
      <c r="G106" s="696"/>
      <c r="H106" s="696"/>
      <c r="I106" s="696"/>
      <c r="J106" s="696"/>
      <c r="K106" s="696"/>
      <c r="L106" s="437"/>
    </row>
    <row r="107" spans="1:12" ht="15" customHeight="1">
      <c r="A107" s="437"/>
      <c r="B107" s="483"/>
      <c r="C107" s="491"/>
      <c r="D107" s="491"/>
      <c r="E107" s="450"/>
      <c r="F107" s="460"/>
      <c r="G107" s="450"/>
      <c r="H107" s="450"/>
      <c r="I107" s="450"/>
      <c r="J107" s="472"/>
      <c r="K107" s="483"/>
      <c r="L107" s="437"/>
    </row>
    <row r="108" spans="1:12" ht="15" customHeight="1">
      <c r="A108" s="437"/>
      <c r="B108" s="695" t="s">
        <v>640</v>
      </c>
      <c r="C108" s="697"/>
      <c r="D108" s="697"/>
      <c r="E108" s="697"/>
      <c r="F108" s="697"/>
      <c r="G108" s="697"/>
      <c r="H108" s="697"/>
      <c r="I108" s="697"/>
      <c r="J108" s="697"/>
      <c r="K108" s="697"/>
      <c r="L108" s="437"/>
    </row>
    <row r="109" spans="1:12" ht="15" customHeight="1">
      <c r="A109" s="437"/>
      <c r="B109" s="483"/>
      <c r="C109" s="491"/>
      <c r="D109" s="491"/>
      <c r="E109" s="450"/>
      <c r="F109" s="460"/>
      <c r="G109" s="450"/>
      <c r="H109" s="450"/>
      <c r="I109" s="450"/>
      <c r="J109" s="472"/>
      <c r="K109" s="483"/>
      <c r="L109" s="437"/>
    </row>
    <row r="110" spans="1:12" ht="59.25" customHeight="1">
      <c r="A110" s="437"/>
      <c r="B110" s="698" t="s">
        <v>641</v>
      </c>
      <c r="C110" s="699"/>
      <c r="D110" s="699"/>
      <c r="E110" s="699"/>
      <c r="F110" s="699"/>
      <c r="G110" s="699"/>
      <c r="H110" s="699"/>
      <c r="I110" s="699"/>
      <c r="J110" s="699"/>
      <c r="K110" s="699"/>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91">
        <v>133685008</v>
      </c>
      <c r="D114" s="691"/>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91">
        <v>50000</v>
      </c>
      <c r="D117" s="691"/>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91">
        <v>2500000</v>
      </c>
      <c r="D120" s="691"/>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3" t="s">
        <v>587</v>
      </c>
      <c r="C125" s="693"/>
      <c r="D125" s="693"/>
      <c r="E125" s="693"/>
      <c r="F125" s="693"/>
      <c r="G125" s="693"/>
      <c r="H125" s="693"/>
      <c r="I125" s="693"/>
      <c r="J125" s="693"/>
      <c r="K125" s="693"/>
      <c r="L125" s="492"/>
    </row>
    <row r="126" spans="1:12" ht="14.25">
      <c r="A126" s="437"/>
      <c r="B126" s="688" t="s">
        <v>642</v>
      </c>
      <c r="C126" s="688"/>
      <c r="D126" s="688"/>
      <c r="E126" s="688"/>
      <c r="F126" s="688"/>
      <c r="G126" s="688"/>
      <c r="H126" s="688"/>
      <c r="I126" s="688"/>
      <c r="J126" s="688"/>
      <c r="K126" s="688"/>
      <c r="L126" s="492"/>
    </row>
    <row r="127" spans="1:12" ht="14.25">
      <c r="A127" s="437"/>
      <c r="B127" s="441"/>
      <c r="C127" s="441"/>
      <c r="D127" s="441"/>
      <c r="E127" s="441"/>
      <c r="F127" s="441"/>
      <c r="G127" s="441"/>
      <c r="H127" s="441"/>
      <c r="I127" s="441"/>
      <c r="J127" s="441"/>
      <c r="K127" s="441"/>
      <c r="L127" s="492"/>
    </row>
    <row r="128" spans="1:12" ht="14.25">
      <c r="A128" s="437"/>
      <c r="B128" s="688" t="s">
        <v>643</v>
      </c>
      <c r="C128" s="688"/>
      <c r="D128" s="688"/>
      <c r="E128" s="688"/>
      <c r="F128" s="688"/>
      <c r="G128" s="688"/>
      <c r="H128" s="688"/>
      <c r="I128" s="688"/>
      <c r="J128" s="688"/>
      <c r="K128" s="688"/>
      <c r="L128" s="492"/>
    </row>
    <row r="129" spans="1:12" ht="14.25">
      <c r="A129" s="437"/>
      <c r="B129" s="478"/>
      <c r="C129" s="478"/>
      <c r="D129" s="478"/>
      <c r="E129" s="478"/>
      <c r="F129" s="478"/>
      <c r="G129" s="478"/>
      <c r="H129" s="478"/>
      <c r="I129" s="478"/>
      <c r="J129" s="478"/>
      <c r="K129" s="478"/>
      <c r="L129" s="492"/>
    </row>
    <row r="130" spans="1:12" ht="74.25" customHeight="1">
      <c r="A130" s="437"/>
      <c r="B130" s="689" t="s">
        <v>644</v>
      </c>
      <c r="C130" s="689"/>
      <c r="D130" s="689"/>
      <c r="E130" s="689"/>
      <c r="F130" s="689"/>
      <c r="G130" s="689"/>
      <c r="H130" s="689"/>
      <c r="I130" s="689"/>
      <c r="J130" s="689"/>
      <c r="K130" s="689"/>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0" t="s">
        <v>645</v>
      </c>
      <c r="D133" s="690"/>
      <c r="E133" s="449"/>
      <c r="F133" s="450" t="s">
        <v>646</v>
      </c>
      <c r="G133" s="449"/>
      <c r="H133" s="690" t="s">
        <v>631</v>
      </c>
      <c r="I133" s="690"/>
      <c r="J133" s="449"/>
      <c r="K133" s="452"/>
      <c r="L133" s="437"/>
    </row>
    <row r="134" spans="1:12" ht="14.25">
      <c r="A134" s="437"/>
      <c r="B134" s="458" t="s">
        <v>624</v>
      </c>
      <c r="C134" s="691">
        <v>100000</v>
      </c>
      <c r="D134" s="691"/>
      <c r="E134" s="450" t="s">
        <v>28</v>
      </c>
      <c r="F134" s="450">
        <v>0.115</v>
      </c>
      <c r="G134" s="450" t="s">
        <v>597</v>
      </c>
      <c r="H134" s="680">
        <f>C134*F134</f>
        <v>11500</v>
      </c>
      <c r="I134" s="680"/>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9" t="s">
        <v>631</v>
      </c>
      <c r="D136" s="679"/>
      <c r="E136" s="469"/>
      <c r="F136" s="470" t="s">
        <v>647</v>
      </c>
      <c r="G136" s="470"/>
      <c r="H136" s="469"/>
      <c r="I136" s="469"/>
      <c r="J136" s="469" t="s">
        <v>648</v>
      </c>
      <c r="K136" s="471"/>
      <c r="L136" s="437"/>
    </row>
    <row r="137" spans="1:12" ht="14.25">
      <c r="A137" s="437"/>
      <c r="B137" s="458" t="s">
        <v>627</v>
      </c>
      <c r="C137" s="680">
        <f>H134</f>
        <v>11500</v>
      </c>
      <c r="D137" s="680"/>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81" t="s">
        <v>651</v>
      </c>
      <c r="C144" s="682"/>
      <c r="D144" s="682"/>
      <c r="E144" s="682"/>
      <c r="F144" s="682"/>
      <c r="G144" s="682"/>
      <c r="H144" s="682"/>
      <c r="I144" s="682"/>
      <c r="J144" s="682"/>
      <c r="K144" s="683"/>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80" t="s">
        <v>652</v>
      </c>
      <c r="D147" s="680"/>
      <c r="E147" s="450"/>
      <c r="F147" s="510" t="s">
        <v>653</v>
      </c>
      <c r="G147" s="450"/>
      <c r="H147" s="450"/>
      <c r="I147" s="450"/>
      <c r="J147" s="684" t="s">
        <v>654</v>
      </c>
      <c r="K147" s="685"/>
      <c r="L147" s="437"/>
    </row>
    <row r="148" spans="1:12" ht="14.25">
      <c r="A148" s="437"/>
      <c r="B148" s="458"/>
      <c r="C148" s="686">
        <v>52.869</v>
      </c>
      <c r="D148" s="686"/>
      <c r="E148" s="450" t="s">
        <v>28</v>
      </c>
      <c r="F148" s="515">
        <v>133685008</v>
      </c>
      <c r="G148" s="516" t="s">
        <v>598</v>
      </c>
      <c r="H148" s="450">
        <v>1000</v>
      </c>
      <c r="I148" s="450" t="s">
        <v>597</v>
      </c>
      <c r="J148" s="680">
        <f>C148*(F148/1000)</f>
        <v>7067792.687952</v>
      </c>
      <c r="K148" s="68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4" sqref="B4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Basehor Comm. Library</v>
      </c>
      <c r="B1" s="62"/>
      <c r="C1" s="62"/>
      <c r="D1" s="62"/>
      <c r="E1" s="62">
        <f>inputPrYr!D6</f>
        <v>2012</v>
      </c>
    </row>
    <row r="2" spans="1:5" ht="15.75">
      <c r="A2" s="62" t="str">
        <f>inputPrYr!D4</f>
        <v>Leavenworth</v>
      </c>
      <c r="B2" s="62"/>
      <c r="C2" s="62"/>
      <c r="D2" s="62"/>
      <c r="E2" s="62"/>
    </row>
    <row r="3" spans="1:5" ht="15">
      <c r="A3" s="64"/>
      <c r="B3" s="64"/>
      <c r="C3" s="64"/>
      <c r="D3" s="64"/>
      <c r="E3" s="64"/>
    </row>
    <row r="4" spans="1:5" ht="15.75">
      <c r="A4" s="598" t="s">
        <v>201</v>
      </c>
      <c r="B4" s="599"/>
      <c r="C4" s="599"/>
      <c r="D4" s="599"/>
      <c r="E4" s="599"/>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100078781</v>
      </c>
    </row>
    <row r="8" spans="1:5" ht="15.75">
      <c r="A8" s="68" t="str">
        <f>CONCATENATE("New Improvements for ",inputPrYr!D6-1,"")</f>
        <v>New Improvements for 2011</v>
      </c>
      <c r="B8" s="69"/>
      <c r="C8" s="69"/>
      <c r="D8" s="69"/>
      <c r="E8" s="70">
        <v>456429</v>
      </c>
    </row>
    <row r="9" spans="1:5" ht="15.75">
      <c r="A9" s="68" t="str">
        <f>CONCATENATE("Personal Property excluding oil, gas, and mobile homes- ",inputPrYr!D6-1,"")</f>
        <v>Personal Property excluding oil, gas, and mobile homes- 2011</v>
      </c>
      <c r="B9" s="69"/>
      <c r="C9" s="69"/>
      <c r="D9" s="69"/>
      <c r="E9" s="70">
        <v>1735311</v>
      </c>
    </row>
    <row r="10" spans="1:5" ht="15.75">
      <c r="A10" s="68" t="str">
        <f>CONCATENATE("Property that has changed in use for ",inputPrYr!D6-1,"")</f>
        <v>Property that has changed in use for 2011</v>
      </c>
      <c r="B10" s="69"/>
      <c r="C10" s="69"/>
      <c r="D10" s="69"/>
      <c r="E10" s="70">
        <v>989711</v>
      </c>
    </row>
    <row r="11" spans="1:5" ht="15.75">
      <c r="A11" s="67" t="str">
        <f>CONCATENATE("Personal Property excluding oil, gas, and mobile homes- ",inputPrYr!D6-2,"")</f>
        <v>Personal Property excluding oil, gas, and mobile homes- 2010</v>
      </c>
      <c r="B11" s="42"/>
      <c r="C11" s="42"/>
      <c r="D11" s="42"/>
      <c r="E11" s="70">
        <v>2276898</v>
      </c>
    </row>
    <row r="12" spans="1:5" ht="15.75">
      <c r="A12" s="68" t="str">
        <f>CONCATENATE("Neighborhood Revitalization - ",E1,"")</f>
        <v>Neighborhood Revitalization - 2012</v>
      </c>
      <c r="B12" s="69"/>
      <c r="C12" s="69"/>
      <c r="D12" s="69"/>
      <c r="E12" s="70">
        <v>884806</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8" t="s">
        <v>26</v>
      </c>
      <c r="B15" s="603"/>
      <c r="C15" s="64"/>
      <c r="D15" s="75" t="s">
        <v>64</v>
      </c>
      <c r="E15" s="74"/>
    </row>
    <row r="16" spans="1:5" ht="15.75">
      <c r="A16" s="67" t="s">
        <v>10</v>
      </c>
      <c r="B16" s="42"/>
      <c r="C16" s="71"/>
      <c r="D16" s="76">
        <v>5.659</v>
      </c>
      <c r="E16" s="74"/>
    </row>
    <row r="17" spans="1:5" ht="15.75">
      <c r="A17" s="68" t="s">
        <v>282</v>
      </c>
      <c r="B17" s="69"/>
      <c r="C17" s="71"/>
      <c r="D17" s="77">
        <v>1.479</v>
      </c>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7.138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101300870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101545.13</v>
      </c>
    </row>
    <row r="28" spans="1:5" ht="15.75">
      <c r="A28" s="68" t="s">
        <v>15</v>
      </c>
      <c r="B28" s="69"/>
      <c r="C28" s="69"/>
      <c r="D28" s="86"/>
      <c r="E28" s="37">
        <v>1719.11</v>
      </c>
    </row>
    <row r="29" spans="1:5" ht="15.75">
      <c r="A29" s="68" t="s">
        <v>176</v>
      </c>
      <c r="B29" s="69"/>
      <c r="C29" s="69"/>
      <c r="D29" s="86"/>
      <c r="E29" s="37">
        <v>836.83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9" t="str">
        <f>CONCATENATE("From the ",E1-2," Budget Certificate Page")</f>
        <v>From the 2010 Budget Certificate Page</v>
      </c>
      <c r="B39" s="610"/>
      <c r="C39" s="64"/>
      <c r="D39" s="64"/>
      <c r="E39" s="64"/>
    </row>
    <row r="40" spans="1:5" ht="15.75">
      <c r="A40" s="93"/>
      <c r="B40" s="93" t="str">
        <f>CONCATENATE("",E1-2," Expenditure Amounts")</f>
        <v>2010 Expenditure Amounts</v>
      </c>
      <c r="C40" s="611" t="str">
        <f>CONCATENATE("Note: If the ",E1-2," budget was amended, then the")</f>
        <v>Note: If the 2010 budget was amended, then the</v>
      </c>
      <c r="D40" s="612"/>
      <c r="E40" s="612"/>
    </row>
    <row r="41" spans="1:5" ht="15.75">
      <c r="A41" s="94" t="s">
        <v>221</v>
      </c>
      <c r="B41" s="94" t="s">
        <v>222</v>
      </c>
      <c r="C41" s="95" t="s">
        <v>223</v>
      </c>
      <c r="D41" s="96"/>
      <c r="E41" s="96"/>
    </row>
    <row r="42" spans="1:5" ht="15.75">
      <c r="A42" s="97" t="str">
        <f>inputPrYr!B19</f>
        <v>General</v>
      </c>
      <c r="B42" s="58">
        <v>718739</v>
      </c>
      <c r="C42" s="95" t="s">
        <v>224</v>
      </c>
      <c r="D42" s="96"/>
      <c r="E42" s="96"/>
    </row>
    <row r="43" spans="1:5" ht="15.75">
      <c r="A43" s="97" t="str">
        <f>inputPrYr!B20</f>
        <v>Debt Service</v>
      </c>
      <c r="B43" s="58">
        <v>198941</v>
      </c>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I8" sqref="I8"/>
    </sheetView>
  </sheetViews>
  <sheetFormatPr defaultColWidth="8.796875" defaultRowHeight="15"/>
  <cols>
    <col min="1" max="1" width="13.796875" style="0" customWidth="1"/>
    <col min="2" max="2" width="16.09765625" style="0" customWidth="1"/>
  </cols>
  <sheetData>
    <row r="2" spans="1:6" ht="54" customHeight="1">
      <c r="A2" s="613" t="s">
        <v>330</v>
      </c>
      <c r="B2" s="614"/>
      <c r="C2" s="614"/>
      <c r="D2" s="614"/>
      <c r="E2" s="614"/>
      <c r="F2" s="614"/>
    </row>
    <row r="4" spans="1:6" ht="15.75">
      <c r="A4" s="366"/>
      <c r="B4" s="366"/>
      <c r="C4" s="366"/>
      <c r="D4" s="367"/>
      <c r="E4" s="366"/>
      <c r="F4" s="366"/>
    </row>
    <row r="5" spans="1:6" ht="15.75">
      <c r="A5" s="368" t="s">
        <v>331</v>
      </c>
      <c r="B5" s="369" t="s">
        <v>770</v>
      </c>
      <c r="C5" s="370"/>
      <c r="D5" s="368" t="s">
        <v>740</v>
      </c>
      <c r="E5" s="366"/>
      <c r="F5" s="366"/>
    </row>
    <row r="6" spans="1:6" ht="15.75">
      <c r="A6" s="368"/>
      <c r="B6" s="371"/>
      <c r="C6" s="372"/>
      <c r="D6" s="368" t="s">
        <v>739</v>
      </c>
      <c r="E6" s="366"/>
      <c r="F6" s="366"/>
    </row>
    <row r="7" spans="1:6" ht="15.75">
      <c r="A7" s="368" t="s">
        <v>332</v>
      </c>
      <c r="B7" s="369" t="s">
        <v>771</v>
      </c>
      <c r="C7" s="373"/>
      <c r="D7" s="368"/>
      <c r="E7" s="366"/>
      <c r="F7" s="366"/>
    </row>
    <row r="8" spans="1:6" ht="15.75">
      <c r="A8" s="368"/>
      <c r="B8" s="368"/>
      <c r="C8" s="368"/>
      <c r="D8" s="368"/>
      <c r="E8" s="366"/>
      <c r="F8" s="366"/>
    </row>
    <row r="9" spans="1:6" ht="15.75">
      <c r="A9" s="368" t="s">
        <v>333</v>
      </c>
      <c r="B9" s="374" t="s">
        <v>772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772</v>
      </c>
      <c r="C12" s="374"/>
      <c r="D12" s="374"/>
      <c r="E12" s="375"/>
      <c r="F12" s="366"/>
    </row>
    <row r="15" spans="1:6" ht="15.75">
      <c r="A15" s="615" t="s">
        <v>335</v>
      </c>
      <c r="B15" s="615"/>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4">
      <selection activeCell="L16" sqref="L16"/>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9" t="s">
        <v>82</v>
      </c>
      <c r="B2" s="619"/>
      <c r="C2" s="619"/>
      <c r="D2" s="619"/>
      <c r="E2" s="619"/>
      <c r="F2" s="619"/>
      <c r="G2" s="619"/>
    </row>
    <row r="3" spans="1:7" ht="15.75">
      <c r="A3" s="18"/>
      <c r="B3" s="18"/>
      <c r="C3" s="18"/>
      <c r="D3" s="18"/>
      <c r="E3" s="18"/>
      <c r="F3" s="18"/>
      <c r="G3" s="62">
        <f>inputPrYr!D6</f>
        <v>2012</v>
      </c>
    </row>
    <row r="4" spans="1:7" ht="15.75">
      <c r="A4" s="620" t="str">
        <f>CONCATENATE("To the Clerk of ",inputPrYr!D4,", State of Kansas")</f>
        <v>To the Clerk of Leavenworth, State of Kansas</v>
      </c>
      <c r="B4" s="620"/>
      <c r="C4" s="620"/>
      <c r="D4" s="620"/>
      <c r="E4" s="620"/>
      <c r="F4" s="620"/>
      <c r="G4" s="620"/>
    </row>
    <row r="5" spans="1:7" ht="15.75">
      <c r="A5" s="100" t="s">
        <v>159</v>
      </c>
      <c r="B5" s="26"/>
      <c r="C5" s="26"/>
      <c r="D5" s="26"/>
      <c r="E5" s="26"/>
      <c r="F5" s="26"/>
      <c r="G5" s="26"/>
    </row>
    <row r="6" spans="1:7" ht="15.75">
      <c r="A6" s="600" t="str">
        <f>inputPrYr!D3</f>
        <v>Basehor Comm. Library</v>
      </c>
      <c r="B6" s="600"/>
      <c r="C6" s="600"/>
      <c r="D6" s="600"/>
      <c r="E6" s="600"/>
      <c r="F6" s="600"/>
      <c r="G6" s="60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21" t="str">
        <f>CONCATENATE("",G3," Adopted Budget")</f>
        <v>2012 Adopted Budget</v>
      </c>
      <c r="F13" s="622"/>
      <c r="G13" s="623"/>
    </row>
    <row r="14" spans="1:8" ht="15.75">
      <c r="A14" s="17"/>
      <c r="B14" s="18"/>
      <c r="C14" s="18"/>
      <c r="D14" s="42"/>
      <c r="E14" s="104" t="s">
        <v>18</v>
      </c>
      <c r="F14" s="105"/>
      <c r="G14" s="106" t="s">
        <v>19</v>
      </c>
      <c r="H14" s="107"/>
    </row>
    <row r="15" spans="1:7" ht="15.75">
      <c r="A15" s="18"/>
      <c r="B15" s="18"/>
      <c r="C15" s="18"/>
      <c r="D15" s="105" t="s">
        <v>20</v>
      </c>
      <c r="E15" s="108" t="s">
        <v>222</v>
      </c>
      <c r="F15" s="624" t="str">
        <f>CONCATENATE("Amount of ",G3-1," Ad Valorem Tax")</f>
        <v>Amount of 2011 Ad Valorem Tax</v>
      </c>
      <c r="G15" s="106" t="s">
        <v>21</v>
      </c>
    </row>
    <row r="16" spans="1:7" ht="15.75">
      <c r="A16" s="17" t="s">
        <v>22</v>
      </c>
      <c r="B16" s="18"/>
      <c r="C16" s="18"/>
      <c r="D16" s="108" t="s">
        <v>23</v>
      </c>
      <c r="E16" s="108" t="s">
        <v>580</v>
      </c>
      <c r="F16" s="624"/>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19-3612</v>
      </c>
      <c r="D23" s="123">
        <v>6</v>
      </c>
      <c r="E23" s="124">
        <f>IF(gen!$E$50&lt;&gt;0,gen!$E$50,"  ")</f>
        <v>683100</v>
      </c>
      <c r="F23" s="124">
        <f>IF(gen!$E$57&lt;&gt;0,gen!$E$57,"  ")</f>
        <v>564044.24</v>
      </c>
      <c r="G23" s="125" t="str">
        <f>IF(AND(gen!E57=0,$G$32&gt;=0)," ",IF(AND(F23&gt;0,$G$32=0)," ",IF(AND(F23&gt;0,$G$32&gt;0),ROUND(F23/$G$32*1000,3))))</f>
        <v> </v>
      </c>
    </row>
    <row r="24" spans="1:7" ht="15.75">
      <c r="A24" s="122" t="s">
        <v>282</v>
      </c>
      <c r="B24" s="119"/>
      <c r="C24" s="114" t="s">
        <v>160</v>
      </c>
      <c r="D24" s="123">
        <f>IF(DebtService!C63&gt;0,DebtService!C63," ")</f>
        <v>7</v>
      </c>
      <c r="E24" s="47">
        <f>IF(DebtService!$E$54&lt;&gt;0,DebtService!$E$54,"  ")</f>
        <v>207667.19</v>
      </c>
      <c r="F24" s="47">
        <f>IF(DebtService!$E$61&lt;&gt;0,DebtService!$E$61,"  ")</f>
        <v>150352.56999999998</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8</v>
      </c>
      <c r="E29" s="131"/>
      <c r="F29" s="132"/>
      <c r="G29" s="133"/>
    </row>
    <row r="30" spans="1:7" ht="15.75">
      <c r="A30" s="134" t="s">
        <v>137</v>
      </c>
      <c r="B30" s="69"/>
      <c r="C30" s="119"/>
      <c r="D30" s="135" t="s">
        <v>28</v>
      </c>
      <c r="E30" s="414">
        <f>SUM(E23:E28)</f>
        <v>890767.19</v>
      </c>
      <c r="F30" s="415">
        <f>SUM(F23:F28)</f>
        <v>714396.8099999999</v>
      </c>
      <c r="G30" s="419">
        <f>IF(SUM(G23:G28)=0,"",SUM(G23:G28))</f>
      </c>
    </row>
    <row r="31" spans="1:7" ht="15.75">
      <c r="A31" s="122" t="s">
        <v>210</v>
      </c>
      <c r="B31" s="69"/>
      <c r="C31" s="119"/>
      <c r="D31" s="138">
        <f>summ!E41</f>
        <v>9</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5" t="str">
        <f>CONCATENATE("Nov. 1, ",G3," Total Assessed Valuation")</f>
        <v>Nov. 1, 2012 Total Assessed Valuation</v>
      </c>
    </row>
    <row r="34" spans="1:7" ht="15.75">
      <c r="A34" s="21"/>
      <c r="B34" s="71"/>
      <c r="C34" s="18"/>
      <c r="D34" s="144"/>
      <c r="E34" s="62"/>
      <c r="F34" s="71"/>
      <c r="G34" s="626"/>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7"/>
      <c r="B49" s="628"/>
      <c r="C49" s="18"/>
      <c r="D49" s="42"/>
      <c r="E49" s="42"/>
      <c r="F49" s="42"/>
      <c r="G49" s="42"/>
    </row>
    <row r="50" spans="1:7" ht="15.75">
      <c r="A50" s="26" t="s">
        <v>30</v>
      </c>
      <c r="B50" s="26"/>
      <c r="C50" s="18"/>
      <c r="D50" s="629" t="s">
        <v>29</v>
      </c>
      <c r="E50" s="630"/>
      <c r="F50" s="630"/>
      <c r="G50" s="630"/>
    </row>
    <row r="51" spans="1:7" ht="15.75">
      <c r="A51" s="616"/>
      <c r="B51" s="616"/>
      <c r="C51" s="616"/>
      <c r="D51" s="616"/>
      <c r="E51" s="616"/>
      <c r="F51" s="616"/>
      <c r="G51" s="616"/>
    </row>
    <row r="52" spans="1:7" ht="15.75">
      <c r="A52" s="617"/>
      <c r="B52" s="617"/>
      <c r="C52" s="617"/>
      <c r="D52" s="617"/>
      <c r="E52" s="617"/>
      <c r="F52" s="617"/>
      <c r="G52" s="617"/>
    </row>
    <row r="53" spans="1:7" ht="15.75">
      <c r="A53" s="16"/>
      <c r="B53" s="16"/>
      <c r="C53" s="16"/>
      <c r="D53" s="16"/>
      <c r="E53" s="16"/>
      <c r="F53" s="16"/>
      <c r="G53" s="618"/>
    </row>
    <row r="54" spans="1:7" ht="15.75">
      <c r="A54" s="16"/>
      <c r="B54" s="16"/>
      <c r="C54" s="16"/>
      <c r="D54" s="16"/>
      <c r="E54" s="16"/>
      <c r="F54" s="16"/>
      <c r="G54" s="618"/>
    </row>
    <row r="55" spans="1:7" ht="15.75">
      <c r="A55" s="16"/>
      <c r="B55" s="16"/>
      <c r="C55" s="16"/>
      <c r="D55" s="16"/>
      <c r="E55" s="16"/>
      <c r="F55" s="16"/>
      <c r="G55" s="618"/>
    </row>
    <row r="56" spans="1:7" ht="15.75">
      <c r="A56" s="16"/>
      <c r="B56" s="16"/>
      <c r="C56" s="16"/>
      <c r="D56" s="16"/>
      <c r="E56" s="16"/>
      <c r="F56" s="16"/>
      <c r="G56" s="618"/>
    </row>
    <row r="57" spans="1:7" ht="15.75">
      <c r="A57" s="16"/>
      <c r="B57" s="16"/>
      <c r="C57" s="16"/>
      <c r="D57" s="152"/>
      <c r="E57" s="16"/>
      <c r="F57" s="16"/>
      <c r="G57" s="618"/>
    </row>
    <row r="58" ht="15.75">
      <c r="G58" s="618"/>
    </row>
    <row r="59" ht="15.75">
      <c r="G59" s="618"/>
    </row>
    <row r="60" ht="15.75">
      <c r="G60" s="618"/>
    </row>
    <row r="61" ht="15.75">
      <c r="G61" s="618"/>
    </row>
    <row r="62" ht="15.75">
      <c r="G62" s="618"/>
    </row>
    <row r="63" ht="15.75">
      <c r="G63" s="618"/>
    </row>
    <row r="64" ht="15.75">
      <c r="G64" s="618"/>
    </row>
    <row r="65" ht="15.75">
      <c r="G65" s="618"/>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Basehor Comm. Library</v>
      </c>
      <c r="D1" s="18"/>
      <c r="E1" s="18"/>
      <c r="F1" s="18"/>
      <c r="G1" s="18"/>
      <c r="H1" s="18"/>
      <c r="I1" s="18"/>
      <c r="J1" s="18">
        <f>inputPrYr!D6</f>
        <v>2012</v>
      </c>
    </row>
    <row r="2" spans="1:10" ht="15.75" customHeight="1">
      <c r="A2" s="18"/>
      <c r="B2" s="18"/>
      <c r="C2" s="18" t="str">
        <f>inputPrYr!D4</f>
        <v>Leavenworth</v>
      </c>
      <c r="D2" s="18"/>
      <c r="E2" s="18"/>
      <c r="F2" s="18"/>
      <c r="G2" s="18"/>
      <c r="H2" s="18"/>
      <c r="I2" s="18"/>
      <c r="J2" s="18"/>
    </row>
    <row r="3" spans="1:10" ht="15.75">
      <c r="A3" s="602" t="str">
        <f>CONCATENATE("Computation to Determine Limit for ",J1,"")</f>
        <v>Computation to Determine Limit for 2012</v>
      </c>
      <c r="B3" s="619"/>
      <c r="C3" s="619"/>
      <c r="D3" s="619"/>
      <c r="E3" s="619"/>
      <c r="F3" s="619"/>
      <c r="G3" s="619"/>
      <c r="H3" s="619"/>
      <c r="I3" s="619"/>
      <c r="J3" s="619"/>
    </row>
    <row r="4" spans="1:10" ht="15.75">
      <c r="A4" s="18"/>
      <c r="B4" s="18"/>
      <c r="C4" s="18"/>
      <c r="D4" s="18"/>
      <c r="E4" s="619"/>
      <c r="F4" s="619"/>
      <c r="G4" s="619"/>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723114</v>
      </c>
    </row>
    <row r="6" spans="1:10" ht="15.75">
      <c r="A6" s="155" t="s">
        <v>97</v>
      </c>
      <c r="B6" s="18" t="str">
        <f>CONCATENATE("Debt Service Levy in ",J1-1," Budget")</f>
        <v>Debt Service Levy in 2011 Budget</v>
      </c>
      <c r="C6" s="18"/>
      <c r="D6" s="18"/>
      <c r="E6" s="39"/>
      <c r="F6" s="39"/>
      <c r="G6" s="39"/>
      <c r="H6" s="156" t="s">
        <v>98</v>
      </c>
      <c r="I6" s="39" t="s">
        <v>96</v>
      </c>
      <c r="J6" s="157">
        <f>inputPrYr!E20</f>
        <v>149796</v>
      </c>
    </row>
    <row r="7" spans="1:10" ht="15.75">
      <c r="A7" s="155" t="s">
        <v>122</v>
      </c>
      <c r="B7" s="27" t="s">
        <v>116</v>
      </c>
      <c r="C7" s="18"/>
      <c r="D7" s="18"/>
      <c r="E7" s="39"/>
      <c r="F7" s="39"/>
      <c r="G7" s="39"/>
      <c r="H7" s="39"/>
      <c r="I7" s="39" t="s">
        <v>96</v>
      </c>
      <c r="J7" s="43">
        <f>J5-J6</f>
        <v>573318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456429</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1735311</v>
      </c>
      <c r="F14" s="156"/>
      <c r="G14" s="39"/>
      <c r="H14" s="39"/>
      <c r="I14" s="159"/>
      <c r="J14" s="39"/>
    </row>
    <row r="15" spans="1:10" ht="15.75">
      <c r="A15" s="155"/>
      <c r="B15" s="18" t="s">
        <v>102</v>
      </c>
      <c r="C15" s="18" t="str">
        <f>CONCATENATE("Personal Property ",J1-2,"")</f>
        <v>Personal Property 2010</v>
      </c>
      <c r="D15" s="155" t="s">
        <v>98</v>
      </c>
      <c r="E15" s="43">
        <f>inputOth!E11</f>
        <v>2276898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989711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1446140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100078781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98632641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0.01466188054317637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8406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581724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150352.56999999998</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732076.57</v>
      </c>
    </row>
    <row r="35" spans="1:10" ht="16.5" thickTop="1">
      <c r="A35" s="18"/>
      <c r="B35" s="18"/>
      <c r="C35" s="18"/>
      <c r="D35" s="18"/>
      <c r="E35" s="18"/>
      <c r="F35" s="18"/>
      <c r="G35" s="18"/>
      <c r="H35" s="18"/>
      <c r="I35" s="18"/>
      <c r="J35" s="18"/>
    </row>
    <row r="36" spans="1:10" ht="15.75">
      <c r="A36" s="631" t="str">
        <f>CONCATENATE("If the ",J1," budget includes tax levies exceeding the total on line 14, you must")</f>
        <v>If the 2012 budget includes tax levies exceeding the total on line 14, you must</v>
      </c>
      <c r="B36" s="631"/>
      <c r="C36" s="631"/>
      <c r="D36" s="631"/>
      <c r="E36" s="631"/>
      <c r="F36" s="631"/>
      <c r="G36" s="631"/>
      <c r="H36" s="631"/>
      <c r="I36" s="631"/>
      <c r="J36" s="631"/>
    </row>
    <row r="37" spans="1:10" ht="15.75">
      <c r="A37" s="631" t="s">
        <v>123</v>
      </c>
      <c r="B37" s="631"/>
      <c r="C37" s="631"/>
      <c r="D37" s="631"/>
      <c r="E37" s="631"/>
      <c r="F37" s="631"/>
      <c r="G37" s="631"/>
      <c r="H37" s="631"/>
      <c r="I37" s="631"/>
      <c r="J37" s="63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Basehor Comm. Library</v>
      </c>
      <c r="C1" s="18"/>
      <c r="D1" s="18"/>
      <c r="E1" s="18"/>
      <c r="F1" s="18"/>
      <c r="G1" s="18"/>
      <c r="H1" s="18"/>
      <c r="I1" s="165"/>
      <c r="J1" s="18"/>
    </row>
    <row r="2" spans="1:10" ht="15.75">
      <c r="A2" s="18"/>
      <c r="B2" s="18" t="str">
        <f>inputPrYr!D4</f>
        <v>Leavenworth</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2" t="s">
        <v>239</v>
      </c>
      <c r="C6" s="632"/>
      <c r="D6" s="632"/>
      <c r="E6" s="632"/>
      <c r="F6" s="63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5" t="str">
        <f>CONCATENATE("",J2-1,"                    Budgeted Funds")</f>
        <v>2011                    Budgeted Funds</v>
      </c>
      <c r="C9" s="633" t="str">
        <f>CONCATENATE("Tax Levy Amount in ",J2-2," Budget")</f>
        <v>Tax Levy Amount in 2010 Budget</v>
      </c>
      <c r="D9" s="621" t="str">
        <f>CONCATENATE("Allocation for Year ",J2,"")</f>
        <v>Allocation for Year 2012</v>
      </c>
      <c r="E9" s="636"/>
      <c r="F9" s="636"/>
      <c r="G9" s="623"/>
      <c r="H9" s="18"/>
      <c r="I9" s="18"/>
      <c r="J9" s="18"/>
    </row>
    <row r="10" spans="1:10" ht="15.75">
      <c r="A10" s="18"/>
      <c r="B10" s="634"/>
      <c r="C10" s="634"/>
      <c r="D10" s="117" t="s">
        <v>45</v>
      </c>
      <c r="E10" s="117" t="s">
        <v>46</v>
      </c>
      <c r="F10" s="117" t="s">
        <v>90</v>
      </c>
      <c r="G10" s="114" t="s">
        <v>164</v>
      </c>
      <c r="H10" s="18"/>
      <c r="I10" s="18"/>
      <c r="J10" s="18"/>
    </row>
    <row r="11" spans="1:10" ht="15.75">
      <c r="A11" s="18"/>
      <c r="B11" s="38" t="str">
        <f>inputPrYr!B19</f>
        <v>General</v>
      </c>
      <c r="C11" s="128">
        <f>inputPrYr!E19</f>
        <v>573318</v>
      </c>
      <c r="D11" s="128">
        <f>IF(E17=0,0,E17-D12-D13-D14)</f>
        <v>80510.13</v>
      </c>
      <c r="E11" s="128">
        <f>IF(E19=0,0,E19-E12-E13-E14)</f>
        <v>1363.11</v>
      </c>
      <c r="F11" s="128">
        <f>IF(E21=0,0,E21-F12-F13-F14)</f>
        <v>663.83</v>
      </c>
      <c r="G11" s="128">
        <f>IF(E23=0,0,E23-G12-G13-G14)</f>
        <v>0</v>
      </c>
      <c r="H11" s="18"/>
      <c r="I11" s="18"/>
      <c r="J11" s="18"/>
    </row>
    <row r="12" spans="1:10" ht="15.75">
      <c r="A12" s="18"/>
      <c r="B12" s="38" t="str">
        <f>inputPrYr!B20</f>
        <v>Debt Service</v>
      </c>
      <c r="C12" s="128">
        <f>inputPrYr!E20</f>
        <v>149796</v>
      </c>
      <c r="D12" s="128">
        <f>IF($E$17=0,0,ROUND(C12*$C$25,0))</f>
        <v>21035</v>
      </c>
      <c r="E12" s="128">
        <f>IF($E$19=0,0,ROUND(C12*$D$27,0))</f>
        <v>356</v>
      </c>
      <c r="F12" s="128">
        <f>IF($E21=0,0,ROUND(C12*$E$29,0))</f>
        <v>173</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723114</v>
      </c>
      <c r="D15" s="137">
        <f>SUM(D11:D14)</f>
        <v>101545.13</v>
      </c>
      <c r="E15" s="137">
        <f>SUM(E11:E14)</f>
        <v>1719.11</v>
      </c>
      <c r="F15" s="137">
        <f>SUM(F11:F14)</f>
        <v>836.83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101545.13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1719.11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836.83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0.14042755360842135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0.0023773706497177485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0.001157258744817553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jdickson</cp:lastModifiedBy>
  <cp:lastPrinted>2011-02-09T20:37:43Z</cp:lastPrinted>
  <dcterms:created xsi:type="dcterms:W3CDTF">1999-08-06T13:59:57Z</dcterms:created>
  <dcterms:modified xsi:type="dcterms:W3CDTF">2011-12-20T21:35:08Z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