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75" windowHeight="5895" activeTab="4"/>
  </bookViews>
  <sheets>
    <sheet name="instruction" sheetId="1" r:id="rId1"/>
    <sheet name="input" sheetId="2" r:id="rId2"/>
    <sheet name="cert2" sheetId="3" r:id="rId3"/>
    <sheet name="cert3" sheetId="4" r:id="rId4"/>
    <sheet name="Adrian" sheetId="5" r:id="rId5"/>
    <sheet name="ADComp1" sheetId="6" r:id="rId6"/>
    <sheet name="Ad Equip" sheetId="7" r:id="rId7"/>
    <sheet name="Brick" sheetId="8" r:id="rId8"/>
    <sheet name="BRComp2" sheetId="9" r:id="rId9"/>
    <sheet name="Buck's Grove" sheetId="10" r:id="rId10"/>
    <sheet name="Comp3" sheetId="11" r:id="rId11"/>
    <sheet name="Circleville" sheetId="12" r:id="rId12"/>
    <sheet name="Comp4" sheetId="13" r:id="rId13"/>
    <sheet name="Cir Equip" sheetId="14" r:id="rId14"/>
    <sheet name="Delia" sheetId="15" r:id="rId15"/>
    <sheet name="Comp5" sheetId="16" r:id="rId16"/>
    <sheet name="Delia Cap Impr" sheetId="17" r:id="rId17"/>
    <sheet name="Denison" sheetId="18" r:id="rId18"/>
    <sheet name="Denison Mem Cap Imp" sheetId="19" r:id="rId19"/>
    <sheet name="Comp6" sheetId="20" r:id="rId20"/>
    <sheet name="Holton" sheetId="21" r:id="rId21"/>
    <sheet name="Holton Cem Perp" sheetId="22" r:id="rId22"/>
    <sheet name="Comp7" sheetId="23" r:id="rId23"/>
    <sheet name="Hoyt" sheetId="24" r:id="rId24"/>
    <sheet name="Comp8" sheetId="25" r:id="rId25"/>
    <sheet name="Hoyt C Equip" sheetId="26" r:id="rId26"/>
    <sheet name="Mayetta" sheetId="27" r:id="rId27"/>
    <sheet name="Comp9" sheetId="28" r:id="rId28"/>
    <sheet name="May Equip Res" sheetId="29" r:id="rId29"/>
    <sheet name="Netawaka" sheetId="30" r:id="rId30"/>
    <sheet name="Comp10" sheetId="31" r:id="rId31"/>
    <sheet name="NetEquip" sheetId="32" r:id="rId32"/>
    <sheet name="Olive Hill" sheetId="33" r:id="rId33"/>
    <sheet name="Comp11" sheetId="34" r:id="rId34"/>
    <sheet name="Soldier" sheetId="35" r:id="rId35"/>
    <sheet name="Comp12" sheetId="36" r:id="rId36"/>
    <sheet name="South Cedar" sheetId="37" r:id="rId37"/>
    <sheet name="Comp13" sheetId="38" r:id="rId38"/>
    <sheet name="Springhill" sheetId="39" r:id="rId39"/>
    <sheet name="Spring Cap Imp" sheetId="40" r:id="rId40"/>
    <sheet name="Comp14" sheetId="41" r:id="rId41"/>
    <sheet name="St Mud Crk" sheetId="42" r:id="rId42"/>
    <sheet name="Comp15" sheetId="43" r:id="rId43"/>
    <sheet name="Mayetta Fire #1" sheetId="44" r:id="rId44"/>
    <sheet name="#1comp" sheetId="45" r:id="rId45"/>
    <sheet name="SoldierFire #2" sheetId="46" r:id="rId46"/>
    <sheet name="#2Comp" sheetId="47" r:id="rId47"/>
    <sheet name="SoldierMayetta Fire Equip" sheetId="48" r:id="rId48"/>
    <sheet name="Douglas #3" sheetId="49" r:id="rId49"/>
    <sheet name="Comp18" sheetId="50" r:id="rId50"/>
    <sheet name="#3 1st Resp" sheetId="51" r:id="rId51"/>
    <sheet name="Comp19" sheetId="52" r:id="rId52"/>
    <sheet name="#3 Equip" sheetId="53" r:id="rId53"/>
    <sheet name="Holton #4" sheetId="54" r:id="rId54"/>
    <sheet name="#4 comp" sheetId="55" r:id="rId55"/>
    <sheet name="#4 &amp; #5 Equip" sheetId="56" r:id="rId56"/>
    <sheet name="Delia #5" sheetId="57" r:id="rId57"/>
    <sheet name="#5 Comp" sheetId="58" r:id="rId58"/>
    <sheet name="Net Fire #6" sheetId="59" r:id="rId59"/>
    <sheet name="#6 Comp" sheetId="60" r:id="rId60"/>
    <sheet name="#6 &amp; #7 Equip" sheetId="61" r:id="rId61"/>
    <sheet name="Whiting #7" sheetId="62" r:id="rId62"/>
    <sheet name="#7 Comp" sheetId="63" r:id="rId63"/>
    <sheet name="Sheet24" sheetId="64" state="hidden" r:id="rId64"/>
    <sheet name="Comp24" sheetId="65" state="hidden" r:id="rId65"/>
    <sheet name="Sheet25" sheetId="66" state="hidden" r:id="rId66"/>
    <sheet name="Comp25" sheetId="67" state="hidden" r:id="rId67"/>
    <sheet name="Sheet26" sheetId="68" state="hidden" r:id="rId68"/>
    <sheet name="Comp26" sheetId="69" state="hidden" r:id="rId69"/>
    <sheet name="Sheet27" sheetId="70" state="hidden" r:id="rId70"/>
    <sheet name="Comp27" sheetId="71" state="hidden" r:id="rId71"/>
    <sheet name="Sheet28" sheetId="72" state="hidden" r:id="rId72"/>
    <sheet name="Comp28" sheetId="73" state="hidden" r:id="rId73"/>
    <sheet name="Sheet29" sheetId="74" state="hidden" r:id="rId74"/>
    <sheet name="Comp29" sheetId="75" state="hidden" r:id="rId75"/>
    <sheet name="sum2" sheetId="76" r:id="rId76"/>
    <sheet name="sum3" sheetId="77" state="hidden" r:id="rId77"/>
    <sheet name="addtl tax levy" sheetId="78" state="hidden" r:id="rId78"/>
    <sheet name="No Tx Levy" sheetId="79" r:id="rId79"/>
    <sheet name="resolution" sheetId="80" r:id="rId80"/>
    <sheet name="legend" sheetId="81" r:id="rId81"/>
  </sheets>
  <definedNames>
    <definedName name="_xlnm.Print_Area" localSheetId="46">'#2Comp'!$A$1:$J$41</definedName>
    <definedName name="_xlnm.Print_Area" localSheetId="14">'Delia'!$A$1:$F$69</definedName>
    <definedName name="_xlnm.Print_Area" localSheetId="17">'Denison'!$A$1:$O$64</definedName>
    <definedName name="_xlnm.Print_Area" localSheetId="34">'Soldier'!$A$1:$F$64</definedName>
    <definedName name="_xlnm.Print_Area" localSheetId="45">'SoldierFire #2'!$A$1:$F$69</definedName>
    <definedName name="_xlnm.Print_Area" localSheetId="47">'SoldierMayetta Fire Equip'!$A$1:$D$37</definedName>
    <definedName name="_xlnm.Print_Area" localSheetId="75">'sum2'!$A$1:$I$42</definedName>
    <definedName name="_xlnm.Print_Area" localSheetId="61">'Whiting #7'!$A$1:$F$69</definedName>
  </definedNames>
  <calcPr fullCalcOnLoad="1"/>
</workbook>
</file>

<file path=xl/comments30.xml><?xml version="1.0" encoding="utf-8"?>
<comments xmlns="http://schemas.openxmlformats.org/spreadsheetml/2006/main">
  <authors>
    <author>Kathy Mick</author>
  </authors>
  <commentList>
    <comment ref="D35" authorId="0">
      <text>
        <r>
          <rPr>
            <b/>
            <sz val="8"/>
            <rFont val="Tahoma"/>
            <family val="2"/>
          </rPr>
          <t>Overspent original budget by $823.00.  Add on $950 reimb.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Kathy Mick</author>
  </authors>
  <commentList>
    <comment ref="B11" authorId="0">
      <text>
        <r>
          <rPr>
            <b/>
            <sz val="8"/>
            <rFont val="Tahoma"/>
            <family val="2"/>
          </rPr>
          <t>3,109.33 transfer not needed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Kathy Mick</author>
  </authors>
  <commentList>
    <comment ref="E41" authorId="0">
      <text>
        <r>
          <rPr>
            <b/>
            <sz val="8"/>
            <rFont val="Tahoma"/>
            <family val="2"/>
          </rPr>
          <t>Kathy Mick:</t>
        </r>
        <r>
          <rPr>
            <sz val="8"/>
            <rFont val="Tahoma"/>
            <family val="2"/>
          </rPr>
          <t xml:space="preserve">
2009  56,827
2010  56,827
Total 113,654</t>
        </r>
      </text>
    </comment>
  </commentList>
</comments>
</file>

<file path=xl/comments56.xml><?xml version="1.0" encoding="utf-8"?>
<comments xmlns="http://schemas.openxmlformats.org/spreadsheetml/2006/main">
  <authors>
    <author>Kathy Mick</author>
  </authors>
  <commentList>
    <comment ref="C57" authorId="0">
      <text>
        <r>
          <rPr>
            <sz val="8"/>
            <rFont val="Tahoma"/>
            <family val="2"/>
          </rPr>
          <t>Bank Balance
Reserve Account
160……
12/31/2010
$26,878.83</t>
        </r>
      </text>
    </comment>
    <comment ref="B57" authorId="0">
      <text>
        <r>
          <rPr>
            <sz val="8"/>
            <rFont val="Tahoma"/>
            <family val="2"/>
          </rPr>
          <t>Bank Balance
Reserve Account
160…….
1/1/2010
$18,689.31</t>
        </r>
      </text>
    </comment>
    <comment ref="B59" authorId="0">
      <text>
        <r>
          <rPr>
            <b/>
            <sz val="8"/>
            <rFont val="Tahoma"/>
            <family val="2"/>
          </rPr>
          <t>$8,096.08
2/9/2010</t>
        </r>
      </text>
    </comment>
  </commentList>
</comments>
</file>

<file path=xl/comments57.xml><?xml version="1.0" encoding="utf-8"?>
<comments xmlns="http://schemas.openxmlformats.org/spreadsheetml/2006/main">
  <authors>
    <author>Kathy Mick</author>
  </authors>
  <commentList>
    <comment ref="E9" authorId="0">
      <text>
        <r>
          <rPr>
            <b/>
            <sz val="8"/>
            <rFont val="Tahoma"/>
            <family val="2"/>
          </rPr>
          <t>Checking Acct
110……
12/31/2010
$4083.21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Kathy Mick</author>
  </authors>
  <commentList>
    <comment ref="E21" authorId="0">
      <text>
        <r>
          <rPr>
            <sz val="8"/>
            <rFont val="Tahoma"/>
            <family val="2"/>
          </rPr>
          <t xml:space="preserve">$6,000 for brush truck and $2,032 for radios.
</t>
        </r>
      </text>
    </comment>
  </commentList>
</comments>
</file>

<file path=xl/comments62.xml><?xml version="1.0" encoding="utf-8"?>
<comments xmlns="http://schemas.openxmlformats.org/spreadsheetml/2006/main">
  <authors>
    <author>Kathy Mick</author>
  </authors>
  <commentList>
    <comment ref="E9" authorId="0">
      <text>
        <r>
          <rPr>
            <b/>
            <sz val="8"/>
            <rFont val="Tahoma"/>
            <family val="2"/>
          </rPr>
          <t>$1,338.93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<sst xmlns="http://schemas.openxmlformats.org/spreadsheetml/2006/main" count="3839" uniqueCount="472">
  <si>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</si>
  <si>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</si>
  <si>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</si>
  <si>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</si>
  <si>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</si>
  <si>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</si>
  <si>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</si>
  <si>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</si>
  <si>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</si>
  <si>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</si>
  <si>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</si>
  <si>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</si>
  <si>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</si>
  <si>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</si>
  <si>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</si>
  <si>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</si>
  <si>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</si>
  <si>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</si>
  <si>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</si>
  <si>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</si>
  <si>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</si>
  <si>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</si>
  <si>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</si>
  <si>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</si>
  <si>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</si>
  <si>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</si>
  <si>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</si>
  <si>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</si>
  <si>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</si>
  <si>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</si>
  <si>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</si>
  <si>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</si>
  <si>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</si>
  <si>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</si>
  <si>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</si>
  <si>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</si>
  <si>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</si>
  <si>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</si>
  <si>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</si>
  <si>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</si>
  <si>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</si>
  <si>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</si>
  <si>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</si>
  <si>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</si>
  <si>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</si>
  <si>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</si>
  <si>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</si>
  <si>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</si>
  <si>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</si>
  <si>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</si>
  <si>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</si>
  <si>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</si>
  <si>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</si>
  <si>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</si>
  <si>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</si>
  <si>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</si>
  <si>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</si>
  <si>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</si>
  <si>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</si>
  <si>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</si>
  <si>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</si>
  <si>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</si>
  <si>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</si>
  <si>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</si>
  <si>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</si>
  <si>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</si>
  <si>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</si>
  <si>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</si>
  <si>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</si>
  <si>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</si>
  <si>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</si>
  <si>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</si>
  <si>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</si>
  <si>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</si>
  <si>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</si>
  <si>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</si>
  <si>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</si>
  <si>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</si>
  <si>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</si>
  <si>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</si>
  <si>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</si>
  <si>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</si>
  <si>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</si>
  <si>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</si>
  <si>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</si>
  <si>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</si>
  <si>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</si>
  <si>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</si>
  <si>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</si>
  <si>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</si>
  <si>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</si>
  <si>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</si>
  <si>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</si>
  <si>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</si>
  <si>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</si>
  <si>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</si>
  <si>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</si>
  <si>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</si>
  <si>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</si>
  <si>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</si>
  <si>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</si>
  <si>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</si>
  <si>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</si>
  <si>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</si>
  <si>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</si>
  <si>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</si>
  <si>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</si>
  <si>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</si>
  <si>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</si>
  <si>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</si>
  <si>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</si>
  <si>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</si>
  <si>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</si>
  <si>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</si>
  <si>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</si>
  <si>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</si>
  <si>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</si>
  <si>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</si>
  <si>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</si>
  <si>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</si>
  <si>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</si>
  <si>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</si>
  <si>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</si>
  <si>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</si>
  <si>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</si>
  <si>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</si>
  <si>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</si>
  <si>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</si>
  <si>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</si>
  <si>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</si>
  <si>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</si>
  <si>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</si>
  <si>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</si>
  <si>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</si>
  <si>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</si>
  <si>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</si>
  <si>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</si>
  <si>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</si>
  <si>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</si>
  <si>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</si>
  <si>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</si>
  <si>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</si>
  <si>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</si>
  <si>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</si>
  <si>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</si>
  <si>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</si>
  <si>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</si>
  <si>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</si>
  <si>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</si>
  <si>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</si>
  <si>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</si>
  <si>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</si>
  <si>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</si>
  <si>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</si>
  <si>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</si>
  <si>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</si>
  <si>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</si>
  <si>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</si>
  <si>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</si>
  <si>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</si>
  <si>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</si>
  <si>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</si>
  <si>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</si>
  <si>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</si>
  <si>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</si>
  <si>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</si>
  <si>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</si>
  <si>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</si>
  <si>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</si>
  <si>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</si>
  <si>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</si>
  <si>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</si>
  <si>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</si>
  <si>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</si>
  <si>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</si>
  <si>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</si>
  <si>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</si>
  <si>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</si>
  <si>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</si>
  <si>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</si>
  <si>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</si>
  <si>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</si>
  <si>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</si>
  <si>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</si>
  <si>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</si>
  <si>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</si>
  <si>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</si>
  <si>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</si>
  <si>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</si>
  <si>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</si>
  <si>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</si>
  <si>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</si>
  <si>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</si>
  <si>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</si>
  <si>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</si>
  <si>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</si>
  <si>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</si>
  <si>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</si>
  <si>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</si>
  <si>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</si>
  <si>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</si>
  <si>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</si>
  <si>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</si>
  <si>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</si>
  <si>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</si>
  <si>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</si>
  <si>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</si>
  <si>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</si>
  <si>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</si>
  <si>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</si>
  <si>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</si>
  <si>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</si>
  <si>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</si>
  <si>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</si>
  <si>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</si>
  <si>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</si>
  <si>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</si>
  <si>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</si>
  <si>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</si>
  <si>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</si>
  <si>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</si>
  <si>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</si>
  <si>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</si>
  <si>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</si>
  <si>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</si>
  <si>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</si>
  <si>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</si>
  <si>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</si>
  <si>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</si>
  <si>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</si>
  <si>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</si>
  <si>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</si>
  <si>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</si>
  <si>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</si>
  <si>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</si>
  <si>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Jackson County</t>
  </si>
  <si>
    <t>17-1330</t>
  </si>
  <si>
    <t>Mayetta Fire #1</t>
  </si>
  <si>
    <t>Jackson County Rural #2</t>
  </si>
  <si>
    <t>Douglas #3 1st Responders</t>
  </si>
  <si>
    <t>Holton Rural #4</t>
  </si>
  <si>
    <t>Delia Rural #5</t>
  </si>
  <si>
    <t>Netawaka City/Township #6</t>
  </si>
  <si>
    <t>Whiting City/Township #7</t>
  </si>
  <si>
    <t>19-3610</t>
  </si>
  <si>
    <t>Received from Treasurer</t>
  </si>
  <si>
    <t xml:space="preserve">Mowing </t>
  </si>
  <si>
    <t>Bank Charges</t>
  </si>
  <si>
    <t>Memorial Used</t>
  </si>
  <si>
    <t>Adjustment to balance Checking &amp; Savings</t>
  </si>
  <si>
    <t>Transfer to savings</t>
  </si>
  <si>
    <t>Stone Repair</t>
  </si>
  <si>
    <t>Maximum w/o Resolution</t>
  </si>
  <si>
    <t>Year</t>
  </si>
  <si>
    <t>Levy</t>
  </si>
  <si>
    <t>Board Signature</t>
  </si>
  <si>
    <t>Adrian Equipment Reserve</t>
  </si>
  <si>
    <t>Transfer from General</t>
  </si>
  <si>
    <t>Equipment Reserve</t>
  </si>
  <si>
    <t>Taxes from Treasurer</t>
  </si>
  <si>
    <t>Sale of Lots</t>
  </si>
  <si>
    <t>Donations</t>
  </si>
  <si>
    <t>Operations</t>
  </si>
  <si>
    <t>Mowing</t>
  </si>
  <si>
    <t>Insurance</t>
  </si>
  <si>
    <t>Other</t>
  </si>
  <si>
    <t>X</t>
  </si>
  <si>
    <t>Adrian Cemetery</t>
  </si>
  <si>
    <t>Brick Cemetery</t>
  </si>
  <si>
    <t>Buck's Grove Cemetery</t>
  </si>
  <si>
    <t>Circleville Cemetery</t>
  </si>
  <si>
    <t>Delia Cemetery</t>
  </si>
  <si>
    <t>Denison Cemetery</t>
  </si>
  <si>
    <t>Holton Cemetery</t>
  </si>
  <si>
    <t>Hoyt Cemetery</t>
  </si>
  <si>
    <t>Mayetta Cemetery</t>
  </si>
  <si>
    <t>Netawaka Cemetery</t>
  </si>
  <si>
    <t>Olive Hill Cemetery</t>
  </si>
  <si>
    <t>South Cedar Cemetery</t>
  </si>
  <si>
    <t>Springhill Cemetery</t>
  </si>
  <si>
    <t>Steward Muddy Creek Cem</t>
  </si>
  <si>
    <t>Stone Maintenance</t>
  </si>
  <si>
    <t>Fuel</t>
  </si>
  <si>
    <t>Equipment &amp;  Repairs</t>
  </si>
  <si>
    <t>desire to notify the public of the possibility of increased property taxes to finance the 2012 &amp;&amp;</t>
  </si>
  <si>
    <t>financing the 2012 annual budget for &amp;&amp; District, Jackson County(s), Kansas.</t>
  </si>
  <si>
    <t>to finance the 2012 &amp;&amp; District budget exceed the amount levied to finance the 2011 Jackson District</t>
  </si>
  <si>
    <t xml:space="preserve">     Adopted this ________ day of __________, 2011 by the &amp;&amp; District Board, Jackson</t>
  </si>
  <si>
    <t>Taxes from treasurer</t>
  </si>
  <si>
    <t>Sale of lots</t>
  </si>
  <si>
    <t>Refund for lot</t>
  </si>
  <si>
    <t>Fencing ($2,400 in 2010, $1,582 in 2011 &amp; in 2012)</t>
  </si>
  <si>
    <t>Flag pole repair</t>
  </si>
  <si>
    <t>Taxes</t>
  </si>
  <si>
    <t>Returned Metal Detector - Broken</t>
  </si>
  <si>
    <t>Road Repair</t>
  </si>
  <si>
    <t>Trash Fee</t>
  </si>
  <si>
    <t>Tree Care</t>
  </si>
  <si>
    <t>Secretary</t>
  </si>
  <si>
    <t>Safe Deposit Box</t>
  </si>
  <si>
    <t>Misc</t>
  </si>
  <si>
    <t>Hoyt Cemetery Equipment Reserve</t>
  </si>
  <si>
    <t>New Flags</t>
  </si>
  <si>
    <t>Adv Meeting</t>
  </si>
  <si>
    <t>Sales of Lots</t>
  </si>
  <si>
    <t>Rock</t>
  </si>
  <si>
    <t>Cemetery Directory</t>
  </si>
  <si>
    <t>Circleville Cemetery - Equipment</t>
  </si>
  <si>
    <t>Circleville Memorial - Name Directory</t>
  </si>
  <si>
    <t>Directory</t>
  </si>
  <si>
    <t>Sec Fee</t>
  </si>
  <si>
    <t>Purchased Mower in 2009 for $4,267</t>
  </si>
  <si>
    <t>Cedar Grove Fence Project</t>
  </si>
  <si>
    <t xml:space="preserve"> Taxes</t>
  </si>
  <si>
    <t>Grant</t>
  </si>
  <si>
    <t>Rebate</t>
  </si>
  <si>
    <t>Trans from Equipment</t>
  </si>
  <si>
    <t>Repairs</t>
  </si>
  <si>
    <t>Eq B</t>
  </si>
  <si>
    <t>Utilities</t>
  </si>
  <si>
    <t>Transfer to Equipment Reserve</t>
  </si>
  <si>
    <t>Soldier Fire #2 - Equip Reserve</t>
  </si>
  <si>
    <t>Transfer to General</t>
  </si>
  <si>
    <t>Equipment Repairs</t>
  </si>
  <si>
    <t>communications</t>
  </si>
  <si>
    <t>Equipment</t>
  </si>
  <si>
    <t>Medical</t>
  </si>
  <si>
    <t>Training</t>
  </si>
  <si>
    <t>Gate and Drive</t>
  </si>
  <si>
    <t>Mayetta Fire Equipment</t>
  </si>
  <si>
    <t>Douglas #3 General</t>
  </si>
  <si>
    <t>Netawaka #6 - Equipment Reserve</t>
  </si>
  <si>
    <t>Whiting #7 - Equipment Reserve</t>
  </si>
  <si>
    <t>Holton #4 - Equipment Reserve</t>
  </si>
  <si>
    <t>Delia #5 - Equip Reserve</t>
  </si>
  <si>
    <t>Building</t>
  </si>
  <si>
    <t>Building Maint</t>
  </si>
  <si>
    <t>Douglas #3 - Equip Reserve</t>
  </si>
  <si>
    <t>Douglas 1st Resp - Equip Reserve</t>
  </si>
  <si>
    <t>Supplies</t>
  </si>
  <si>
    <t>Food</t>
  </si>
  <si>
    <t>Reimb</t>
  </si>
  <si>
    <t>Bldg Loan</t>
  </si>
  <si>
    <t>Promotions</t>
  </si>
  <si>
    <t>Dues</t>
  </si>
  <si>
    <t>Transfer</t>
  </si>
  <si>
    <t>2012 Truck Purchase</t>
  </si>
  <si>
    <t>Utilties</t>
  </si>
  <si>
    <t>Truck Maintenance &amp;  Fuel</t>
  </si>
  <si>
    <t>Truck Repairs</t>
  </si>
  <si>
    <t>FRA Health Insurance</t>
  </si>
  <si>
    <t>Equipment for Truck</t>
  </si>
  <si>
    <t>New Equip for EMS</t>
  </si>
  <si>
    <t>Pay for Training</t>
  </si>
  <si>
    <t>Outstanding Warranst</t>
  </si>
  <si>
    <t>Truck Payment</t>
  </si>
  <si>
    <t>misc</t>
  </si>
  <si>
    <t>Transfer to Equip Rerserve</t>
  </si>
  <si>
    <t>Building Payment</t>
  </si>
  <si>
    <t>Purchase Truck (FF Relief Loan)</t>
  </si>
  <si>
    <t>Fuel Repairs &amp; tires</t>
  </si>
  <si>
    <t>Fuel &amp; Equip</t>
  </si>
  <si>
    <t>Insurance Trucks &amp; Buildings</t>
  </si>
  <si>
    <t>Mayetta Donation Fund</t>
  </si>
  <si>
    <t>Mayetta Perm Maint</t>
  </si>
  <si>
    <t>Opening &amp; Closings</t>
  </si>
  <si>
    <t>Monument Permits</t>
  </si>
  <si>
    <t>Perm Maint</t>
  </si>
  <si>
    <t>Lots</t>
  </si>
  <si>
    <t>Equipment Sale</t>
  </si>
  <si>
    <t>Accounting</t>
  </si>
  <si>
    <t>contractor Expense</t>
  </si>
  <si>
    <t>EMS Expense</t>
  </si>
  <si>
    <t>Equip. Maint.</t>
  </si>
  <si>
    <t>Equip. Repair</t>
  </si>
  <si>
    <t>Equip. Reserve</t>
  </si>
  <si>
    <t>FC Expense</t>
  </si>
  <si>
    <t xml:space="preserve">FR Expense  </t>
  </si>
  <si>
    <t>Maint. Expense</t>
  </si>
  <si>
    <t>Office Supplies</t>
  </si>
  <si>
    <t>Propane</t>
  </si>
  <si>
    <t>Rent</t>
  </si>
  <si>
    <t>Travel Expense</t>
  </si>
  <si>
    <t>Trk Repair</t>
  </si>
  <si>
    <t>Voided Checks</t>
  </si>
  <si>
    <t>Asst  FC Expense</t>
  </si>
  <si>
    <t>Advertising Exp</t>
  </si>
  <si>
    <t>Dining</t>
  </si>
  <si>
    <t>Janitor Expense</t>
  </si>
  <si>
    <t>Pest Control</t>
  </si>
  <si>
    <t>Surety Bond</t>
  </si>
  <si>
    <t>Truck Fuel</t>
  </si>
  <si>
    <t>Gas &amp; Electric</t>
  </si>
  <si>
    <t>Telephone</t>
  </si>
  <si>
    <t>Other Utilities</t>
  </si>
  <si>
    <t>Transfer to Equip Reserve</t>
  </si>
  <si>
    <t>Transfer from Equipment Reserve</t>
  </si>
  <si>
    <t>Bank</t>
  </si>
  <si>
    <t>Maintenance</t>
  </si>
  <si>
    <t>Laying out of lots &amp; maint</t>
  </si>
  <si>
    <t>Insurance refund</t>
  </si>
  <si>
    <t>reimb</t>
  </si>
  <si>
    <t>All Trucks</t>
  </si>
  <si>
    <t>Donation</t>
  </si>
  <si>
    <t>Firefighters Dinner</t>
  </si>
  <si>
    <t>Medical Supplies</t>
  </si>
  <si>
    <t>New Eq</t>
  </si>
  <si>
    <t>Propane and Tank</t>
  </si>
  <si>
    <t>Rep 540</t>
  </si>
  <si>
    <t>Rep 560</t>
  </si>
  <si>
    <t>Rep 561</t>
  </si>
  <si>
    <t>Rep 570</t>
  </si>
  <si>
    <t>Safety</t>
  </si>
  <si>
    <t>Station Exp</t>
  </si>
  <si>
    <t>Station Supplier</t>
  </si>
  <si>
    <t>Truck Insp and Service</t>
  </si>
  <si>
    <t>Turnout Gear</t>
  </si>
  <si>
    <t>Utilities Electric</t>
  </si>
  <si>
    <t>Utilities P</t>
  </si>
  <si>
    <t>Utilities W</t>
  </si>
  <si>
    <t>Transferred from General</t>
  </si>
  <si>
    <t>Fence Repair</t>
  </si>
  <si>
    <t>Olive Hill Capital Improvements</t>
  </si>
  <si>
    <t>Max w/o resolution</t>
  </si>
  <si>
    <t>Delia Cemetery Capital Improvements</t>
  </si>
  <si>
    <t>Labor</t>
  </si>
  <si>
    <t>Misc.</t>
  </si>
  <si>
    <t>Taxes from County</t>
  </si>
  <si>
    <t>Opening &amp; Closing</t>
  </si>
  <si>
    <t>SS/Med Withholdings</t>
  </si>
  <si>
    <t>Burial Expense</t>
  </si>
  <si>
    <t>Denison Cemetery Cap Imp</t>
  </si>
  <si>
    <t>Denison Cemetery Memorial</t>
  </si>
  <si>
    <t>Budgeted</t>
  </si>
  <si>
    <t>Estimated</t>
  </si>
  <si>
    <t>Springhill Cemetery Capital Improvements and Memorial</t>
  </si>
  <si>
    <t>Road Repairs</t>
  </si>
  <si>
    <t xml:space="preserve"> Burial Expense</t>
  </si>
  <si>
    <t>Jackson County Treasurer</t>
  </si>
  <si>
    <t>Adj. when opening new account</t>
  </si>
  <si>
    <t>Sold Truck</t>
  </si>
  <si>
    <t>Grant purchases</t>
  </si>
  <si>
    <t>From Savings</t>
  </si>
  <si>
    <t>White truck 2010  - Brush Truck &amp; Radio 2011</t>
  </si>
  <si>
    <t>White Truck</t>
  </si>
  <si>
    <t>Brush truck</t>
  </si>
  <si>
    <t>Radio</t>
  </si>
  <si>
    <t xml:space="preserve"> Taxes from Treasurer</t>
  </si>
  <si>
    <t>Adj Error?</t>
  </si>
  <si>
    <t>Outstanding Check</t>
  </si>
  <si>
    <t>Total Outstanding</t>
  </si>
  <si>
    <t>Bank Balance 1/1/2010</t>
  </si>
  <si>
    <t>Taxes from Jackson County Treasurer</t>
  </si>
  <si>
    <t>Payroll, Taxes &amp; Benefits</t>
  </si>
  <si>
    <t>Perpetual Care</t>
  </si>
  <si>
    <t xml:space="preserve">Auto </t>
  </si>
  <si>
    <t>Grave Equip</t>
  </si>
  <si>
    <t>Mileage</t>
  </si>
  <si>
    <t>Stone lay-out</t>
  </si>
  <si>
    <t>Reimb.</t>
  </si>
  <si>
    <t>Excise</t>
  </si>
  <si>
    <t>Holton Perpetual Care/Savings</t>
  </si>
  <si>
    <t>Flowers</t>
  </si>
  <si>
    <t>Gravel</t>
  </si>
  <si>
    <t>Ks Sec of State</t>
  </si>
  <si>
    <t xml:space="preserve">Soldier Cemetery </t>
  </si>
  <si>
    <t>Circleville &amp; Denison</t>
  </si>
  <si>
    <t xml:space="preserve">Transfer </t>
  </si>
  <si>
    <t>From General</t>
  </si>
  <si>
    <t>Int from General</t>
  </si>
  <si>
    <t>Perp Care</t>
  </si>
  <si>
    <t>Holton Cemetery Equip Reserve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</si>
</sst>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  <numFmt numFmtId="171" formatCode="[$-409]dddd\,\ mmmm\ dd\,\ yyyy"/>
    <numFmt numFmtId="172" formatCode="[$-409]h:mm:ss\ AM/PM"/>
    <numFmt numFmtId="173" formatCode="#,##0.0_);\(#,##0.0\)"/>
    <numFmt numFmtId="174" formatCode="#,##0.000_);\(#,##0.000\)"/>
    <numFmt numFmtId="175" formatCode="0.0_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37" fontId="2" fillId="32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2" borderId="0" xfId="0" applyNumberFormat="1" applyFont="1" applyFill="1" applyAlignment="1" applyProtection="1">
      <alignment horizontal="right"/>
      <protection/>
    </xf>
    <xf numFmtId="37" fontId="1" fillId="32" borderId="0" xfId="0" applyNumberFormat="1" applyFont="1" applyFill="1" applyAlignment="1" applyProtection="1">
      <alignment horizontal="left"/>
      <protection/>
    </xf>
    <xf numFmtId="37" fontId="1" fillId="32" borderId="0" xfId="0" applyNumberFormat="1" applyFont="1" applyFill="1" applyAlignment="1" applyProtection="1">
      <alignment horizontal="centerContinuous"/>
      <protection/>
    </xf>
    <xf numFmtId="0" fontId="1" fillId="32" borderId="0" xfId="0" applyFont="1" applyFill="1" applyAlignment="1" applyProtection="1">
      <alignment horizontal="centerContinuous"/>
      <protection/>
    </xf>
    <xf numFmtId="0" fontId="1" fillId="32" borderId="10" xfId="0" applyFont="1" applyFill="1" applyBorder="1" applyAlignment="1" applyProtection="1">
      <alignment horizontal="centerContinuous"/>
      <protection/>
    </xf>
    <xf numFmtId="37" fontId="1" fillId="32" borderId="11" xfId="0" applyNumberFormat="1" applyFont="1" applyFill="1" applyBorder="1" applyAlignment="1" applyProtection="1">
      <alignment horizontal="center"/>
      <protection/>
    </xf>
    <xf numFmtId="37" fontId="2" fillId="32" borderId="12" xfId="0" applyNumberFormat="1" applyFont="1" applyFill="1" applyBorder="1" applyAlignment="1" applyProtection="1">
      <alignment horizontal="left"/>
      <protection/>
    </xf>
    <xf numFmtId="0" fontId="1" fillId="32" borderId="12" xfId="0" applyFont="1" applyFill="1" applyBorder="1" applyAlignment="1" applyProtection="1">
      <alignment/>
      <protection/>
    </xf>
    <xf numFmtId="37" fontId="1" fillId="32" borderId="13" xfId="0" applyNumberFormat="1" applyFont="1" applyFill="1" applyBorder="1" applyAlignment="1" applyProtection="1">
      <alignment horizontal="center"/>
      <protection/>
    </xf>
    <xf numFmtId="37" fontId="3" fillId="32" borderId="14" xfId="0" applyNumberFormat="1" applyFont="1" applyFill="1" applyBorder="1" applyAlignment="1" applyProtection="1">
      <alignment horizontal="left"/>
      <protection/>
    </xf>
    <xf numFmtId="37" fontId="3" fillId="32" borderId="14" xfId="0" applyNumberFormat="1" applyFont="1" applyFill="1" applyBorder="1" applyAlignment="1" applyProtection="1">
      <alignment horizontal="center"/>
      <protection/>
    </xf>
    <xf numFmtId="0" fontId="1" fillId="32" borderId="14" xfId="0" applyFont="1" applyFill="1" applyBorder="1" applyAlignment="1" applyProtection="1">
      <alignment/>
      <protection/>
    </xf>
    <xf numFmtId="37" fontId="1" fillId="10" borderId="14" xfId="0" applyNumberFormat="1" applyFont="1" applyFill="1" applyBorder="1" applyAlignment="1" applyProtection="1">
      <alignment/>
      <protection locked="0"/>
    </xf>
    <xf numFmtId="0" fontId="1" fillId="10" borderId="14" xfId="0" applyFont="1" applyFill="1" applyBorder="1" applyAlignment="1" applyProtection="1">
      <alignment/>
      <protection locked="0"/>
    </xf>
    <xf numFmtId="37" fontId="1" fillId="32" borderId="14" xfId="0" applyNumberFormat="1" applyFont="1" applyFill="1" applyBorder="1" applyAlignment="1" applyProtection="1">
      <alignment horizontal="left"/>
      <protection/>
    </xf>
    <xf numFmtId="37" fontId="1" fillId="32" borderId="14" xfId="0" applyNumberFormat="1" applyFont="1" applyFill="1" applyBorder="1" applyAlignment="1" applyProtection="1">
      <alignment horizontal="fill"/>
      <protection/>
    </xf>
    <xf numFmtId="37" fontId="1" fillId="32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2" borderId="0" xfId="0" applyFont="1" applyFill="1" applyAlignment="1" applyProtection="1">
      <alignment horizontal="left"/>
      <protection/>
    </xf>
    <xf numFmtId="0" fontId="1" fillId="32" borderId="0" xfId="0" applyFont="1" applyFill="1" applyAlignment="1" applyProtection="1">
      <alignment horizontal="left"/>
      <protection/>
    </xf>
    <xf numFmtId="0" fontId="1" fillId="32" borderId="0" xfId="0" applyFont="1" applyFill="1" applyAlignment="1" applyProtection="1">
      <alignment horizontal="fill"/>
      <protection/>
    </xf>
    <xf numFmtId="0" fontId="2" fillId="32" borderId="0" xfId="0" applyFont="1" applyFill="1" applyAlignment="1" applyProtection="1">
      <alignment/>
      <protection/>
    </xf>
    <xf numFmtId="0" fontId="1" fillId="32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left"/>
      <protection/>
    </xf>
    <xf numFmtId="0" fontId="1" fillId="32" borderId="18" xfId="0" applyFont="1" applyFill="1" applyBorder="1" applyAlignment="1" applyProtection="1">
      <alignment horizontal="left"/>
      <protection/>
    </xf>
    <xf numFmtId="37" fontId="1" fillId="10" borderId="14" xfId="0" applyNumberFormat="1" applyFont="1" applyFill="1" applyBorder="1" applyAlignment="1" applyProtection="1">
      <alignment/>
      <protection locked="0"/>
    </xf>
    <xf numFmtId="0" fontId="1" fillId="10" borderId="17" xfId="0" applyFont="1" applyFill="1" applyBorder="1" applyAlignment="1" applyProtection="1">
      <alignment/>
      <protection locked="0"/>
    </xf>
    <xf numFmtId="0" fontId="1" fillId="10" borderId="18" xfId="0" applyFont="1" applyFill="1" applyBorder="1" applyAlignment="1" applyProtection="1">
      <alignment/>
      <protection locked="0"/>
    </xf>
    <xf numFmtId="37" fontId="1" fillId="10" borderId="17" xfId="0" applyNumberFormat="1" applyFont="1" applyFill="1" applyBorder="1" applyAlignment="1" applyProtection="1">
      <alignment/>
      <protection locked="0"/>
    </xf>
    <xf numFmtId="0" fontId="1" fillId="10" borderId="17" xfId="0" applyFont="1" applyFill="1" applyBorder="1" applyAlignment="1" applyProtection="1">
      <alignment horizontal="left"/>
      <protection locked="0"/>
    </xf>
    <xf numFmtId="0" fontId="1" fillId="10" borderId="18" xfId="0" applyFont="1" applyFill="1" applyBorder="1" applyAlignment="1" applyProtection="1">
      <alignment horizontal="left"/>
      <protection locked="0"/>
    </xf>
    <xf numFmtId="0" fontId="2" fillId="32" borderId="17" xfId="0" applyFont="1" applyFill="1" applyBorder="1" applyAlignment="1" applyProtection="1">
      <alignment horizontal="left"/>
      <protection/>
    </xf>
    <xf numFmtId="0" fontId="1" fillId="32" borderId="10" xfId="0" applyFont="1" applyFill="1" applyBorder="1" applyAlignment="1" applyProtection="1">
      <alignment horizontal="left"/>
      <protection/>
    </xf>
    <xf numFmtId="37" fontId="2" fillId="32" borderId="14" xfId="0" applyNumberFormat="1" applyFont="1" applyFill="1" applyBorder="1" applyAlignment="1" applyProtection="1">
      <alignment/>
      <protection/>
    </xf>
    <xf numFmtId="37" fontId="1" fillId="32" borderId="0" xfId="0" applyNumberFormat="1" applyFont="1" applyFill="1" applyAlignment="1" applyProtection="1">
      <alignment/>
      <protection/>
    </xf>
    <xf numFmtId="0" fontId="1" fillId="32" borderId="0" xfId="0" applyFont="1" applyFill="1" applyAlignment="1" applyProtection="1">
      <alignment horizontal="right"/>
      <protection/>
    </xf>
    <xf numFmtId="164" fontId="1" fillId="10" borderId="0" xfId="0" applyNumberFormat="1" applyFont="1" applyFill="1" applyAlignment="1" applyProtection="1">
      <alignment/>
      <protection locked="0"/>
    </xf>
    <xf numFmtId="3" fontId="1" fillId="32" borderId="14" xfId="0" applyNumberFormat="1" applyFont="1" applyFill="1" applyBorder="1" applyAlignment="1" applyProtection="1">
      <alignment/>
      <protection/>
    </xf>
    <xf numFmtId="37" fontId="1" fillId="32" borderId="0" xfId="0" applyNumberFormat="1" applyFont="1" applyFill="1" applyBorder="1" applyAlignment="1" applyProtection="1">
      <alignment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left"/>
      <protection/>
    </xf>
    <xf numFmtId="0" fontId="1" fillId="32" borderId="21" xfId="0" applyFont="1" applyFill="1" applyBorder="1" applyAlignment="1" applyProtection="1">
      <alignment horizontal="center"/>
      <protection/>
    </xf>
    <xf numFmtId="0" fontId="1" fillId="10" borderId="14" xfId="0" applyFont="1" applyFill="1" applyBorder="1" applyAlignment="1" applyProtection="1">
      <alignment/>
      <protection locked="0"/>
    </xf>
    <xf numFmtId="0" fontId="1" fillId="32" borderId="14" xfId="0" applyFont="1" applyFill="1" applyBorder="1" applyAlignment="1" applyProtection="1">
      <alignment horizontal="left"/>
      <protection/>
    </xf>
    <xf numFmtId="37" fontId="1" fillId="10" borderId="12" xfId="0" applyNumberFormat="1" applyFont="1" applyFill="1" applyBorder="1" applyAlignment="1" applyProtection="1">
      <alignment/>
      <protection locked="0"/>
    </xf>
    <xf numFmtId="0" fontId="1" fillId="10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 wrapText="1"/>
      <protection/>
    </xf>
    <xf numFmtId="0" fontId="1" fillId="32" borderId="0" xfId="0" applyFont="1" applyFill="1" applyAlignment="1" applyProtection="1" quotePrefix="1">
      <alignment/>
      <protection/>
    </xf>
    <xf numFmtId="3" fontId="1" fillId="32" borderId="0" xfId="0" applyNumberFormat="1" applyFont="1" applyFill="1" applyAlignment="1" applyProtection="1">
      <alignment/>
      <protection/>
    </xf>
    <xf numFmtId="3" fontId="1" fillId="32" borderId="0" xfId="0" applyNumberFormat="1" applyFont="1" applyFill="1" applyAlignment="1" applyProtection="1" quotePrefix="1">
      <alignment/>
      <protection/>
    </xf>
    <xf numFmtId="3" fontId="1" fillId="32" borderId="0" xfId="0" applyNumberFormat="1" applyFont="1" applyFill="1" applyAlignment="1" quotePrefix="1">
      <alignment/>
    </xf>
    <xf numFmtId="3" fontId="1" fillId="32" borderId="0" xfId="0" applyNumberFormat="1" applyFont="1" applyFill="1" applyAlignment="1">
      <alignment/>
    </xf>
    <xf numFmtId="3" fontId="1" fillId="10" borderId="18" xfId="0" applyNumberFormat="1" applyFont="1" applyFill="1" applyBorder="1" applyAlignment="1" applyProtection="1">
      <alignment/>
      <protection locked="0"/>
    </xf>
    <xf numFmtId="3" fontId="1" fillId="32" borderId="18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 applyProtection="1">
      <alignment/>
      <protection/>
    </xf>
    <xf numFmtId="3" fontId="1" fillId="32" borderId="12" xfId="0" applyNumberFormat="1" applyFont="1" applyFill="1" applyBorder="1" applyAlignment="1" applyProtection="1">
      <alignment/>
      <protection/>
    </xf>
    <xf numFmtId="3" fontId="1" fillId="32" borderId="20" xfId="0" applyNumberFormat="1" applyFont="1" applyFill="1" applyBorder="1" applyAlignment="1" applyProtection="1">
      <alignment/>
      <protection/>
    </xf>
    <xf numFmtId="0" fontId="1" fillId="32" borderId="20" xfId="0" applyFont="1" applyFill="1" applyBorder="1" applyAlignment="1" applyProtection="1">
      <alignment/>
      <protection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 quotePrefix="1">
      <alignment/>
    </xf>
    <xf numFmtId="0" fontId="1" fillId="32" borderId="0" xfId="0" applyFont="1" applyFill="1" applyAlignment="1">
      <alignment/>
    </xf>
    <xf numFmtId="165" fontId="1" fillId="32" borderId="12" xfId="0" applyNumberFormat="1" applyFont="1" applyFill="1" applyBorder="1" applyAlignment="1" applyProtection="1">
      <alignment/>
      <protection/>
    </xf>
    <xf numFmtId="0" fontId="1" fillId="32" borderId="0" xfId="0" applyFont="1" applyFill="1" applyBorder="1" applyAlignment="1" quotePrefix="1">
      <alignment/>
    </xf>
    <xf numFmtId="3" fontId="1" fillId="32" borderId="12" xfId="0" applyNumberFormat="1" applyFont="1" applyFill="1" applyBorder="1" applyAlignment="1">
      <alignment/>
    </xf>
    <xf numFmtId="3" fontId="1" fillId="32" borderId="22" xfId="0" applyNumberFormat="1" applyFont="1" applyFill="1" applyBorder="1" applyAlignment="1">
      <alignment/>
    </xf>
    <xf numFmtId="3" fontId="1" fillId="32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2" borderId="0" xfId="0" applyNumberFormat="1" applyFont="1" applyFill="1" applyAlignment="1" applyProtection="1">
      <alignment horizontal="centerContinuous"/>
      <protection/>
    </xf>
    <xf numFmtId="37" fontId="1" fillId="32" borderId="0" xfId="0" applyNumberFormat="1" applyFont="1" applyFill="1" applyAlignment="1" applyProtection="1" quotePrefix="1">
      <alignment horizontal="right"/>
      <protection/>
    </xf>
    <xf numFmtId="37" fontId="1" fillId="32" borderId="0" xfId="0" applyNumberFormat="1" applyFont="1" applyFill="1" applyAlignment="1" applyProtection="1">
      <alignment horizontal="fill"/>
      <protection/>
    </xf>
    <xf numFmtId="0" fontId="1" fillId="32" borderId="11" xfId="0" applyFont="1" applyFill="1" applyBorder="1" applyAlignment="1" applyProtection="1">
      <alignment horizontal="centerContinuous"/>
      <protection/>
    </xf>
    <xf numFmtId="1" fontId="1" fillId="32" borderId="17" xfId="0" applyNumberFormat="1" applyFont="1" applyFill="1" applyBorder="1" applyAlignment="1" applyProtection="1">
      <alignment horizontal="centerContinuous"/>
      <protection/>
    </xf>
    <xf numFmtId="37" fontId="1" fillId="32" borderId="12" xfId="0" applyNumberFormat="1" applyFont="1" applyFill="1" applyBorder="1" applyAlignment="1" applyProtection="1">
      <alignment horizontal="left"/>
      <protection/>
    </xf>
    <xf numFmtId="37" fontId="1" fillId="32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2" borderId="21" xfId="0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/>
      <protection/>
    </xf>
    <xf numFmtId="37" fontId="1" fillId="32" borderId="12" xfId="0" applyNumberFormat="1" applyFont="1" applyFill="1" applyBorder="1" applyAlignment="1" applyProtection="1">
      <alignment horizontal="right"/>
      <protection/>
    </xf>
    <xf numFmtId="37" fontId="1" fillId="32" borderId="12" xfId="0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2" borderId="13" xfId="0" applyFont="1" applyFill="1" applyBorder="1" applyAlignment="1" applyProtection="1">
      <alignment/>
      <protection/>
    </xf>
    <xf numFmtId="37" fontId="7" fillId="32" borderId="11" xfId="0" applyNumberFormat="1" applyFont="1" applyFill="1" applyBorder="1" applyAlignment="1" applyProtection="1">
      <alignment horizontal="center"/>
      <protection/>
    </xf>
    <xf numFmtId="0" fontId="1" fillId="32" borderId="15" xfId="0" applyFont="1" applyFill="1" applyBorder="1" applyAlignment="1" applyProtection="1">
      <alignment horizontal="center"/>
      <protection/>
    </xf>
    <xf numFmtId="37" fontId="1" fillId="32" borderId="0" xfId="0" applyNumberFormat="1" applyFont="1" applyFill="1" applyBorder="1" applyAlignment="1" applyProtection="1">
      <alignment horizontal="left"/>
      <protection/>
    </xf>
    <xf numFmtId="0" fontId="1" fillId="32" borderId="14" xfId="0" applyFont="1" applyFill="1" applyBorder="1" applyAlignment="1">
      <alignment/>
    </xf>
    <xf numFmtId="37" fontId="1" fillId="32" borderId="23" xfId="0" applyNumberFormat="1" applyFont="1" applyFill="1" applyBorder="1" applyAlignment="1" applyProtection="1">
      <alignment horizontal="center"/>
      <protection/>
    </xf>
    <xf numFmtId="165" fontId="1" fillId="10" borderId="14" xfId="0" applyNumberFormat="1" applyFont="1" applyFill="1" applyBorder="1" applyAlignment="1" applyProtection="1">
      <alignment/>
      <protection locked="0"/>
    </xf>
    <xf numFmtId="0" fontId="1" fillId="32" borderId="14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/>
    </xf>
    <xf numFmtId="37" fontId="1" fillId="32" borderId="10" xfId="0" applyNumberFormat="1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 horizontal="left"/>
      <protection/>
    </xf>
    <xf numFmtId="37" fontId="1" fillId="10" borderId="14" xfId="0" applyNumberFormat="1" applyFont="1" applyFill="1" applyBorder="1" applyAlignment="1" applyProtection="1">
      <alignment/>
      <protection/>
    </xf>
    <xf numFmtId="0" fontId="1" fillId="32" borderId="23" xfId="0" applyFont="1" applyFill="1" applyBorder="1" applyAlignment="1" applyProtection="1">
      <alignment horizontal="center"/>
      <protection/>
    </xf>
    <xf numFmtId="37" fontId="1" fillId="10" borderId="13" xfId="0" applyNumberFormat="1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165" fontId="1" fillId="10" borderId="14" xfId="0" applyNumberFormat="1" applyFont="1" applyFill="1" applyBorder="1" applyAlignment="1" applyProtection="1">
      <alignment/>
      <protection/>
    </xf>
    <xf numFmtId="37" fontId="1" fillId="32" borderId="12" xfId="0" applyNumberFormat="1" applyFont="1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37" fontId="1" fillId="10" borderId="14" xfId="0" applyNumberFormat="1" applyFont="1" applyFill="1" applyBorder="1" applyAlignment="1" applyProtection="1">
      <alignment horizontal="left"/>
      <protection locked="0"/>
    </xf>
    <xf numFmtId="0" fontId="8" fillId="32" borderId="0" xfId="0" applyFont="1" applyFill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 locked="0"/>
    </xf>
    <xf numFmtId="168" fontId="1" fillId="32" borderId="12" xfId="0" applyNumberFormat="1" applyFont="1" applyFill="1" applyBorder="1" applyAlignment="1" applyProtection="1">
      <alignment/>
      <protection/>
    </xf>
    <xf numFmtId="37" fontId="1" fillId="32" borderId="12" xfId="0" applyNumberFormat="1" applyFont="1" applyFill="1" applyBorder="1" applyAlignment="1" applyProtection="1" quotePrefix="1">
      <alignment horizontal="right"/>
      <protection/>
    </xf>
    <xf numFmtId="1" fontId="1" fillId="32" borderId="11" xfId="0" applyNumberFormat="1" applyFont="1" applyFill="1" applyBorder="1" applyAlignment="1" applyProtection="1">
      <alignment horizontal="center"/>
      <protection/>
    </xf>
    <xf numFmtId="37" fontId="1" fillId="10" borderId="12" xfId="0" applyNumberFormat="1" applyFont="1" applyFill="1" applyBorder="1" applyAlignment="1" applyProtection="1">
      <alignment/>
      <protection/>
    </xf>
    <xf numFmtId="37" fontId="1" fillId="10" borderId="14" xfId="0" applyNumberFormat="1" applyFont="1" applyFill="1" applyBorder="1" applyAlignment="1" applyProtection="1">
      <alignment horizontal="left"/>
      <protection locked="0"/>
    </xf>
    <xf numFmtId="37" fontId="2" fillId="32" borderId="14" xfId="0" applyNumberFormat="1" applyFont="1" applyFill="1" applyBorder="1" applyAlignment="1" applyProtection="1">
      <alignment horizontal="left"/>
      <protection/>
    </xf>
    <xf numFmtId="37" fontId="1" fillId="32" borderId="14" xfId="0" applyNumberFormat="1" applyFont="1" applyFill="1" applyBorder="1" applyAlignment="1" applyProtection="1">
      <alignment horizontal="center"/>
      <protection/>
    </xf>
    <xf numFmtId="37" fontId="1" fillId="32" borderId="0" xfId="0" applyNumberFormat="1" applyFont="1" applyFill="1" applyBorder="1" applyAlignment="1" applyProtection="1">
      <alignment horizontal="center"/>
      <protection/>
    </xf>
    <xf numFmtId="37" fontId="1" fillId="10" borderId="12" xfId="0" applyNumberFormat="1" applyFont="1" applyFill="1" applyBorder="1" applyAlignment="1" applyProtection="1">
      <alignment horizontal="center"/>
      <protection locked="0"/>
    </xf>
    <xf numFmtId="167" fontId="1" fillId="32" borderId="12" xfId="0" applyNumberFormat="1" applyFont="1" applyFill="1" applyBorder="1" applyAlignment="1" applyProtection="1">
      <alignment horizontal="center"/>
      <protection/>
    </xf>
    <xf numFmtId="0" fontId="1" fillId="32" borderId="14" xfId="0" applyFont="1" applyFill="1" applyBorder="1" applyAlignment="1">
      <alignment horizontal="center"/>
    </xf>
    <xf numFmtId="168" fontId="1" fillId="32" borderId="0" xfId="0" applyNumberFormat="1" applyFont="1" applyFill="1" applyAlignment="1" applyProtection="1">
      <alignment/>
      <protection/>
    </xf>
    <xf numFmtId="3" fontId="1" fillId="10" borderId="14" xfId="0" applyNumberFormat="1" applyFont="1" applyFill="1" applyBorder="1" applyAlignment="1" applyProtection="1">
      <alignment/>
      <protection locked="0"/>
    </xf>
    <xf numFmtId="3" fontId="1" fillId="32" borderId="14" xfId="0" applyNumberFormat="1" applyFont="1" applyFill="1" applyBorder="1" applyAlignment="1" applyProtection="1">
      <alignment horizontal="fill"/>
      <protection/>
    </xf>
    <xf numFmtId="0" fontId="1" fillId="10" borderId="14" xfId="0" applyFont="1" applyFill="1" applyBorder="1" applyAlignment="1" applyProtection="1">
      <alignment horizontal="left"/>
      <protection locked="0"/>
    </xf>
    <xf numFmtId="37" fontId="1" fillId="32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10" borderId="14" xfId="0" applyNumberFormat="1" applyFont="1" applyFill="1" applyBorder="1" applyAlignment="1" applyProtection="1">
      <alignment horizontal="left"/>
      <protection/>
    </xf>
    <xf numFmtId="3" fontId="1" fillId="10" borderId="14" xfId="0" applyNumberFormat="1" applyFont="1" applyFill="1" applyBorder="1" applyAlignment="1" applyProtection="1">
      <alignment/>
      <protection/>
    </xf>
    <xf numFmtId="0" fontId="1" fillId="32" borderId="0" xfId="0" applyNumberFormat="1" applyFont="1" applyFill="1" applyAlignment="1" applyProtection="1">
      <alignment horizontal="right"/>
      <protection/>
    </xf>
    <xf numFmtId="37" fontId="1" fillId="10" borderId="14" xfId="0" applyNumberFormat="1" applyFont="1" applyFill="1" applyBorder="1" applyAlignment="1" applyProtection="1">
      <alignment horizontal="center"/>
      <protection locked="0"/>
    </xf>
    <xf numFmtId="0" fontId="1" fillId="10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2" borderId="13" xfId="0" applyNumberFormat="1" applyFont="1" applyFill="1" applyBorder="1" applyAlignment="1" applyProtection="1">
      <alignment horizontal="center" wrapText="1"/>
      <protection/>
    </xf>
    <xf numFmtId="0" fontId="0" fillId="32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10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 horizontal="left"/>
      <protection locked="0"/>
    </xf>
    <xf numFmtId="0" fontId="1" fillId="32" borderId="0" xfId="0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 locked="0"/>
    </xf>
    <xf numFmtId="0" fontId="0" fillId="32" borderId="0" xfId="0" applyFill="1" applyAlignment="1">
      <alignment horizontal="right"/>
    </xf>
    <xf numFmtId="0" fontId="1" fillId="32" borderId="24" xfId="0" applyNumberFormat="1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 wrapText="1"/>
      <protection/>
    </xf>
    <xf numFmtId="0" fontId="1" fillId="10" borderId="0" xfId="0" applyFont="1" applyFill="1" applyAlignment="1">
      <alignment/>
    </xf>
    <xf numFmtId="0" fontId="1" fillId="32" borderId="14" xfId="0" applyFont="1" applyFill="1" applyBorder="1" applyAlignment="1">
      <alignment horizontal="center" wrapText="1"/>
    </xf>
    <xf numFmtId="37" fontId="7" fillId="32" borderId="13" xfId="0" applyNumberFormat="1" applyFont="1" applyFill="1" applyBorder="1" applyAlignment="1" applyProtection="1">
      <alignment horizontal="center" wrapText="1"/>
      <protection/>
    </xf>
    <xf numFmtId="37" fontId="3" fillId="32" borderId="13" xfId="0" applyNumberFormat="1" applyFont="1" applyFill="1" applyBorder="1" applyAlignment="1" applyProtection="1">
      <alignment horizontal="center"/>
      <protection/>
    </xf>
    <xf numFmtId="37" fontId="2" fillId="32" borderId="0" xfId="0" applyNumberFormat="1" applyFont="1" applyFill="1" applyBorder="1" applyAlignment="1" applyProtection="1">
      <alignment horizontal="left"/>
      <protection/>
    </xf>
    <xf numFmtId="37" fontId="3" fillId="32" borderId="13" xfId="0" applyNumberFormat="1" applyFont="1" applyFill="1" applyBorder="1" applyAlignment="1" applyProtection="1">
      <alignment horizontal="left"/>
      <protection/>
    </xf>
    <xf numFmtId="37" fontId="3" fillId="32" borderId="16" xfId="0" applyNumberFormat="1" applyFont="1" applyFill="1" applyBorder="1" applyAlignment="1" applyProtection="1">
      <alignment horizontal="center"/>
      <protection/>
    </xf>
    <xf numFmtId="37" fontId="1" fillId="32" borderId="15" xfId="0" applyNumberFormat="1" applyFont="1" applyFill="1" applyBorder="1" applyAlignment="1" applyProtection="1">
      <alignment horizontal="center"/>
      <protection/>
    </xf>
    <xf numFmtId="0" fontId="0" fillId="32" borderId="13" xfId="0" applyFill="1" applyBorder="1" applyAlignment="1">
      <alignment/>
    </xf>
    <xf numFmtId="0" fontId="1" fillId="32" borderId="11" xfId="0" applyNumberFormat="1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 horizontal="center" shrinkToFit="1"/>
      <protection/>
    </xf>
    <xf numFmtId="170" fontId="1" fillId="32" borderId="14" xfId="0" applyNumberFormat="1" applyFont="1" applyFill="1" applyBorder="1" applyAlignment="1" applyProtection="1">
      <alignment/>
      <protection/>
    </xf>
    <xf numFmtId="37" fontId="1" fillId="32" borderId="14" xfId="0" applyNumberFormat="1" applyFont="1" applyFill="1" applyBorder="1" applyAlignment="1" applyProtection="1">
      <alignment horizontal="right"/>
      <protection/>
    </xf>
    <xf numFmtId="169" fontId="1" fillId="10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37" fontId="3" fillId="32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10" borderId="12" xfId="0" applyFont="1" applyFill="1" applyBorder="1" applyAlignment="1" applyProtection="1">
      <alignment/>
      <protection locked="0"/>
    </xf>
    <xf numFmtId="0" fontId="1" fillId="10" borderId="12" xfId="0" applyFont="1" applyFill="1" applyBorder="1" applyAlignment="1" applyProtection="1">
      <alignment/>
      <protection locked="0"/>
    </xf>
    <xf numFmtId="0" fontId="2" fillId="10" borderId="14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6" fontId="1" fillId="10" borderId="14" xfId="0" applyNumberFormat="1" applyFont="1" applyFill="1" applyBorder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/>
      <protection/>
    </xf>
    <xf numFmtId="37" fontId="2" fillId="34" borderId="14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0" fillId="10" borderId="0" xfId="0" applyFill="1" applyAlignment="1" applyProtection="1">
      <alignment/>
      <protection locked="0"/>
    </xf>
    <xf numFmtId="3" fontId="1" fillId="10" borderId="12" xfId="0" applyNumberFormat="1" applyFont="1" applyFill="1" applyBorder="1" applyAlignment="1" applyProtection="1">
      <alignment/>
      <protection locked="0"/>
    </xf>
    <xf numFmtId="3" fontId="1" fillId="10" borderId="0" xfId="0" applyNumberFormat="1" applyFont="1" applyFill="1" applyAlignment="1" applyProtection="1">
      <alignment/>
      <protection locked="0"/>
    </xf>
    <xf numFmtId="169" fontId="1" fillId="10" borderId="0" xfId="0" applyNumberFormat="1" applyFont="1" applyFill="1" applyAlignment="1" applyProtection="1">
      <alignment horizontal="left"/>
      <protection locked="0"/>
    </xf>
    <xf numFmtId="37" fontId="1" fillId="34" borderId="1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center"/>
      <protection/>
    </xf>
    <xf numFmtId="3" fontId="1" fillId="32" borderId="0" xfId="0" applyNumberFormat="1" applyFont="1" applyFill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10" borderId="10" xfId="0" applyNumberFormat="1" applyFont="1" applyFill="1" applyBorder="1" applyAlignment="1" applyProtection="1">
      <alignment/>
      <protection locked="0"/>
    </xf>
    <xf numFmtId="37" fontId="2" fillId="34" borderId="10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 locked="0"/>
    </xf>
    <xf numFmtId="0" fontId="1" fillId="32" borderId="21" xfId="0" applyFont="1" applyFill="1" applyBorder="1" applyAlignment="1" applyProtection="1">
      <alignment horizontal="left"/>
      <protection/>
    </xf>
    <xf numFmtId="0" fontId="1" fillId="32" borderId="12" xfId="0" applyFont="1" applyFill="1" applyBorder="1" applyAlignment="1" applyProtection="1">
      <alignment horizontal="left"/>
      <protection/>
    </xf>
    <xf numFmtId="0" fontId="1" fillId="32" borderId="10" xfId="0" applyFon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37" fontId="2" fillId="32" borderId="10" xfId="0" applyNumberFormat="1" applyFont="1" applyFill="1" applyBorder="1" applyAlignment="1" applyProtection="1">
      <alignment/>
      <protection/>
    </xf>
    <xf numFmtId="0" fontId="1" fillId="32" borderId="25" xfId="0" applyFont="1" applyFill="1" applyBorder="1" applyAlignment="1" applyProtection="1">
      <alignment/>
      <protection/>
    </xf>
    <xf numFmtId="0" fontId="1" fillId="32" borderId="13" xfId="0" applyFont="1" applyFill="1" applyBorder="1" applyAlignment="1" applyProtection="1">
      <alignment/>
      <protection/>
    </xf>
    <xf numFmtId="0" fontId="1" fillId="32" borderId="26" xfId="0" applyFont="1" applyFill="1" applyBorder="1" applyAlignment="1" applyProtection="1">
      <alignment/>
      <protection/>
    </xf>
    <xf numFmtId="49" fontId="1" fillId="32" borderId="27" xfId="0" applyNumberFormat="1" applyFont="1" applyFill="1" applyBorder="1" applyAlignment="1" applyProtection="1">
      <alignment horizontal="center"/>
      <protection/>
    </xf>
    <xf numFmtId="49" fontId="1" fillId="32" borderId="28" xfId="0" applyNumberFormat="1" applyFont="1" applyFill="1" applyBorder="1" applyAlignment="1" applyProtection="1">
      <alignment horizontal="center"/>
      <protection/>
    </xf>
    <xf numFmtId="0" fontId="1" fillId="32" borderId="29" xfId="0" applyFont="1" applyFill="1" applyBorder="1" applyAlignment="1" applyProtection="1">
      <alignment/>
      <protection/>
    </xf>
    <xf numFmtId="0" fontId="1" fillId="32" borderId="30" xfId="0" applyFont="1" applyFill="1" applyBorder="1" applyAlignment="1" applyProtection="1">
      <alignment/>
      <protection/>
    </xf>
    <xf numFmtId="0" fontId="1" fillId="32" borderId="31" xfId="0" applyFont="1" applyFill="1" applyBorder="1" applyAlignment="1" applyProtection="1">
      <alignment/>
      <protection/>
    </xf>
    <xf numFmtId="3" fontId="1" fillId="0" borderId="32" xfId="0" applyNumberFormat="1" applyFont="1" applyBorder="1" applyAlignment="1">
      <alignment/>
    </xf>
    <xf numFmtId="0" fontId="1" fillId="32" borderId="33" xfId="0" applyFont="1" applyFill="1" applyBorder="1" applyAlignment="1" applyProtection="1">
      <alignment horizontal="center"/>
      <protection/>
    </xf>
    <xf numFmtId="174" fontId="1" fillId="32" borderId="34" xfId="0" applyNumberFormat="1" applyFont="1" applyFill="1" applyBorder="1" applyAlignment="1" applyProtection="1">
      <alignment horizontal="center"/>
      <protection/>
    </xf>
    <xf numFmtId="177" fontId="1" fillId="32" borderId="0" xfId="42" applyNumberFormat="1" applyFont="1" applyFill="1" applyAlignment="1" applyProtection="1">
      <alignment/>
      <protection/>
    </xf>
    <xf numFmtId="170" fontId="1" fillId="10" borderId="14" xfId="0" applyNumberFormat="1" applyFont="1" applyFill="1" applyBorder="1" applyAlignment="1" applyProtection="1">
      <alignment/>
      <protection locked="0"/>
    </xf>
    <xf numFmtId="170" fontId="1" fillId="0" borderId="0" xfId="0" applyNumberFormat="1" applyFont="1" applyAlignment="1">
      <alignment/>
    </xf>
    <xf numFmtId="3" fontId="1" fillId="10" borderId="0" xfId="0" applyNumberFormat="1" applyFont="1" applyFill="1" applyBorder="1" applyAlignment="1" applyProtection="1">
      <alignment/>
      <protection locked="0"/>
    </xf>
    <xf numFmtId="49" fontId="1" fillId="32" borderId="0" xfId="0" applyNumberFormat="1" applyFont="1" applyFill="1" applyBorder="1" applyAlignment="1" applyProtection="1">
      <alignment horizontal="center"/>
      <protection/>
    </xf>
    <xf numFmtId="0" fontId="1" fillId="32" borderId="35" xfId="0" applyFont="1" applyFill="1" applyBorder="1" applyAlignment="1" applyProtection="1">
      <alignment/>
      <protection/>
    </xf>
    <xf numFmtId="0" fontId="1" fillId="32" borderId="36" xfId="0" applyFont="1" applyFill="1" applyBorder="1" applyAlignment="1" applyProtection="1">
      <alignment horizontal="center"/>
      <protection/>
    </xf>
    <xf numFmtId="174" fontId="1" fillId="32" borderId="37" xfId="0" applyNumberFormat="1" applyFont="1" applyFill="1" applyBorder="1" applyAlignment="1" applyProtection="1">
      <alignment horizontal="center"/>
      <protection/>
    </xf>
    <xf numFmtId="174" fontId="1" fillId="32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>
      <alignment/>
    </xf>
    <xf numFmtId="174" fontId="1" fillId="32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37" fontId="17" fillId="0" borderId="21" xfId="0" applyNumberFormat="1" applyFont="1" applyBorder="1" applyAlignment="1">
      <alignment/>
    </xf>
    <xf numFmtId="37" fontId="17" fillId="0" borderId="12" xfId="0" applyNumberFormat="1" applyFont="1" applyBorder="1" applyAlignment="1">
      <alignment/>
    </xf>
    <xf numFmtId="37" fontId="17" fillId="0" borderId="16" xfId="0" applyNumberFormat="1" applyFont="1" applyBorder="1" applyAlignment="1">
      <alignment/>
    </xf>
    <xf numFmtId="174" fontId="18" fillId="0" borderId="16" xfId="0" applyNumberFormat="1" applyFont="1" applyBorder="1" applyAlignment="1">
      <alignment/>
    </xf>
    <xf numFmtId="174" fontId="18" fillId="0" borderId="12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37" fontId="1" fillId="33" borderId="10" xfId="0" applyNumberFormat="1" applyFont="1" applyFill="1" applyBorder="1" applyAlignment="1" applyProtection="1">
      <alignment/>
      <protection locked="0"/>
    </xf>
    <xf numFmtId="44" fontId="1" fillId="0" borderId="12" xfId="44" applyFont="1" applyBorder="1" applyAlignment="1">
      <alignment/>
    </xf>
    <xf numFmtId="37" fontId="1" fillId="0" borderId="14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>
      <alignment/>
    </xf>
    <xf numFmtId="37" fontId="20" fillId="32" borderId="12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 applyProtection="1">
      <alignment/>
      <protection/>
    </xf>
    <xf numFmtId="37" fontId="20" fillId="32" borderId="0" xfId="0" applyNumberFormat="1" applyFont="1" applyFill="1" applyAlignment="1" applyProtection="1">
      <alignment horizontal="right"/>
      <protection/>
    </xf>
    <xf numFmtId="177" fontId="20" fillId="32" borderId="0" xfId="42" applyNumberFormat="1" applyFont="1" applyFill="1" applyAlignment="1" applyProtection="1">
      <alignment/>
      <protection/>
    </xf>
    <xf numFmtId="0" fontId="20" fillId="32" borderId="0" xfId="0" applyFont="1" applyFill="1" applyAlignment="1">
      <alignment/>
    </xf>
    <xf numFmtId="0" fontId="20" fillId="0" borderId="0" xfId="0" applyFont="1" applyAlignment="1">
      <alignment/>
    </xf>
    <xf numFmtId="177" fontId="20" fillId="32" borderId="0" xfId="42" applyNumberFormat="1" applyFont="1" applyFill="1" applyAlignment="1">
      <alignment/>
    </xf>
    <xf numFmtId="37" fontId="21" fillId="32" borderId="0" xfId="0" applyNumberFormat="1" applyFont="1" applyFill="1" applyAlignment="1" applyProtection="1">
      <alignment horizontal="centerContinuous"/>
      <protection/>
    </xf>
    <xf numFmtId="0" fontId="20" fillId="32" borderId="0" xfId="0" applyFont="1" applyFill="1" applyAlignment="1" applyProtection="1">
      <alignment horizontal="centerContinuous"/>
      <protection/>
    </xf>
    <xf numFmtId="37" fontId="20" fillId="32" borderId="0" xfId="0" applyNumberFormat="1" applyFont="1" applyFill="1" applyAlignment="1" applyProtection="1" quotePrefix="1">
      <alignment horizontal="right"/>
      <protection/>
    </xf>
    <xf numFmtId="177" fontId="20" fillId="32" borderId="0" xfId="42" applyNumberFormat="1" applyFont="1" applyFill="1" applyAlignment="1">
      <alignment horizontal="centerContinuous"/>
    </xf>
    <xf numFmtId="37" fontId="20" fillId="32" borderId="0" xfId="0" applyNumberFormat="1" applyFont="1" applyFill="1" applyAlignment="1" applyProtection="1">
      <alignment horizontal="fill"/>
      <protection/>
    </xf>
    <xf numFmtId="37" fontId="20" fillId="32" borderId="0" xfId="0" applyNumberFormat="1" applyFont="1" applyFill="1" applyAlignment="1" applyProtection="1">
      <alignment horizontal="left"/>
      <protection/>
    </xf>
    <xf numFmtId="37" fontId="20" fillId="32" borderId="11" xfId="0" applyNumberFormat="1" applyFont="1" applyFill="1" applyBorder="1" applyAlignment="1" applyProtection="1">
      <alignment horizontal="center"/>
      <protection/>
    </xf>
    <xf numFmtId="37" fontId="20" fillId="32" borderId="11" xfId="0" applyNumberFormat="1" applyFont="1" applyFill="1" applyBorder="1" applyAlignment="1" applyProtection="1">
      <alignment horizontal="center" wrapText="1"/>
      <protection/>
    </xf>
    <xf numFmtId="37" fontId="20" fillId="32" borderId="23" xfId="0" applyNumberFormat="1" applyFont="1" applyFill="1" applyBorder="1" applyAlignment="1" applyProtection="1">
      <alignment horizontal="center"/>
      <protection/>
    </xf>
    <xf numFmtId="177" fontId="20" fillId="32" borderId="11" xfId="42" applyNumberFormat="1" applyFont="1" applyFill="1" applyBorder="1" applyAlignment="1">
      <alignment horizontal="center"/>
    </xf>
    <xf numFmtId="37" fontId="20" fillId="32" borderId="12" xfId="0" applyNumberFormat="1" applyFont="1" applyFill="1" applyBorder="1" applyAlignment="1" applyProtection="1">
      <alignment horizontal="left"/>
      <protection/>
    </xf>
    <xf numFmtId="0" fontId="20" fillId="32" borderId="13" xfId="0" applyFont="1" applyFill="1" applyBorder="1" applyAlignment="1" applyProtection="1">
      <alignment horizontal="center"/>
      <protection/>
    </xf>
    <xf numFmtId="0" fontId="22" fillId="32" borderId="13" xfId="0" applyFont="1" applyFill="1" applyBorder="1" applyAlignment="1">
      <alignment horizontal="center" wrapText="1"/>
    </xf>
    <xf numFmtId="177" fontId="20" fillId="32" borderId="13" xfId="42" applyNumberFormat="1" applyFont="1" applyFill="1" applyBorder="1" applyAlignment="1">
      <alignment horizontal="center"/>
    </xf>
    <xf numFmtId="37" fontId="20" fillId="32" borderId="14" xfId="0" applyNumberFormat="1" applyFont="1" applyFill="1" applyBorder="1" applyAlignment="1" applyProtection="1">
      <alignment/>
      <protection/>
    </xf>
    <xf numFmtId="165" fontId="20" fillId="10" borderId="14" xfId="0" applyNumberFormat="1" applyFont="1" applyFill="1" applyBorder="1" applyAlignment="1" applyProtection="1">
      <alignment/>
      <protection locked="0"/>
    </xf>
    <xf numFmtId="170" fontId="20" fillId="32" borderId="14" xfId="0" applyNumberFormat="1" applyFont="1" applyFill="1" applyBorder="1" applyAlignment="1" applyProtection="1">
      <alignment/>
      <protection/>
    </xf>
    <xf numFmtId="177" fontId="20" fillId="10" borderId="14" xfId="42" applyNumberFormat="1" applyFont="1" applyFill="1" applyBorder="1" applyAlignment="1" applyProtection="1">
      <alignment/>
      <protection locked="0"/>
    </xf>
    <xf numFmtId="37" fontId="20" fillId="32" borderId="14" xfId="0" applyNumberFormat="1" applyFont="1" applyFill="1" applyBorder="1" applyAlignment="1" applyProtection="1">
      <alignment horizontal="left"/>
      <protection/>
    </xf>
    <xf numFmtId="37" fontId="20" fillId="34" borderId="14" xfId="0" applyNumberFormat="1" applyFont="1" applyFill="1" applyBorder="1" applyAlignment="1" applyProtection="1">
      <alignment/>
      <protection/>
    </xf>
    <xf numFmtId="165" fontId="20" fillId="34" borderId="14" xfId="0" applyNumberFormat="1" applyFont="1" applyFill="1" applyBorder="1" applyAlignment="1" applyProtection="1">
      <alignment/>
      <protection/>
    </xf>
    <xf numFmtId="170" fontId="20" fillId="34" borderId="14" xfId="0" applyNumberFormat="1" applyFont="1" applyFill="1" applyBorder="1" applyAlignment="1" applyProtection="1">
      <alignment/>
      <protection/>
    </xf>
    <xf numFmtId="177" fontId="20" fillId="32" borderId="14" xfId="42" applyNumberFormat="1" applyFont="1" applyFill="1" applyBorder="1" applyAlignment="1">
      <alignment/>
    </xf>
    <xf numFmtId="0" fontId="20" fillId="32" borderId="0" xfId="0" applyFont="1" applyFill="1" applyAlignment="1" applyProtection="1">
      <alignment horizontal="center"/>
      <protection/>
    </xf>
    <xf numFmtId="177" fontId="20" fillId="32" borderId="0" xfId="42" applyNumberFormat="1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37" fontId="20" fillId="32" borderId="12" xfId="0" applyNumberFormat="1" applyFont="1" applyFill="1" applyBorder="1" applyAlignment="1" applyProtection="1">
      <alignment horizontal="fill"/>
      <protection/>
    </xf>
    <xf numFmtId="37" fontId="20" fillId="32" borderId="0" xfId="0" applyNumberFormat="1" applyFont="1" applyFill="1" applyAlignment="1" applyProtection="1">
      <alignment horizontal="centerContinuous"/>
      <protection/>
    </xf>
    <xf numFmtId="0" fontId="20" fillId="32" borderId="0" xfId="0" applyFont="1" applyFill="1" applyAlignment="1" applyProtection="1">
      <alignment horizontal="right"/>
      <protection/>
    </xf>
    <xf numFmtId="0" fontId="20" fillId="1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7" fontId="20" fillId="0" borderId="0" xfId="42" applyNumberFormat="1" applyFont="1" applyAlignment="1">
      <alignment/>
    </xf>
    <xf numFmtId="37" fontId="20" fillId="0" borderId="0" xfId="0" applyNumberFormat="1" applyFont="1" applyAlignment="1" applyProtection="1">
      <alignment horizontal="left"/>
      <protection locked="0"/>
    </xf>
    <xf numFmtId="37" fontId="20" fillId="0" borderId="0" xfId="0" applyNumberFormat="1" applyFont="1" applyAlignment="1" applyProtection="1">
      <alignment horizontal="center"/>
      <protection locked="0"/>
    </xf>
    <xf numFmtId="37" fontId="20" fillId="0" borderId="0" xfId="0" applyNumberFormat="1" applyFont="1" applyBorder="1" applyAlignment="1" applyProtection="1">
      <alignment horizontal="fill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>
      <alignment/>
    </xf>
    <xf numFmtId="170" fontId="20" fillId="10" borderId="14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2" borderId="17" xfId="0" applyNumberFormat="1" applyFont="1" applyFill="1" applyBorder="1" applyAlignment="1" applyProtection="1">
      <alignment horizontal="center"/>
      <protection/>
    </xf>
    <xf numFmtId="37" fontId="1" fillId="32" borderId="1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2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2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2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2" borderId="0" xfId="0" applyNumberFormat="1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3" fontId="1" fillId="32" borderId="12" xfId="0" applyNumberFormat="1" applyFont="1" applyFill="1" applyBorder="1" applyAlignment="1" applyProtection="1">
      <alignment horizontal="center"/>
      <protection/>
    </xf>
    <xf numFmtId="0" fontId="8" fillId="10" borderId="12" xfId="0" applyFont="1" applyFill="1" applyBorder="1" applyAlignment="1" applyProtection="1">
      <alignment horizontal="center"/>
      <protection locked="0"/>
    </xf>
    <xf numFmtId="37" fontId="13" fillId="32" borderId="0" xfId="0" applyNumberFormat="1" applyFont="1" applyFill="1" applyBorder="1" applyAlignment="1" applyProtection="1">
      <alignment horizontal="center"/>
      <protection locked="0"/>
    </xf>
    <xf numFmtId="37" fontId="1" fillId="10" borderId="12" xfId="0" applyNumberFormat="1" applyFont="1" applyFill="1" applyBorder="1" applyAlignment="1" applyProtection="1">
      <alignment horizontal="center"/>
      <protection locked="0"/>
    </xf>
    <xf numFmtId="37" fontId="3" fillId="32" borderId="0" xfId="0" applyNumberFormat="1" applyFont="1" applyFill="1" applyBorder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7" fontId="20" fillId="32" borderId="17" xfId="0" applyNumberFormat="1" applyFont="1" applyFill="1" applyBorder="1" applyAlignment="1" applyProtection="1">
      <alignment horizontal="center"/>
      <protection/>
    </xf>
    <xf numFmtId="37" fontId="20" fillId="32" borderId="18" xfId="0" applyNumberFormat="1" applyFont="1" applyFill="1" applyBorder="1" applyAlignment="1" applyProtection="1">
      <alignment horizontal="center"/>
      <protection/>
    </xf>
    <xf numFmtId="37" fontId="20" fillId="32" borderId="10" xfId="0" applyNumberFormat="1" applyFont="1" applyFill="1" applyBorder="1" applyAlignment="1" applyProtection="1">
      <alignment horizontal="center"/>
      <protection/>
    </xf>
    <xf numFmtId="1" fontId="20" fillId="32" borderId="17" xfId="0" applyNumberFormat="1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0" fillId="32" borderId="17" xfId="0" applyFont="1" applyFill="1" applyBorder="1" applyAlignment="1" applyProtection="1">
      <alignment horizontal="center" shrinkToFit="1"/>
      <protection/>
    </xf>
    <xf numFmtId="0" fontId="22" fillId="0" borderId="10" xfId="0" applyFont="1" applyBorder="1" applyAlignment="1">
      <alignment horizontal="center" shrinkToFit="1"/>
    </xf>
    <xf numFmtId="37" fontId="1" fillId="32" borderId="18" xfId="0" applyNumberFormat="1" applyFont="1" applyFill="1" applyBorder="1" applyAlignment="1" applyProtection="1">
      <alignment horizontal="center"/>
      <protection/>
    </xf>
    <xf numFmtId="37" fontId="1" fillId="32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2" borderId="0" xfId="0" applyNumberFormat="1" applyFont="1" applyFill="1" applyBorder="1" applyAlignment="1" applyProtection="1">
      <alignment horizontal="center"/>
      <protection locked="0"/>
    </xf>
    <xf numFmtId="37" fontId="1" fillId="10" borderId="12" xfId="0" applyNumberFormat="1" applyFont="1" applyFill="1" applyBorder="1" applyAlignment="1" applyProtection="1">
      <alignment horizontal="center"/>
      <protection/>
    </xf>
    <xf numFmtId="37" fontId="3" fillId="32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74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92" t="s">
        <v>97</v>
      </c>
      <c r="B1" s="292"/>
      <c r="C1" s="292"/>
      <c r="D1" s="292"/>
      <c r="E1" s="292"/>
      <c r="F1" s="292"/>
      <c r="G1" s="292"/>
      <c r="H1" s="292"/>
      <c r="I1" s="292"/>
    </row>
    <row r="3" ht="15.75">
      <c r="A3" s="3" t="s">
        <v>96</v>
      </c>
    </row>
    <row r="4" ht="15.75">
      <c r="A4" s="3" t="s">
        <v>145</v>
      </c>
    </row>
    <row r="6" ht="15.75">
      <c r="A6" s="3" t="s">
        <v>98</v>
      </c>
    </row>
    <row r="7" ht="15.75">
      <c r="A7" s="3" t="s">
        <v>164</v>
      </c>
    </row>
    <row r="8" ht="15.75">
      <c r="A8" s="3" t="s">
        <v>166</v>
      </c>
    </row>
    <row r="10" ht="15.75">
      <c r="A10" s="3" t="s">
        <v>114</v>
      </c>
    </row>
    <row r="11" ht="15.75">
      <c r="A11" s="3" t="s">
        <v>159</v>
      </c>
    </row>
    <row r="13" ht="15.75">
      <c r="A13" s="3" t="s">
        <v>115</v>
      </c>
    </row>
    <row r="15" spans="1:9" ht="15.75">
      <c r="A15" s="292" t="s">
        <v>233</v>
      </c>
      <c r="B15" s="293"/>
      <c r="C15" s="293"/>
      <c r="D15" s="293"/>
      <c r="E15" s="293"/>
      <c r="F15" s="293"/>
      <c r="G15" s="293"/>
      <c r="H15" s="293"/>
      <c r="I15" s="293"/>
    </row>
    <row r="17" ht="15.75">
      <c r="A17" s="3" t="s">
        <v>116</v>
      </c>
    </row>
    <row r="18" ht="15.75">
      <c r="A18" s="3" t="s">
        <v>160</v>
      </c>
    </row>
    <row r="20" ht="15.75">
      <c r="A20" s="3" t="s">
        <v>117</v>
      </c>
    </row>
    <row r="21" ht="15.75">
      <c r="A21" s="3" t="s">
        <v>118</v>
      </c>
    </row>
    <row r="22" ht="15.75">
      <c r="A22" s="3" t="s">
        <v>119</v>
      </c>
    </row>
    <row r="23" ht="15.75">
      <c r="A23" s="3" t="s">
        <v>120</v>
      </c>
    </row>
    <row r="25" spans="1:9" ht="15.75">
      <c r="A25" s="292" t="s">
        <v>121</v>
      </c>
      <c r="B25" s="293"/>
      <c r="C25" s="293"/>
      <c r="D25" s="293"/>
      <c r="E25" s="293"/>
      <c r="F25" s="293"/>
      <c r="G25" s="293"/>
      <c r="H25" s="293"/>
      <c r="I25" s="293"/>
    </row>
    <row r="27" ht="15.75">
      <c r="A27" s="3" t="s">
        <v>140</v>
      </c>
    </row>
    <row r="28" ht="15.75">
      <c r="A28" s="3" t="s">
        <v>181</v>
      </c>
    </row>
    <row r="29" ht="15.75">
      <c r="A29" s="171" t="s">
        <v>182</v>
      </c>
    </row>
    <row r="30" ht="15.75">
      <c r="A30" s="3" t="s">
        <v>183</v>
      </c>
    </row>
    <row r="31" ht="15.75">
      <c r="A31" s="171" t="s">
        <v>184</v>
      </c>
    </row>
    <row r="32" ht="15.75">
      <c r="A32" s="171" t="s">
        <v>185</v>
      </c>
    </row>
    <row r="34" spans="1:9" ht="15.75">
      <c r="A34" s="152" t="s">
        <v>123</v>
      </c>
      <c r="B34" s="152"/>
      <c r="C34" s="152"/>
      <c r="D34" s="152"/>
      <c r="E34" s="152"/>
      <c r="F34" s="152"/>
      <c r="G34" s="152"/>
      <c r="H34" s="152"/>
      <c r="I34" s="152"/>
    </row>
    <row r="35" spans="1:9" ht="15.75">
      <c r="A35" s="152" t="s">
        <v>124</v>
      </c>
      <c r="B35" s="152"/>
      <c r="C35" s="152"/>
      <c r="D35" s="152"/>
      <c r="E35" s="152"/>
      <c r="F35" s="152"/>
      <c r="G35" s="152"/>
      <c r="H35" s="152"/>
      <c r="I35" s="152"/>
    </row>
    <row r="37" spans="1:9" ht="15.75">
      <c r="A37" s="73" t="s">
        <v>125</v>
      </c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73" t="s">
        <v>126</v>
      </c>
      <c r="B38" s="73"/>
      <c r="C38" s="73"/>
      <c r="D38" s="73"/>
      <c r="E38" s="73"/>
      <c r="F38" s="73"/>
      <c r="G38" s="73"/>
      <c r="H38" s="73"/>
      <c r="I38" s="73"/>
    </row>
    <row r="39" spans="1:9" ht="15.75">
      <c r="A39" s="73" t="s">
        <v>127</v>
      </c>
      <c r="B39" s="73"/>
      <c r="C39" s="73"/>
      <c r="D39" s="73"/>
      <c r="E39" s="73"/>
      <c r="F39" s="73"/>
      <c r="G39" s="73"/>
      <c r="H39" s="73"/>
      <c r="I39" s="73"/>
    </row>
    <row r="41" ht="15.75">
      <c r="A41" s="3" t="s">
        <v>128</v>
      </c>
    </row>
    <row r="43" spans="1:9" ht="15.75">
      <c r="A43" s="292" t="s">
        <v>129</v>
      </c>
      <c r="B43" s="293"/>
      <c r="C43" s="293"/>
      <c r="D43" s="293"/>
      <c r="E43" s="293"/>
      <c r="F43" s="293"/>
      <c r="G43" s="293"/>
      <c r="H43" s="293"/>
      <c r="I43" s="293"/>
    </row>
    <row r="45" spans="1:10" ht="15.75">
      <c r="A45" s="290" t="s">
        <v>199</v>
      </c>
      <c r="B45" s="291"/>
      <c r="C45" s="291"/>
      <c r="D45" s="291"/>
      <c r="E45" s="291"/>
      <c r="F45" s="291"/>
      <c r="G45" s="291"/>
      <c r="H45" s="291"/>
      <c r="I45" s="291"/>
      <c r="J45" s="291"/>
    </row>
    <row r="46" spans="1:10" ht="15.75">
      <c r="A46" s="173" t="s">
        <v>193</v>
      </c>
      <c r="B46" s="174"/>
      <c r="C46" s="174"/>
      <c r="D46" s="174"/>
      <c r="E46" s="174"/>
      <c r="F46" s="174"/>
      <c r="G46" s="174"/>
      <c r="H46" s="174"/>
      <c r="I46" s="174"/>
      <c r="J46" s="174"/>
    </row>
    <row r="48" ht="15.75">
      <c r="A48" s="3" t="s">
        <v>198</v>
      </c>
    </row>
    <row r="49" ht="15.75">
      <c r="A49" s="3" t="s">
        <v>197</v>
      </c>
    </row>
    <row r="50" ht="15.75">
      <c r="A50" s="3" t="s">
        <v>196</v>
      </c>
    </row>
    <row r="51" ht="15.75">
      <c r="A51" s="3" t="s">
        <v>147</v>
      </c>
    </row>
    <row r="52" ht="15.75">
      <c r="A52" s="3" t="s">
        <v>148</v>
      </c>
    </row>
    <row r="53" ht="15.75">
      <c r="A53" s="3" t="s">
        <v>186</v>
      </c>
    </row>
    <row r="54" ht="15.75">
      <c r="A54" s="172" t="s">
        <v>130</v>
      </c>
    </row>
    <row r="56" ht="15.75">
      <c r="A56" s="3" t="s">
        <v>209</v>
      </c>
    </row>
    <row r="57" ht="15.75">
      <c r="A57" s="3" t="s">
        <v>187</v>
      </c>
    </row>
    <row r="58" ht="15.75">
      <c r="A58" s="3" t="s">
        <v>210</v>
      </c>
    </row>
    <row r="59" ht="15.75">
      <c r="A59" s="3" t="s">
        <v>194</v>
      </c>
    </row>
    <row r="60" ht="15.75">
      <c r="A60" s="3" t="s">
        <v>195</v>
      </c>
    </row>
    <row r="61" spans="1:10" ht="79.5" customHeight="1">
      <c r="A61" s="288" t="s">
        <v>232</v>
      </c>
      <c r="B61" s="289"/>
      <c r="C61" s="289"/>
      <c r="D61" s="289"/>
      <c r="E61" s="289"/>
      <c r="F61" s="289"/>
      <c r="G61" s="289"/>
      <c r="H61" s="289"/>
      <c r="I61" s="289"/>
      <c r="J61" s="289"/>
    </row>
    <row r="63" ht="15.75">
      <c r="A63" s="3" t="s">
        <v>211</v>
      </c>
    </row>
    <row r="64" ht="15.75">
      <c r="A64" s="3" t="s">
        <v>188</v>
      </c>
    </row>
    <row r="66" ht="15.75">
      <c r="A66" s="3" t="s">
        <v>212</v>
      </c>
    </row>
    <row r="67" ht="15.75">
      <c r="A67" s="3" t="s">
        <v>200</v>
      </c>
    </row>
    <row r="68" ht="15.75">
      <c r="A68" s="3" t="s">
        <v>201</v>
      </c>
    </row>
    <row r="69" ht="15.75">
      <c r="A69" s="175" t="s">
        <v>202</v>
      </c>
    </row>
    <row r="70" ht="15.75">
      <c r="A70" s="3" t="s">
        <v>178</v>
      </c>
    </row>
    <row r="71" ht="15.75">
      <c r="A71" s="3" t="s">
        <v>234</v>
      </c>
    </row>
    <row r="73" ht="15.75">
      <c r="A73" s="3" t="s">
        <v>213</v>
      </c>
    </row>
    <row r="74" ht="15.75">
      <c r="A74" s="3" t="s">
        <v>179</v>
      </c>
    </row>
    <row r="75" ht="15.75">
      <c r="A75" s="3" t="s">
        <v>161</v>
      </c>
    </row>
    <row r="76" ht="15.75">
      <c r="A76" s="3" t="s">
        <v>189</v>
      </c>
    </row>
    <row r="77" ht="15.75">
      <c r="A77" s="3" t="s">
        <v>163</v>
      </c>
    </row>
    <row r="78" ht="15.75">
      <c r="A78" s="3" t="s">
        <v>162</v>
      </c>
    </row>
    <row r="80" ht="15.75">
      <c r="A80" s="3" t="s">
        <v>214</v>
      </c>
    </row>
    <row r="81" ht="15.75">
      <c r="A81" s="3" t="s">
        <v>144</v>
      </c>
    </row>
    <row r="82" ht="15.75">
      <c r="A82" s="3" t="s">
        <v>149</v>
      </c>
    </row>
    <row r="83" ht="15.75">
      <c r="A83" s="3" t="s">
        <v>190</v>
      </c>
    </row>
    <row r="84" ht="15.75">
      <c r="A84" s="3" t="s">
        <v>191</v>
      </c>
    </row>
    <row r="85" ht="15.75">
      <c r="A85" s="3" t="s">
        <v>150</v>
      </c>
    </row>
    <row r="86" ht="15.75">
      <c r="A86" s="3" t="s">
        <v>153</v>
      </c>
    </row>
    <row r="87" ht="15.75">
      <c r="A87" s="3" t="s">
        <v>155</v>
      </c>
    </row>
    <row r="89" ht="15.75">
      <c r="A89" s="3" t="s">
        <v>215</v>
      </c>
    </row>
    <row r="90" ht="15.75">
      <c r="A90" s="3" t="s">
        <v>151</v>
      </c>
    </row>
    <row r="91" ht="15.75">
      <c r="A91" s="3" t="s">
        <v>152</v>
      </c>
    </row>
    <row r="92" ht="15.75">
      <c r="A92" s="3" t="s">
        <v>192</v>
      </c>
    </row>
    <row r="93" ht="15.75">
      <c r="A93" s="3" t="s">
        <v>156</v>
      </c>
    </row>
    <row r="94" ht="15.75">
      <c r="A94" s="3" t="s">
        <v>154</v>
      </c>
    </row>
    <row r="96" ht="15.75">
      <c r="A96" s="3" t="s">
        <v>216</v>
      </c>
    </row>
    <row r="97" ht="15.75">
      <c r="A97" s="3" t="s">
        <v>157</v>
      </c>
    </row>
    <row r="99" ht="15.75">
      <c r="A99" s="3" t="s">
        <v>217</v>
      </c>
    </row>
    <row r="100" ht="15.75">
      <c r="A100" s="3" t="s">
        <v>158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8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37">
      <selection activeCell="A67" sqref="A6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cert2!A12</f>
        <v>Buck's Grove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3064</v>
      </c>
      <c r="E9" s="20">
        <f>+D36</f>
        <v>4364.29</v>
      </c>
      <c r="F9" s="20">
        <f>+E36</f>
        <v>5086.290000000001</v>
      </c>
    </row>
    <row r="10" spans="1:6" ht="15.75">
      <c r="A10" s="199" t="s">
        <v>14</v>
      </c>
      <c r="B10" s="200"/>
      <c r="C10" s="201"/>
      <c r="D10" s="196"/>
      <c r="E10" s="36">
        <v>3795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193</v>
      </c>
      <c r="F12" s="20">
        <f>D51</f>
        <v>194</v>
      </c>
    </row>
    <row r="13" spans="1:6" ht="15.75">
      <c r="A13" s="34" t="s">
        <v>17</v>
      </c>
      <c r="B13" s="35"/>
      <c r="C13" s="201"/>
      <c r="D13" s="196"/>
      <c r="E13" s="36">
        <v>4</v>
      </c>
      <c r="F13" s="20">
        <f>E51</f>
        <v>3</v>
      </c>
    </row>
    <row r="14" spans="1:6" ht="15.75">
      <c r="A14" s="34" t="s">
        <v>86</v>
      </c>
      <c r="B14" s="35"/>
      <c r="C14" s="201"/>
      <c r="D14" s="196"/>
      <c r="E14" s="36">
        <v>20</v>
      </c>
      <c r="F14" s="20">
        <f>F51</f>
        <v>33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288</v>
      </c>
      <c r="B17" s="38"/>
      <c r="C17" s="202"/>
      <c r="D17" s="196">
        <v>3940.29</v>
      </c>
      <c r="E17" s="36" t="s">
        <v>19</v>
      </c>
      <c r="F17" s="36" t="s">
        <v>19</v>
      </c>
    </row>
    <row r="18" spans="1:6" ht="15.75">
      <c r="A18" s="39" t="s">
        <v>289</v>
      </c>
      <c r="B18" s="38"/>
      <c r="C18" s="202"/>
      <c r="D18" s="196">
        <v>100</v>
      </c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4040.29</v>
      </c>
      <c r="E23" s="184">
        <f>SUM(E10:E22)</f>
        <v>4012</v>
      </c>
      <c r="F23" s="184">
        <f>SUM(F10:F22)</f>
        <v>230</v>
      </c>
    </row>
    <row r="24" spans="1:6" ht="15.75">
      <c r="A24" s="42" t="s">
        <v>23</v>
      </c>
      <c r="B24" s="35"/>
      <c r="C24" s="201"/>
      <c r="D24" s="197">
        <f>+D9+D23</f>
        <v>7104.29</v>
      </c>
      <c r="E24" s="184">
        <f>+E9+E23</f>
        <v>8376.29</v>
      </c>
      <c r="F24" s="184">
        <f>+F9+F23</f>
        <v>5316.290000000001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2640</v>
      </c>
      <c r="E26" s="36">
        <v>2640</v>
      </c>
      <c r="F26" s="36">
        <v>2640</v>
      </c>
    </row>
    <row r="27" spans="1:6" ht="15.75">
      <c r="A27" s="40" t="s">
        <v>290</v>
      </c>
      <c r="B27" s="38"/>
      <c r="C27" s="202"/>
      <c r="D27" s="196">
        <v>100</v>
      </c>
      <c r="E27" s="36"/>
      <c r="F27" s="36"/>
    </row>
    <row r="28" spans="1:6" ht="15.75">
      <c r="A28" s="40" t="s">
        <v>291</v>
      </c>
      <c r="B28" s="38"/>
      <c r="C28" s="202"/>
      <c r="D28" s="196"/>
      <c r="E28" s="36"/>
      <c r="F28" s="36">
        <v>5564</v>
      </c>
    </row>
    <row r="29" spans="1:6" ht="15.75">
      <c r="A29" s="40" t="s">
        <v>292</v>
      </c>
      <c r="B29" s="38"/>
      <c r="C29" s="202"/>
      <c r="D29" s="196"/>
      <c r="E29" s="36">
        <v>650</v>
      </c>
      <c r="F29" s="36"/>
    </row>
    <row r="30" spans="1:6" ht="15.75">
      <c r="A30" s="37" t="s">
        <v>300</v>
      </c>
      <c r="B30" s="38"/>
      <c r="C30" s="202"/>
      <c r="D30" s="196"/>
      <c r="E30" s="36"/>
      <c r="F30" s="36">
        <v>909</v>
      </c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2740</v>
      </c>
      <c r="E35" s="184">
        <f>SUM(E26:E34)</f>
        <v>3290</v>
      </c>
      <c r="F35" s="184">
        <f>SUM(F26:F34)</f>
        <v>9113</v>
      </c>
    </row>
    <row r="36" spans="1:6" ht="15.75">
      <c r="A36" s="34" t="s">
        <v>26</v>
      </c>
      <c r="B36" s="35"/>
      <c r="C36" s="201"/>
      <c r="D36" s="190">
        <f>+D24-D35</f>
        <v>4364.29</v>
      </c>
      <c r="E36" s="185">
        <f>+E24-E35</f>
        <v>5086.290000000001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9113</v>
      </c>
    </row>
    <row r="39" spans="1:6" ht="15.75">
      <c r="A39" s="1"/>
      <c r="B39" s="1"/>
      <c r="C39" s="1"/>
      <c r="D39" s="1"/>
      <c r="E39" s="4" t="s">
        <v>29</v>
      </c>
      <c r="F39" s="20">
        <f>IF(F38-F24&gt;0,F38-F24,0)</f>
        <v>3796.709999999999</v>
      </c>
    </row>
    <row r="40" spans="1:6" ht="15.75">
      <c r="A40" s="307" t="s">
        <v>171</v>
      </c>
      <c r="B40" s="308"/>
      <c r="C40" s="308"/>
      <c r="D40" s="308"/>
      <c r="E40" s="189"/>
      <c r="F40" s="20">
        <f>ROUND(IF($E$40&gt;0,($F$39*$E$40),0),0)</f>
        <v>0</v>
      </c>
    </row>
    <row r="41" spans="1:6" ht="15.75">
      <c r="A41" s="1" t="s">
        <v>423</v>
      </c>
      <c r="B41" s="60">
        <f>Comp3!J35</f>
        <v>3797.1053883456766</v>
      </c>
      <c r="C41" s="1"/>
      <c r="D41" s="1"/>
      <c r="E41" s="4" t="str">
        <f>CONCATENATE("Amount of ",$F$1-1," Ad Valorem Tax")</f>
        <v>Amount of 2011 Ad Valorem Tax</v>
      </c>
      <c r="F41" s="185">
        <f>SUM(F39:F40)</f>
        <v>3796.709999999999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3795</v>
      </c>
      <c r="D51" s="127">
        <f>IF(C51&gt;0,ROUND(+C51*D$59,0)," ")</f>
        <v>194</v>
      </c>
      <c r="E51" s="127">
        <f>IF(C51&gt;0,ROUND(+C51*E$60,0)," ")</f>
        <v>3</v>
      </c>
      <c r="F51" s="127">
        <f>IF(C51&gt;0,ROUND(+C51*F$61,0)," ")</f>
        <v>33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3795</v>
      </c>
      <c r="D53" s="191">
        <f>SUM(D51:D52)</f>
        <v>194</v>
      </c>
      <c r="E53" s="191">
        <f>SUM(E51:E52)</f>
        <v>3</v>
      </c>
      <c r="F53" s="191">
        <f>SUM(F51:F52)</f>
        <v>33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f>99.19+94.62</f>
        <v>193.81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3.45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f>29.31+3.21</f>
        <v>32.519999999999996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0.051069828722002636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0.0009090909090909091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0.008569169960474307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1" t="s">
        <v>266</v>
      </c>
      <c r="B63" s="11"/>
      <c r="C63" s="1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'Buck''s Grove'!C3</f>
        <v>Buck's Grove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3795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3795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f>11259+12074</f>
        <v>23333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f>12697+67639</f>
        <v>80336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1684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1684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f>2391777+645347</f>
        <v>3037124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3035440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0.0005547795377276441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2.1053883456764093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3797.1053883456766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3797.1053883456766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1">
      <selection activeCell="F31" sqref="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cert2!A13</f>
        <v>Circleville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4448</v>
      </c>
      <c r="E9" s="20">
        <f>+D36</f>
        <v>4031.6099999999997</v>
      </c>
      <c r="F9" s="20">
        <f>+E36</f>
        <v>1649.6100000000006</v>
      </c>
    </row>
    <row r="10" spans="1:6" ht="15.75">
      <c r="A10" s="199" t="s">
        <v>14</v>
      </c>
      <c r="B10" s="200"/>
      <c r="C10" s="201"/>
      <c r="D10" s="196"/>
      <c r="E10" s="36">
        <v>5960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1002</v>
      </c>
      <c r="F12" s="20">
        <f>D51</f>
        <v>991</v>
      </c>
    </row>
    <row r="13" spans="1:6" ht="15.75">
      <c r="A13" s="34" t="s">
        <v>17</v>
      </c>
      <c r="B13" s="35"/>
      <c r="C13" s="201"/>
      <c r="D13" s="196"/>
      <c r="E13" s="36">
        <v>18</v>
      </c>
      <c r="F13" s="20">
        <f>E51</f>
        <v>21</v>
      </c>
    </row>
    <row r="14" spans="1:6" ht="15.75">
      <c r="A14" s="34" t="s">
        <v>86</v>
      </c>
      <c r="B14" s="35"/>
      <c r="C14" s="201"/>
      <c r="D14" s="196"/>
      <c r="E14" s="36">
        <v>111</v>
      </c>
      <c r="F14" s="20">
        <f>F51</f>
        <v>122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6834.66</v>
      </c>
      <c r="E17" s="36" t="s">
        <v>19</v>
      </c>
      <c r="F17" s="36" t="s">
        <v>19</v>
      </c>
    </row>
    <row r="18" spans="1:6" ht="15.75">
      <c r="A18" s="39" t="s">
        <v>304</v>
      </c>
      <c r="B18" s="38"/>
      <c r="C18" s="202"/>
      <c r="D18" s="196">
        <v>340</v>
      </c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7174.66</v>
      </c>
      <c r="E23" s="184">
        <f>SUM(E10:E22)</f>
        <v>7091</v>
      </c>
      <c r="F23" s="184">
        <f>SUM(F10:F22)</f>
        <v>1134</v>
      </c>
    </row>
    <row r="24" spans="1:6" ht="15.75">
      <c r="A24" s="42" t="s">
        <v>23</v>
      </c>
      <c r="B24" s="35"/>
      <c r="C24" s="201"/>
      <c r="D24" s="197">
        <f>+D9+D23</f>
        <v>11622.66</v>
      </c>
      <c r="E24" s="184">
        <f>+E9+E23</f>
        <v>11122.61</v>
      </c>
      <c r="F24" s="184">
        <f>+F9+F23</f>
        <v>2783.6100000000006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200</v>
      </c>
      <c r="E26" s="36"/>
      <c r="F26" s="36"/>
    </row>
    <row r="27" spans="1:6" ht="15.75">
      <c r="A27" s="40" t="s">
        <v>263</v>
      </c>
      <c r="B27" s="38"/>
      <c r="C27" s="202"/>
      <c r="D27" s="196">
        <v>7249</v>
      </c>
      <c r="E27" s="36">
        <v>7000</v>
      </c>
      <c r="F27" s="36">
        <v>7000</v>
      </c>
    </row>
    <row r="28" spans="1:6" ht="15.75">
      <c r="A28" s="40" t="s">
        <v>305</v>
      </c>
      <c r="B28" s="38"/>
      <c r="C28" s="202"/>
      <c r="D28" s="196">
        <v>142.05</v>
      </c>
      <c r="E28" s="36">
        <v>700</v>
      </c>
      <c r="F28" s="36">
        <v>700</v>
      </c>
    </row>
    <row r="29" spans="1:6" ht="15.75">
      <c r="A29" s="40" t="s">
        <v>306</v>
      </c>
      <c r="B29" s="38"/>
      <c r="C29" s="202"/>
      <c r="D29" s="196"/>
      <c r="E29" s="36"/>
      <c r="F29" s="36"/>
    </row>
    <row r="30" spans="1:6" ht="15.75">
      <c r="A30" s="37" t="s">
        <v>300</v>
      </c>
      <c r="B30" s="38"/>
      <c r="C30" s="202"/>
      <c r="D30" s="196"/>
      <c r="E30" s="36">
        <v>896</v>
      </c>
      <c r="F30" s="36">
        <v>311</v>
      </c>
    </row>
    <row r="31" spans="1:6" ht="15.75">
      <c r="A31" s="37" t="s">
        <v>281</v>
      </c>
      <c r="B31" s="38"/>
      <c r="C31" s="202"/>
      <c r="D31" s="196"/>
      <c r="E31" s="36">
        <v>877</v>
      </c>
      <c r="F31" s="36">
        <v>877</v>
      </c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7591.05</v>
      </c>
      <c r="E35" s="184">
        <f>SUM(E26:E34)</f>
        <v>9473</v>
      </c>
      <c r="F35" s="184">
        <f>SUM(F26:F34)</f>
        <v>8888</v>
      </c>
    </row>
    <row r="36" spans="1:6" ht="15.75">
      <c r="A36" s="34" t="s">
        <v>26</v>
      </c>
      <c r="B36" s="35"/>
      <c r="C36" s="201"/>
      <c r="D36" s="190">
        <f>+D24-D35</f>
        <v>4031.6099999999997</v>
      </c>
      <c r="E36" s="185">
        <f>+E24-E35</f>
        <v>1649.6100000000006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8888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6104.389999999999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Comp4!J35</f>
        <v>6103.749246485975</v>
      </c>
      <c r="D41" s="1"/>
      <c r="E41" s="4" t="str">
        <f>CONCATENATE("Amount of ",$F$1-1," Ad Valorem Tax")</f>
        <v>Amount of 2011 Ad Valorem Tax</v>
      </c>
      <c r="F41" s="185">
        <f>SUM(F39:F40)</f>
        <v>6104.389999999999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5960</v>
      </c>
      <c r="D51" s="127">
        <f>IF(C51&gt;0,ROUND(+C51*D$59,0)," ")</f>
        <v>991</v>
      </c>
      <c r="E51" s="127">
        <f>IF(C51&gt;0,ROUND(+C51*E$60,0)," ")</f>
        <v>21</v>
      </c>
      <c r="F51" s="127">
        <f>IF(C51&gt;0,ROUND(+C51*F$61,0)," ")</f>
        <v>122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5960</v>
      </c>
      <c r="D53" s="191">
        <f>SUM(D51:D52)</f>
        <v>991</v>
      </c>
      <c r="E53" s="191">
        <f>SUM(E51:E52)</f>
        <v>21</v>
      </c>
      <c r="F53" s="191">
        <f>SUM(F51:F52)</f>
        <v>122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991.2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21.21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122.22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0.16630872483221476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0.003558724832214765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0.020506711409395972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Circleville!C3</f>
        <v>Circleville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5960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5960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19416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52534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52534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12713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84663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3594883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3510220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0.02411900108825088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143.74924648597525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6103.749246485975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6103.749246485975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9">
      <selection activeCell="G67" sqref="G67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307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3030</v>
      </c>
      <c r="C9" s="20">
        <f>B35</f>
        <v>3030</v>
      </c>
      <c r="D9" s="20">
        <f>C35</f>
        <v>3030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SUM(B12:B18)</f>
        <v>0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3030</v>
      </c>
      <c r="C20" s="184">
        <f>C9+C19</f>
        <v>3030</v>
      </c>
      <c r="D20" s="184">
        <f>D9+D19</f>
        <v>3030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3030</v>
      </c>
      <c r="C35" s="185">
        <f>C20-C34</f>
        <v>3030</v>
      </c>
      <c r="D35" s="185">
        <f>D20-D34</f>
        <v>3030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308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3000</v>
      </c>
      <c r="C57" s="20">
        <f>B83</f>
        <v>731</v>
      </c>
      <c r="D57" s="20">
        <f>C83</f>
        <v>731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3000</v>
      </c>
      <c r="C68" s="184">
        <f>C57+C67</f>
        <v>731</v>
      </c>
      <c r="D68" s="184">
        <f>D57+D67</f>
        <v>731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309</v>
      </c>
      <c r="B70" s="36">
        <v>2269</v>
      </c>
      <c r="C70" s="36"/>
      <c r="D70" s="36"/>
    </row>
    <row r="71" spans="1:4" ht="15.75">
      <c r="A71" s="53"/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2269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731</v>
      </c>
      <c r="C83" s="185">
        <f>C68-C82</f>
        <v>731</v>
      </c>
      <c r="D83" s="185">
        <f>D68-D82</f>
        <v>731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cert2!A14</f>
        <v>Delia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3134.94</v>
      </c>
      <c r="E9" s="20">
        <f>+D36</f>
        <v>2605.41</v>
      </c>
      <c r="F9" s="20">
        <f>+E36</f>
        <v>1294.4099999999999</v>
      </c>
    </row>
    <row r="10" spans="1:6" ht="15.75">
      <c r="A10" s="199" t="s">
        <v>14</v>
      </c>
      <c r="B10" s="200"/>
      <c r="C10" s="201"/>
      <c r="D10" s="196"/>
      <c r="E10" s="36">
        <v>2044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269</v>
      </c>
      <c r="F12" s="20">
        <f>D51</f>
        <v>261</v>
      </c>
    </row>
    <row r="13" spans="1:6" ht="15.75">
      <c r="A13" s="34" t="s">
        <v>17</v>
      </c>
      <c r="B13" s="35"/>
      <c r="C13" s="201"/>
      <c r="D13" s="196"/>
      <c r="E13" s="36">
        <v>5</v>
      </c>
      <c r="F13" s="20">
        <f>E51</f>
        <v>4</v>
      </c>
    </row>
    <row r="14" spans="1:6" ht="15.75">
      <c r="A14" s="34" t="s">
        <v>86</v>
      </c>
      <c r="B14" s="35"/>
      <c r="C14" s="201"/>
      <c r="D14" s="196"/>
      <c r="E14" s="36">
        <v>66</v>
      </c>
      <c r="F14" s="20">
        <f>F51</f>
        <v>23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452</v>
      </c>
      <c r="B17" s="38"/>
      <c r="C17" s="202"/>
      <c r="D17" s="196">
        <v>1969.8</v>
      </c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0.67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1970.47</v>
      </c>
      <c r="E23" s="184">
        <f>SUM(E10:E22)</f>
        <v>2384</v>
      </c>
      <c r="F23" s="184">
        <f>SUM(F10:F22)</f>
        <v>288</v>
      </c>
    </row>
    <row r="24" spans="1:6" ht="15.75">
      <c r="A24" s="42" t="s">
        <v>23</v>
      </c>
      <c r="B24" s="35"/>
      <c r="C24" s="201"/>
      <c r="D24" s="197">
        <f>+D9+D23</f>
        <v>5105.41</v>
      </c>
      <c r="E24" s="184">
        <f>+E9+E23</f>
        <v>4989.41</v>
      </c>
      <c r="F24" s="184">
        <f>+F9+F23</f>
        <v>1582.4099999999999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2500</v>
      </c>
      <c r="E26" s="36">
        <v>2290</v>
      </c>
      <c r="F26" s="36">
        <v>2290</v>
      </c>
    </row>
    <row r="27" spans="1:6" ht="15.75">
      <c r="A27" s="40" t="s">
        <v>425</v>
      </c>
      <c r="B27" s="38"/>
      <c r="C27" s="202"/>
      <c r="D27" s="196"/>
      <c r="E27" s="36">
        <v>1000</v>
      </c>
      <c r="F27" s="36">
        <v>1000</v>
      </c>
    </row>
    <row r="28" spans="1:6" ht="15.75">
      <c r="A28" s="40" t="s">
        <v>426</v>
      </c>
      <c r="B28" s="38"/>
      <c r="C28" s="202"/>
      <c r="D28" s="196"/>
      <c r="E28" s="36">
        <v>405</v>
      </c>
      <c r="F28" s="36">
        <v>352</v>
      </c>
    </row>
    <row r="29" spans="1:6" ht="15.75">
      <c r="A29" s="40"/>
      <c r="B29" s="38"/>
      <c r="C29" s="202"/>
      <c r="D29" s="196"/>
      <c r="E29" s="36"/>
      <c r="F29" s="36"/>
    </row>
    <row r="30" spans="1:6" ht="15.75" hidden="1">
      <c r="A30" s="37"/>
      <c r="B30" s="38"/>
      <c r="C30" s="202"/>
      <c r="D30" s="196"/>
      <c r="E30" s="36"/>
      <c r="F30" s="36"/>
    </row>
    <row r="31" spans="1:6" ht="15.75" hidden="1">
      <c r="A31" s="37"/>
      <c r="B31" s="38"/>
      <c r="C31" s="202"/>
      <c r="D31" s="196"/>
      <c r="E31" s="36"/>
      <c r="F31" s="36"/>
    </row>
    <row r="32" spans="1:6" ht="15.75" hidden="1">
      <c r="A32" s="37"/>
      <c r="B32" s="38"/>
      <c r="C32" s="202"/>
      <c r="D32" s="196"/>
      <c r="E32" s="36"/>
      <c r="F32" s="36"/>
    </row>
    <row r="33" spans="1:6" ht="15.75" hidden="1">
      <c r="A33" s="37"/>
      <c r="B33" s="38"/>
      <c r="C33" s="202"/>
      <c r="D33" s="196"/>
      <c r="E33" s="36"/>
      <c r="F33" s="36"/>
    </row>
    <row r="34" spans="1:6" ht="15.75" hidden="1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2500</v>
      </c>
      <c r="E35" s="184">
        <f>SUM(E26:E34)</f>
        <v>3695</v>
      </c>
      <c r="F35" s="184">
        <f>SUM(F26:F34)</f>
        <v>3642</v>
      </c>
    </row>
    <row r="36" spans="1:6" ht="15.75">
      <c r="A36" s="34" t="s">
        <v>26</v>
      </c>
      <c r="B36" s="35"/>
      <c r="C36" s="201"/>
      <c r="D36" s="190">
        <f>+D24-D35</f>
        <v>2605.41</v>
      </c>
      <c r="E36" s="185">
        <f>+E24-E35</f>
        <v>1294.4099999999999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3642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2059.59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 t="s">
        <v>423</v>
      </c>
      <c r="B41" s="1"/>
      <c r="C41" s="60">
        <f>Comp5!J35</f>
        <v>2060.337402573869</v>
      </c>
      <c r="D41" s="1"/>
      <c r="E41" s="4" t="str">
        <f>CONCATENATE("Amount of ",$F$1-1," Ad Valorem Tax")</f>
        <v>Amount of 2011 Ad Valorem Tax</v>
      </c>
      <c r="F41" s="185">
        <f>SUM(F39:F40)</f>
        <v>2059.59</v>
      </c>
    </row>
    <row r="42" spans="1:6" ht="15.75">
      <c r="A42" s="1"/>
      <c r="B42" s="1"/>
      <c r="C42" s="1"/>
      <c r="D42" s="1"/>
      <c r="E42" s="4"/>
      <c r="F42" s="49"/>
    </row>
    <row r="43" spans="1:6" ht="15.75" hidden="1">
      <c r="A43" s="1"/>
      <c r="B43" s="1"/>
      <c r="C43" s="1"/>
      <c r="D43" s="1"/>
      <c r="E43" s="4"/>
      <c r="F43" s="49"/>
    </row>
    <row r="44" spans="1:6" ht="15.75" hidden="1">
      <c r="A44" s="1"/>
      <c r="B44" s="1"/>
      <c r="C44" s="1"/>
      <c r="D44" s="1"/>
      <c r="E44" s="4"/>
      <c r="F44" s="49"/>
    </row>
    <row r="45" spans="1:6" ht="15.75" hidden="1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2044</v>
      </c>
      <c r="D51" s="127">
        <f>IF(C51&gt;0,ROUND(+C51*D$59,0)," ")</f>
        <v>261</v>
      </c>
      <c r="E51" s="127">
        <f>IF(C51&gt;0,ROUND(+C51*E$60,0)," ")</f>
        <v>4</v>
      </c>
      <c r="F51" s="127">
        <f>IF(C51&gt;0,ROUND(+C51*F$61,0)," ")</f>
        <v>23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2044</v>
      </c>
      <c r="D53" s="191">
        <f>SUM(D51:D52)</f>
        <v>261</v>
      </c>
      <c r="E53" s="191">
        <f>SUM(E51:E52)</f>
        <v>4</v>
      </c>
      <c r="F53" s="191">
        <f>SUM(F51:F52)</f>
        <v>23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260.88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3.83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23.49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0.12763209393346378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0.0018737769080234834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0.011492172211350293</v>
      </c>
    </row>
    <row r="62" spans="1:6" ht="15.75">
      <c r="A62" s="1"/>
      <c r="B62" s="1"/>
      <c r="C62" s="1"/>
      <c r="D62" s="1"/>
      <c r="E62" s="1"/>
      <c r="F62" s="1"/>
    </row>
    <row r="63" spans="1:6" ht="15.75" hidden="1">
      <c r="A63" s="1"/>
      <c r="B63" s="1"/>
      <c r="C63" s="1"/>
      <c r="D63" s="1"/>
      <c r="E63" s="1"/>
      <c r="F63" s="1"/>
    </row>
    <row r="64" spans="1:6" ht="15.75" hidden="1">
      <c r="A64" s="1"/>
      <c r="B64" s="1"/>
      <c r="C64" s="1"/>
      <c r="D64" s="1"/>
      <c r="E64" s="1"/>
      <c r="F64" s="1"/>
    </row>
    <row r="65" spans="1:6" ht="15.75" hidden="1">
      <c r="A65" s="1"/>
      <c r="B65" s="1"/>
      <c r="C65" s="1"/>
      <c r="D65" s="1"/>
      <c r="E65" s="1"/>
      <c r="F65" s="1"/>
    </row>
    <row r="66" spans="1:6" ht="15.75" hidden="1">
      <c r="A66" s="1"/>
      <c r="B66" s="1"/>
      <c r="C66" s="1"/>
      <c r="D66" s="1"/>
      <c r="E66" s="1"/>
      <c r="F66" s="1"/>
    </row>
    <row r="67" spans="1:6" ht="15.75" hidden="1">
      <c r="A67" s="1"/>
      <c r="B67" s="1"/>
      <c r="C67" s="1"/>
      <c r="D67" s="1"/>
      <c r="E67" s="1"/>
      <c r="F67" s="1"/>
    </row>
    <row r="68" spans="1:6" ht="15.75" hidden="1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77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Delia!C3</f>
        <v>Delia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2044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2044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24781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72625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74582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9359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34140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4305453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4271313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0.007992858402088538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16.33740257386897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2060.337402573869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2060.337402573869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424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3547</v>
      </c>
      <c r="C9" s="20">
        <f>B35</f>
        <v>3547</v>
      </c>
      <c r="D9" s="20">
        <f>C35</f>
        <v>3547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SUM(B12:B18)</f>
        <v>0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3547</v>
      </c>
      <c r="C20" s="184">
        <f>C9+C19</f>
        <v>3547</v>
      </c>
      <c r="D20" s="184">
        <f>D9+D19</f>
        <v>3547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3547</v>
      </c>
      <c r="C35" s="185">
        <f>C20-C34</f>
        <v>3547</v>
      </c>
      <c r="D35" s="185">
        <f>D20-D34</f>
        <v>3547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/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/>
      <c r="C57" s="20">
        <f>B83</f>
        <v>0</v>
      </c>
      <c r="D57" s="20">
        <f>C83</f>
        <v>0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0</v>
      </c>
      <c r="C68" s="184">
        <f>C57+C67</f>
        <v>0</v>
      </c>
      <c r="D68" s="184">
        <f>D57+D67</f>
        <v>0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0</v>
      </c>
      <c r="C83" s="185">
        <f>C68-C82</f>
        <v>0</v>
      </c>
      <c r="D83" s="185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69"/>
  <sheetViews>
    <sheetView zoomScalePageLayoutView="0" workbookViewId="0" topLeftCell="A20">
      <selection activeCell="H34" sqref="H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7" width="5.28125" style="3" customWidth="1"/>
    <col min="8" max="8" width="7.57421875" style="3" customWidth="1"/>
    <col min="9" max="9" width="6.00390625" style="3" customWidth="1"/>
    <col min="10" max="10" width="7.421875" style="3" customWidth="1"/>
    <col min="11" max="11" width="5.8515625" style="3" customWidth="1"/>
    <col min="12" max="12" width="7.7109375" style="3" customWidth="1"/>
    <col min="13" max="13" width="7.28125" style="3" customWidth="1"/>
    <col min="14" max="14" width="6.00390625" style="3" customWidth="1"/>
    <col min="15" max="15" width="8.421875" style="3" bestFit="1" customWidth="1"/>
    <col min="16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cert2!A15</f>
        <v>Denison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3005.37</v>
      </c>
      <c r="E9" s="20">
        <f>+D36</f>
        <v>3356.3500000000004</v>
      </c>
      <c r="F9" s="20">
        <f>+E36</f>
        <v>2160.3500000000004</v>
      </c>
    </row>
    <row r="10" spans="1:6" ht="15.75">
      <c r="A10" s="199" t="s">
        <v>14</v>
      </c>
      <c r="B10" s="200"/>
      <c r="C10" s="201"/>
      <c r="D10" s="196"/>
      <c r="E10" s="36">
        <v>3928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710</v>
      </c>
      <c r="F12" s="20">
        <f>D51</f>
        <v>659</v>
      </c>
    </row>
    <row r="13" spans="1:6" ht="15.75">
      <c r="A13" s="34" t="s">
        <v>17</v>
      </c>
      <c r="B13" s="35"/>
      <c r="C13" s="201"/>
      <c r="D13" s="196"/>
      <c r="E13" s="36">
        <v>15</v>
      </c>
      <c r="F13" s="20">
        <f>E51</f>
        <v>14</v>
      </c>
    </row>
    <row r="14" spans="1:6" ht="15.75">
      <c r="A14" s="34" t="s">
        <v>86</v>
      </c>
      <c r="B14" s="35"/>
      <c r="C14" s="201"/>
      <c r="D14" s="196"/>
      <c r="E14" s="36">
        <v>69</v>
      </c>
      <c r="F14" s="20">
        <f>F51</f>
        <v>66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427</v>
      </c>
      <c r="B17" s="38"/>
      <c r="C17" s="202"/>
      <c r="D17" s="196">
        <v>4466.98</v>
      </c>
      <c r="E17" s="36" t="s">
        <v>19</v>
      </c>
      <c r="F17" s="36" t="s">
        <v>19</v>
      </c>
    </row>
    <row r="18" spans="1:6" ht="15.75">
      <c r="A18" s="39" t="s">
        <v>304</v>
      </c>
      <c r="B18" s="38"/>
      <c r="C18" s="202"/>
      <c r="D18" s="196">
        <v>175</v>
      </c>
      <c r="E18" s="36"/>
      <c r="F18" s="36"/>
    </row>
    <row r="19" spans="1:6" ht="15.75">
      <c r="A19" s="39" t="s">
        <v>428</v>
      </c>
      <c r="B19" s="38"/>
      <c r="C19" s="202"/>
      <c r="D19" s="196">
        <v>2550</v>
      </c>
      <c r="E19" s="36">
        <v>3000</v>
      </c>
      <c r="F19" s="36">
        <v>3000</v>
      </c>
    </row>
    <row r="20" spans="1:6" ht="15.75">
      <c r="A20" s="37" t="s">
        <v>429</v>
      </c>
      <c r="B20" s="38"/>
      <c r="C20" s="202"/>
      <c r="D20" s="196">
        <v>30.56</v>
      </c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92.93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7315.47</v>
      </c>
      <c r="E23" s="184">
        <f>SUM(E10:E22)</f>
        <v>7722</v>
      </c>
      <c r="F23" s="184">
        <f>SUM(F10:F22)</f>
        <v>3739</v>
      </c>
    </row>
    <row r="24" spans="1:6" ht="15.75">
      <c r="A24" s="42" t="s">
        <v>23</v>
      </c>
      <c r="B24" s="35"/>
      <c r="C24" s="201"/>
      <c r="D24" s="197">
        <f>+D9+D23</f>
        <v>10320.84</v>
      </c>
      <c r="E24" s="184">
        <f>+E9+E23</f>
        <v>11078.35</v>
      </c>
      <c r="F24" s="184">
        <f>+F9+F23</f>
        <v>5899.35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564.49</v>
      </c>
      <c r="E26" s="36">
        <v>900</v>
      </c>
      <c r="F26" s="36">
        <v>900</v>
      </c>
    </row>
    <row r="27" spans="1:6" ht="15.75">
      <c r="A27" s="40" t="s">
        <v>263</v>
      </c>
      <c r="B27" s="38"/>
      <c r="C27" s="202"/>
      <c r="D27" s="196">
        <v>4200</v>
      </c>
      <c r="E27" s="36">
        <v>4478</v>
      </c>
      <c r="F27" s="36">
        <v>4478</v>
      </c>
    </row>
    <row r="28" spans="1:6" ht="15.75">
      <c r="A28" s="40" t="s">
        <v>430</v>
      </c>
      <c r="B28" s="38"/>
      <c r="C28" s="202"/>
      <c r="D28" s="196">
        <v>2200</v>
      </c>
      <c r="E28" s="36">
        <v>3000</v>
      </c>
      <c r="F28" s="36">
        <v>3000</v>
      </c>
    </row>
    <row r="29" spans="1:6" ht="15.75">
      <c r="A29" s="40" t="s">
        <v>251</v>
      </c>
      <c r="B29" s="38"/>
      <c r="C29" s="202"/>
      <c r="D29" s="196"/>
      <c r="E29" s="36">
        <v>95</v>
      </c>
      <c r="F29" s="36">
        <v>935</v>
      </c>
    </row>
    <row r="30" spans="1:6" ht="15.75">
      <c r="A30" s="37" t="s">
        <v>295</v>
      </c>
      <c r="B30" s="38"/>
      <c r="C30" s="202"/>
      <c r="D30" s="196"/>
      <c r="E30" s="36">
        <v>445</v>
      </c>
      <c r="F30" s="36"/>
    </row>
    <row r="31" spans="1:6" ht="15.75">
      <c r="A31" s="37" t="s">
        <v>300</v>
      </c>
      <c r="B31" s="38"/>
      <c r="C31" s="202"/>
      <c r="D31" s="196"/>
      <c r="E31" s="36"/>
      <c r="F31" s="36">
        <v>540</v>
      </c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203">
        <f>SUM(D26:D34)</f>
        <v>6964.49</v>
      </c>
      <c r="E35" s="44">
        <f>SUM(E26:E34)</f>
        <v>8918</v>
      </c>
      <c r="F35" s="44">
        <f>SUM(F26:F34)</f>
        <v>9853</v>
      </c>
    </row>
    <row r="36" spans="1:6" ht="15.75">
      <c r="A36" s="34" t="s">
        <v>26</v>
      </c>
      <c r="B36" s="35"/>
      <c r="C36" s="201"/>
      <c r="D36" s="190">
        <f>+D24-D35</f>
        <v>3356.3500000000004</v>
      </c>
      <c r="E36" s="185">
        <f>+E24-E35</f>
        <v>2160.3500000000004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15" ht="15.75">
      <c r="A38" s="1"/>
      <c r="B38" s="25"/>
      <c r="C38" s="1"/>
      <c r="D38" s="45"/>
      <c r="E38" s="46" t="s">
        <v>28</v>
      </c>
      <c r="F38" s="20">
        <f>+F35+F37</f>
        <v>9853</v>
      </c>
      <c r="H38" s="316">
        <v>2010</v>
      </c>
      <c r="I38" s="317"/>
      <c r="J38" s="316">
        <v>2011</v>
      </c>
      <c r="K38" s="317"/>
      <c r="L38" s="316">
        <v>2012</v>
      </c>
      <c r="M38" s="318"/>
      <c r="N38" s="318"/>
      <c r="O38" s="317"/>
    </row>
    <row r="39" spans="1:15" ht="15.75">
      <c r="A39" s="1"/>
      <c r="B39" s="1"/>
      <c r="C39" s="1"/>
      <c r="D39" s="1"/>
      <c r="E39" s="4" t="s">
        <v>29</v>
      </c>
      <c r="F39" s="185">
        <f>IF(F38-F24&gt;0,F38-F24,0)</f>
        <v>3953.6499999999996</v>
      </c>
      <c r="H39" s="319" t="s">
        <v>71</v>
      </c>
      <c r="I39" s="320"/>
      <c r="J39" s="319" t="s">
        <v>433</v>
      </c>
      <c r="K39" s="320"/>
      <c r="L39" s="232" t="s">
        <v>434</v>
      </c>
      <c r="M39" s="233" t="str">
        <f>sum2!G6</f>
        <v>2011 Ad</v>
      </c>
      <c r="N39" s="233" t="str">
        <f>sum2!H6</f>
        <v>Est.</v>
      </c>
      <c r="O39" s="234" t="str">
        <f>sum2!I6</f>
        <v>July 1 Est.</v>
      </c>
    </row>
    <row r="40" spans="1:15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  <c r="H40" s="232" t="str">
        <f>sum2!B7</f>
        <v>Expenditures</v>
      </c>
      <c r="I40" s="234" t="str">
        <f>sum2!C7</f>
        <v>Tax Rate*</v>
      </c>
      <c r="J40" s="232" t="str">
        <f>sum2!D7</f>
        <v>Expenditures</v>
      </c>
      <c r="K40" s="234" t="str">
        <f>sum2!E7</f>
        <v>Tax Rate*</v>
      </c>
      <c r="L40" s="232" t="str">
        <f>sum2!F7</f>
        <v>Expenditures</v>
      </c>
      <c r="M40" s="233" t="str">
        <f>sum2!G7</f>
        <v>Valorem Tax</v>
      </c>
      <c r="N40" s="233" t="str">
        <f>sum2!H7</f>
        <v>Tax Rate*</v>
      </c>
      <c r="O40" s="234" t="str">
        <f>sum2!I7</f>
        <v>Valuation</v>
      </c>
    </row>
    <row r="41" spans="1:15" ht="15.75">
      <c r="A41" s="1"/>
      <c r="B41" s="1"/>
      <c r="C41" s="60">
        <f>Comp6!J35</f>
        <v>3954.150817720786</v>
      </c>
      <c r="D41" s="1"/>
      <c r="E41" s="4" t="str">
        <f>CONCATENATE("Amount of ",$F$1-1," Ad Valorem Tax")</f>
        <v>Amount of 2011 Ad Valorem Tax</v>
      </c>
      <c r="F41" s="185">
        <f>SUM(F39:F40)</f>
        <v>3953.6499999999996</v>
      </c>
      <c r="H41" s="227">
        <f>sum2!B13</f>
        <v>6964.49</v>
      </c>
      <c r="I41" s="230">
        <f>sum2!C13</f>
        <v>1.072</v>
      </c>
      <c r="J41" s="227">
        <f>sum2!D13</f>
        <v>8918</v>
      </c>
      <c r="K41" s="230">
        <f>sum2!E13</f>
        <v>1.089</v>
      </c>
      <c r="L41" s="227">
        <f>sum2!F13</f>
        <v>9853</v>
      </c>
      <c r="M41" s="228">
        <f>sum2!G13</f>
        <v>3953.6499999999996</v>
      </c>
      <c r="N41" s="231">
        <f>sum2!H13</f>
        <v>1.066</v>
      </c>
      <c r="O41" s="229">
        <f>sum2!I13</f>
        <v>3707562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3928</v>
      </c>
      <c r="D51" s="127">
        <f>IF(C51&gt;0,ROUND(+C51*D$59,0)," ")</f>
        <v>659</v>
      </c>
      <c r="E51" s="127">
        <f>IF(C51&gt;0,ROUND(+C51*E$60,0)," ")</f>
        <v>14</v>
      </c>
      <c r="F51" s="127">
        <f>IF(C51&gt;0,ROUND(+C51*F$61,0)," ")</f>
        <v>66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3928</v>
      </c>
      <c r="D53" s="191">
        <f>SUM(D51:D52)</f>
        <v>659</v>
      </c>
      <c r="E53" s="191">
        <f>SUM(E51:E52)</f>
        <v>14</v>
      </c>
      <c r="F53" s="191">
        <f>SUM(F51:F52)</f>
        <v>66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658.87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13.55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66.33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0.1677367617107943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0.00344959266802444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0.016886456211812628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1" t="s">
        <v>266</v>
      </c>
      <c r="B64" s="11"/>
      <c r="C64" s="1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6">
    <mergeCell ref="A40:D40"/>
    <mergeCell ref="H38:I38"/>
    <mergeCell ref="J38:K38"/>
    <mergeCell ref="L38:O38"/>
    <mergeCell ref="H39:I39"/>
    <mergeCell ref="J39:K39"/>
  </mergeCells>
  <printOptions/>
  <pageMargins left="0.75" right="0.75" top="1" bottom="1" header="0.5" footer="0.5"/>
  <pageSetup blackAndWhite="1" fitToHeight="1" fitToWidth="1" horizontalDpi="600" verticalDpi="600" orientation="portrait" scale="58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2">
      <selection activeCell="B58" sqref="B58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431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1984.96</v>
      </c>
      <c r="C9" s="20">
        <f>B35</f>
        <v>2308.96</v>
      </c>
      <c r="D9" s="20">
        <f>C35</f>
        <v>2308.96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 t="s">
        <v>403</v>
      </c>
      <c r="B11" s="106">
        <v>324</v>
      </c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SUM(B11:B18)</f>
        <v>324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2308.96</v>
      </c>
      <c r="C20" s="184">
        <f>C9+C19</f>
        <v>2308.96</v>
      </c>
      <c r="D20" s="184">
        <f>D9+D19</f>
        <v>2308.96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2308.96</v>
      </c>
      <c r="C35" s="185">
        <f>C20-C34</f>
        <v>2308.96</v>
      </c>
      <c r="D35" s="185">
        <f>D20-D34</f>
        <v>2308.96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432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5991.13</v>
      </c>
      <c r="C57" s="20">
        <f>B83</f>
        <v>5991.13</v>
      </c>
      <c r="D57" s="20">
        <f>C83</f>
        <v>5991.13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5991.13</v>
      </c>
      <c r="C68" s="184">
        <f>C57+C67</f>
        <v>5991.13</v>
      </c>
      <c r="D68" s="184">
        <f>D57+D67</f>
        <v>5991.13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5991.13</v>
      </c>
      <c r="C83" s="185">
        <f>C68-C82</f>
        <v>5991.13</v>
      </c>
      <c r="D83" s="185">
        <f>D68-D82</f>
        <v>5991.13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3" customWidth="1"/>
  </cols>
  <sheetData>
    <row r="1" spans="1:8" ht="15.75">
      <c r="A1" s="294" t="s">
        <v>180</v>
      </c>
      <c r="B1" s="295"/>
      <c r="C1" s="295"/>
      <c r="D1" s="295"/>
      <c r="E1" s="295"/>
      <c r="F1" s="295"/>
      <c r="G1" s="295"/>
      <c r="H1" s="295"/>
    </row>
    <row r="3" spans="1:7" ht="15.75">
      <c r="A3" s="3" t="s">
        <v>168</v>
      </c>
      <c r="E3" s="176" t="s">
        <v>235</v>
      </c>
      <c r="F3" s="177"/>
      <c r="G3" s="177"/>
    </row>
    <row r="5" spans="1:5" ht="15.75">
      <c r="A5" s="3" t="s">
        <v>226</v>
      </c>
      <c r="E5" s="178">
        <v>2012</v>
      </c>
    </row>
    <row r="6" ht="15.75">
      <c r="B6" s="3" t="s">
        <v>227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Denison!C3</f>
        <v>Denison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3928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3928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5265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f>116189+6276</f>
        <v>122465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f>120683+1604</f>
        <v>122287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178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19077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24520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f>3444868+262694</f>
        <v>3707562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3683042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0.006657540152949654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26.15081772078624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3954.150817720786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3954.150817720786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 you must")</f>
        <v>If the 2012 budget includes tax levies exceeding the total on line 14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80"/>
  <sheetViews>
    <sheetView zoomScalePageLayoutView="0" workbookViewId="0" topLeftCell="A16">
      <selection activeCell="I37" sqref="I3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cert2!A16</f>
        <v>Holton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61920</v>
      </c>
      <c r="E9" s="20">
        <f>+D47</f>
        <v>58017.18000000001</v>
      </c>
      <c r="F9" s="20">
        <f>+E47</f>
        <v>14644.179999999993</v>
      </c>
    </row>
    <row r="10" spans="1:6" ht="15.75">
      <c r="A10" s="199" t="s">
        <v>14</v>
      </c>
      <c r="B10" s="200"/>
      <c r="C10" s="201"/>
      <c r="D10" s="196"/>
      <c r="E10" s="36">
        <v>62893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8277</v>
      </c>
      <c r="F12" s="20">
        <f>D62</f>
        <v>57911</v>
      </c>
    </row>
    <row r="13" spans="1:6" ht="15.75">
      <c r="A13" s="34" t="s">
        <v>17</v>
      </c>
      <c r="B13" s="35"/>
      <c r="C13" s="201"/>
      <c r="D13" s="196"/>
      <c r="E13" s="36">
        <v>107</v>
      </c>
      <c r="F13" s="20">
        <f>E62</f>
        <v>110</v>
      </c>
    </row>
    <row r="14" spans="1:6" ht="15.75">
      <c r="A14" s="34" t="s">
        <v>86</v>
      </c>
      <c r="B14" s="35"/>
      <c r="C14" s="201"/>
      <c r="D14" s="196"/>
      <c r="E14" s="36">
        <v>598</v>
      </c>
      <c r="F14" s="20">
        <f>F62</f>
        <v>547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460</v>
      </c>
      <c r="B16" s="35"/>
      <c r="C16" s="201"/>
      <c r="D16" s="196"/>
      <c r="E16" s="36"/>
      <c r="F16" s="106">
        <v>16.9</v>
      </c>
    </row>
    <row r="17" spans="1:6" ht="15.75">
      <c r="A17" s="37" t="s">
        <v>458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7" t="s">
        <v>259</v>
      </c>
      <c r="B18" s="38"/>
      <c r="C18" s="202"/>
      <c r="D18" s="196">
        <v>70295.15</v>
      </c>
      <c r="E18" s="36"/>
      <c r="F18" s="36"/>
    </row>
    <row r="19" spans="1:6" ht="15.75">
      <c r="A19" s="37" t="s">
        <v>260</v>
      </c>
      <c r="B19" s="38"/>
      <c r="C19" s="202"/>
      <c r="D19" s="196">
        <v>17275</v>
      </c>
      <c r="E19" s="36"/>
      <c r="F19" s="36"/>
    </row>
    <row r="20" spans="1:6" ht="15.75">
      <c r="A20" s="37" t="s">
        <v>428</v>
      </c>
      <c r="B20" s="38"/>
      <c r="C20" s="202"/>
      <c r="D20" s="196">
        <v>18238.8</v>
      </c>
      <c r="E20" s="36">
        <v>2700</v>
      </c>
      <c r="F20" s="36"/>
    </row>
    <row r="21" spans="1:6" ht="15.75">
      <c r="A21" s="37" t="s">
        <v>261</v>
      </c>
      <c r="B21" s="38"/>
      <c r="C21" s="202"/>
      <c r="D21" s="196">
        <v>300</v>
      </c>
      <c r="E21" s="36"/>
      <c r="F21" s="36"/>
    </row>
    <row r="22" spans="1:6" ht="15.75">
      <c r="A22" s="39" t="s">
        <v>459</v>
      </c>
      <c r="B22" s="38"/>
      <c r="C22" s="202"/>
      <c r="D22" s="196">
        <v>201</v>
      </c>
      <c r="E22" s="36"/>
      <c r="F22" s="36"/>
    </row>
    <row r="23" spans="1:6" ht="15.75">
      <c r="A23" s="37" t="s">
        <v>458</v>
      </c>
      <c r="B23" s="38"/>
      <c r="C23" s="202"/>
      <c r="D23" s="196">
        <v>940</v>
      </c>
      <c r="E23" s="36"/>
      <c r="F23" s="36"/>
    </row>
    <row r="24" spans="1:6" ht="15.75">
      <c r="A24" s="40"/>
      <c r="B24" s="41"/>
      <c r="C24" s="202"/>
      <c r="D24" s="196"/>
      <c r="E24" s="36"/>
      <c r="F24" s="36"/>
    </row>
    <row r="25" spans="1:6" ht="15.75">
      <c r="A25" s="40" t="s">
        <v>21</v>
      </c>
      <c r="B25" s="41"/>
      <c r="C25" s="202"/>
      <c r="D25" s="196">
        <v>6794.66</v>
      </c>
      <c r="E25" s="36"/>
      <c r="F25" s="36"/>
    </row>
    <row r="26" spans="1:6" ht="15.75">
      <c r="A26" s="42" t="s">
        <v>22</v>
      </c>
      <c r="B26" s="35"/>
      <c r="C26" s="201"/>
      <c r="D26" s="197">
        <f>SUM(D10:D25)</f>
        <v>114044.61</v>
      </c>
      <c r="E26" s="184">
        <f>SUM(E10:E25)</f>
        <v>74575</v>
      </c>
      <c r="F26" s="184">
        <f>SUM(F10:F25)</f>
        <v>58584.9</v>
      </c>
    </row>
    <row r="27" spans="1:6" ht="15.75">
      <c r="A27" s="42" t="s">
        <v>23</v>
      </c>
      <c r="B27" s="35"/>
      <c r="C27" s="201"/>
      <c r="D27" s="197">
        <f>+D9+D26</f>
        <v>175964.61</v>
      </c>
      <c r="E27" s="184">
        <f>+E9+E26</f>
        <v>132592.18</v>
      </c>
      <c r="F27" s="184">
        <f>+F9+F26</f>
        <v>73229.07999999999</v>
      </c>
    </row>
    <row r="28" spans="1:6" ht="15.75">
      <c r="A28" s="34" t="s">
        <v>24</v>
      </c>
      <c r="B28" s="35"/>
      <c r="C28" s="201"/>
      <c r="D28" s="104"/>
      <c r="E28" s="20"/>
      <c r="F28" s="20"/>
    </row>
    <row r="29" spans="1:6" ht="15.75">
      <c r="A29" s="40" t="s">
        <v>24</v>
      </c>
      <c r="B29" s="38"/>
      <c r="C29" s="202"/>
      <c r="D29" s="196"/>
      <c r="E29" s="36"/>
      <c r="F29" s="36"/>
    </row>
    <row r="30" spans="1:6" ht="15.75">
      <c r="A30" s="40" t="s">
        <v>453</v>
      </c>
      <c r="B30" s="38"/>
      <c r="C30" s="202"/>
      <c r="D30" s="196">
        <f>51804.29+17710.13+1028.4</f>
        <v>70542.81999999999</v>
      </c>
      <c r="E30" s="36">
        <v>80000</v>
      </c>
      <c r="F30" s="36">
        <v>80000</v>
      </c>
    </row>
    <row r="31" spans="1:6" ht="15.75">
      <c r="A31" s="40" t="s">
        <v>319</v>
      </c>
      <c r="B31" s="38"/>
      <c r="C31" s="202"/>
      <c r="D31" s="196">
        <f>1578.89+947.85+333.57</f>
        <v>2860.3100000000004</v>
      </c>
      <c r="E31" s="36">
        <v>5000</v>
      </c>
      <c r="F31" s="36">
        <v>5000</v>
      </c>
    </row>
    <row r="32" spans="1:6" ht="15.75">
      <c r="A32" s="40" t="s">
        <v>454</v>
      </c>
      <c r="B32" s="38"/>
      <c r="C32" s="202"/>
      <c r="D32" s="196">
        <v>2591.25</v>
      </c>
      <c r="E32" s="36">
        <v>3500</v>
      </c>
      <c r="F32" s="36">
        <v>3500</v>
      </c>
    </row>
    <row r="33" spans="1:6" ht="15.75">
      <c r="A33" s="37" t="s">
        <v>455</v>
      </c>
      <c r="B33" s="38"/>
      <c r="C33" s="202"/>
      <c r="D33" s="196">
        <v>4062.63</v>
      </c>
      <c r="E33" s="36">
        <v>4100</v>
      </c>
      <c r="F33" s="36">
        <v>4100</v>
      </c>
    </row>
    <row r="34" spans="1:6" ht="15.75">
      <c r="A34" s="37" t="s">
        <v>317</v>
      </c>
      <c r="B34" s="38"/>
      <c r="C34" s="202"/>
      <c r="D34" s="196">
        <v>6874.98</v>
      </c>
      <c r="E34" s="36">
        <v>1300</v>
      </c>
      <c r="F34" s="36">
        <v>1300</v>
      </c>
    </row>
    <row r="35" spans="1:6" ht="15.75">
      <c r="A35" s="37" t="s">
        <v>380</v>
      </c>
      <c r="B35" s="38"/>
      <c r="C35" s="202"/>
      <c r="D35" s="196">
        <v>1209.18</v>
      </c>
      <c r="E35" s="36">
        <v>1800</v>
      </c>
      <c r="F35" s="36">
        <v>1800</v>
      </c>
    </row>
    <row r="36" spans="1:6" ht="15.75">
      <c r="A36" s="37" t="s">
        <v>456</v>
      </c>
      <c r="B36" s="38"/>
      <c r="C36" s="202"/>
      <c r="D36" s="196">
        <v>1460</v>
      </c>
      <c r="E36" s="36">
        <v>14968</v>
      </c>
      <c r="F36" s="36">
        <v>14968</v>
      </c>
    </row>
    <row r="37" spans="1:6" ht="15.75">
      <c r="A37" s="37" t="s">
        <v>300</v>
      </c>
      <c r="B37" s="38"/>
      <c r="C37" s="202"/>
      <c r="D37" s="196">
        <f>217.5+217.25+169.59+88+61.5</f>
        <v>753.84</v>
      </c>
      <c r="E37" s="36">
        <v>5280</v>
      </c>
      <c r="F37" s="36">
        <v>5280</v>
      </c>
    </row>
    <row r="38" spans="1:6" ht="15.75">
      <c r="A38" s="37" t="s">
        <v>457</v>
      </c>
      <c r="B38" s="38"/>
      <c r="C38" s="202"/>
      <c r="D38" s="196">
        <v>1800</v>
      </c>
      <c r="E38" s="36">
        <v>2000</v>
      </c>
      <c r="F38" s="36">
        <v>2000</v>
      </c>
    </row>
    <row r="39" spans="1:6" ht="15.75">
      <c r="A39" s="37" t="s">
        <v>462</v>
      </c>
      <c r="B39" s="38"/>
      <c r="C39" s="202"/>
      <c r="D39" s="196">
        <v>1094.53</v>
      </c>
      <c r="E39" s="36"/>
      <c r="F39" s="36"/>
    </row>
    <row r="40" spans="1:6" ht="15.75">
      <c r="A40" s="37" t="s">
        <v>264</v>
      </c>
      <c r="B40" s="38"/>
      <c r="C40" s="202"/>
      <c r="D40" s="196">
        <v>4909</v>
      </c>
      <c r="E40" s="36"/>
      <c r="F40" s="36"/>
    </row>
    <row r="41" spans="1:6" ht="15.75">
      <c r="A41" s="37" t="s">
        <v>463</v>
      </c>
      <c r="B41" s="38"/>
      <c r="C41" s="202"/>
      <c r="D41" s="196">
        <v>1482.78</v>
      </c>
      <c r="E41" s="36"/>
      <c r="F41" s="36">
        <v>18450</v>
      </c>
    </row>
    <row r="42" spans="1:6" ht="15.75">
      <c r="A42" s="37" t="s">
        <v>339</v>
      </c>
      <c r="B42" s="38"/>
      <c r="C42" s="202"/>
      <c r="D42" s="196">
        <v>4770.11</v>
      </c>
      <c r="E42" s="36"/>
      <c r="F42" s="36"/>
    </row>
    <row r="43" spans="1:6" ht="15.75">
      <c r="A43" s="37" t="s">
        <v>464</v>
      </c>
      <c r="B43" s="38"/>
      <c r="C43" s="202"/>
      <c r="D43" s="196">
        <v>40</v>
      </c>
      <c r="E43" s="36"/>
      <c r="F43" s="36"/>
    </row>
    <row r="44" spans="1:6" ht="15.75">
      <c r="A44" s="37" t="s">
        <v>467</v>
      </c>
      <c r="B44" s="38"/>
      <c r="C44" s="202"/>
      <c r="D44" s="196">
        <v>13496</v>
      </c>
      <c r="E44" s="36"/>
      <c r="F44" s="36"/>
    </row>
    <row r="45" spans="1:6" ht="15.75">
      <c r="A45" s="37"/>
      <c r="B45" s="38"/>
      <c r="C45" s="202"/>
      <c r="D45" s="196"/>
      <c r="E45" s="36"/>
      <c r="F45" s="36"/>
    </row>
    <row r="46" spans="1:6" ht="15.75">
      <c r="A46" s="42" t="s">
        <v>25</v>
      </c>
      <c r="B46" s="35"/>
      <c r="C46" s="201"/>
      <c r="D46" s="197">
        <f>SUM(D29:D45)</f>
        <v>117947.42999999998</v>
      </c>
      <c r="E46" s="184">
        <f>SUM(E29:E45)</f>
        <v>117948</v>
      </c>
      <c r="F46" s="184">
        <f>SUM(F29:F45)</f>
        <v>136398</v>
      </c>
    </row>
    <row r="47" spans="1:6" ht="15.75">
      <c r="A47" s="34" t="s">
        <v>26</v>
      </c>
      <c r="B47" s="35"/>
      <c r="C47" s="201"/>
      <c r="D47" s="190">
        <f>+D27-D46</f>
        <v>58017.18000000001</v>
      </c>
      <c r="E47" s="185">
        <f>+E27-E46</f>
        <v>14644.179999999993</v>
      </c>
      <c r="F47" s="19" t="s">
        <v>6</v>
      </c>
    </row>
    <row r="48" spans="1:7" ht="15.75">
      <c r="A48" s="1"/>
      <c r="B48" s="1"/>
      <c r="C48" s="1"/>
      <c r="D48" s="45"/>
      <c r="E48" s="46" t="s">
        <v>27</v>
      </c>
      <c r="F48" s="16"/>
      <c r="G48" s="194">
        <f>IF(F46/0.95-F46&lt;F48,"Exceeds 5%","")</f>
      </c>
    </row>
    <row r="49" spans="1:6" ht="15.75">
      <c r="A49" s="1"/>
      <c r="B49" s="25"/>
      <c r="C49" s="1"/>
      <c r="D49" s="45"/>
      <c r="E49" s="46" t="s">
        <v>28</v>
      </c>
      <c r="F49" s="20">
        <f>+F46+F48</f>
        <v>136398</v>
      </c>
    </row>
    <row r="50" spans="1:6" ht="15.75">
      <c r="A50" s="1"/>
      <c r="B50" s="1"/>
      <c r="C50" s="1"/>
      <c r="D50" s="1"/>
      <c r="E50" s="4" t="s">
        <v>29</v>
      </c>
      <c r="F50" s="185">
        <f>IF(F49-F27&gt;0,F49-F27,0)</f>
        <v>63168.92000000001</v>
      </c>
    </row>
    <row r="51" spans="1:6" ht="15.75">
      <c r="A51" s="307" t="s">
        <v>171</v>
      </c>
      <c r="B51" s="308"/>
      <c r="C51" s="308"/>
      <c r="D51" s="308"/>
      <c r="E51" s="189"/>
      <c r="F51" s="185">
        <f>ROUND(IF($E$51&gt;0,($F$50*$E$51),0),0)</f>
        <v>0</v>
      </c>
    </row>
    <row r="52" spans="1:7" ht="15.75">
      <c r="A52" s="1"/>
      <c r="B52" s="1"/>
      <c r="C52" s="60">
        <f>Comp7!J35</f>
        <v>63251.95142082082</v>
      </c>
      <c r="D52" s="1"/>
      <c r="E52" s="4" t="str">
        <f>CONCATENATE("Amount of ",$F$1-1," Ad Valorem Tax")</f>
        <v>Amount of 2011 Ad Valorem Tax</v>
      </c>
      <c r="F52" s="185">
        <f>SUM(F50:F51)</f>
        <v>63168.92000000001</v>
      </c>
      <c r="G52" s="241">
        <f>sum2!H14</f>
        <v>2</v>
      </c>
    </row>
    <row r="53" spans="1:6" ht="15.75">
      <c r="A53" s="1"/>
      <c r="B53" s="1"/>
      <c r="C53" s="1"/>
      <c r="D53" s="1"/>
      <c r="E53" s="4"/>
      <c r="F53" s="49"/>
    </row>
    <row r="54" spans="1:6" ht="15.75">
      <c r="A54" s="1"/>
      <c r="B54" s="1"/>
      <c r="C54" s="1"/>
      <c r="D54" s="1"/>
      <c r="E54" s="4"/>
      <c r="F54" s="49"/>
    </row>
    <row r="55" spans="1:6" ht="15.75">
      <c r="A55" s="1"/>
      <c r="B55" s="1"/>
      <c r="C55" s="1"/>
      <c r="D55" s="1"/>
      <c r="E55" s="4"/>
      <c r="F55" s="49"/>
    </row>
    <row r="56" spans="1:6" ht="15.75">
      <c r="A56" s="1"/>
      <c r="B56" s="1"/>
      <c r="C56" s="1"/>
      <c r="D56" s="1"/>
      <c r="E56" s="4"/>
      <c r="F56" s="49"/>
    </row>
    <row r="57" spans="1:6" ht="15.75">
      <c r="A57" s="1"/>
      <c r="B57" s="1"/>
      <c r="C57" s="1"/>
      <c r="D57" s="1"/>
      <c r="E57" s="4"/>
      <c r="F57" s="49"/>
    </row>
    <row r="58" spans="1:6" ht="15.75">
      <c r="A58" s="1"/>
      <c r="B58" s="27" t="s">
        <v>78</v>
      </c>
      <c r="C58" s="1"/>
      <c r="D58" s="11"/>
      <c r="E58" s="91"/>
      <c r="F58" s="92"/>
    </row>
    <row r="59" spans="1:6" ht="15.75">
      <c r="A59" s="26"/>
      <c r="B59" s="24" t="s">
        <v>19</v>
      </c>
      <c r="C59" s="1"/>
      <c r="D59" s="89"/>
      <c r="E59" s="93" t="str">
        <f>CONCATENATE("Allocation for Year ",$F$1,"")</f>
        <v>Allocation for Year 2012</v>
      </c>
      <c r="F59" s="90"/>
    </row>
    <row r="60" spans="1:6" ht="15.75">
      <c r="A60" s="50" t="s">
        <v>30</v>
      </c>
      <c r="B60" s="51"/>
      <c r="C60" s="162" t="s">
        <v>172</v>
      </c>
      <c r="D60" s="31" t="s">
        <v>79</v>
      </c>
      <c r="E60" s="31" t="s">
        <v>80</v>
      </c>
      <c r="F60" s="31" t="s">
        <v>81</v>
      </c>
    </row>
    <row r="61" spans="1:6" ht="15.75">
      <c r="A61" s="52" t="s">
        <v>31</v>
      </c>
      <c r="B61" s="105"/>
      <c r="C61" s="107" t="str">
        <f>CONCATENATE("for ",$F$1-1,"")</f>
        <v>for 2011</v>
      </c>
      <c r="D61" s="33" t="s">
        <v>32</v>
      </c>
      <c r="E61" s="33" t="s">
        <v>32</v>
      </c>
      <c r="F61" s="33" t="s">
        <v>32</v>
      </c>
    </row>
    <row r="62" spans="1:6" ht="15.75">
      <c r="A62" s="103" t="s">
        <v>33</v>
      </c>
      <c r="B62" s="109"/>
      <c r="C62" s="36">
        <v>62893</v>
      </c>
      <c r="D62" s="127">
        <f>IF(C62&gt;0,ROUND(+C62*D$70,0)," ")</f>
        <v>57911</v>
      </c>
      <c r="E62" s="127">
        <f>IF(C62&gt;0,ROUND(+C62*E$71,0)," ")</f>
        <v>110</v>
      </c>
      <c r="F62" s="127">
        <f>IF(C62&gt;0,ROUND(+C62*F$72,0)," ")</f>
        <v>547</v>
      </c>
    </row>
    <row r="63" spans="1:6" ht="15.75">
      <c r="A63" s="53"/>
      <c r="B63" s="102"/>
      <c r="C63" s="108"/>
      <c r="D63" s="127" t="str">
        <f>IF(C63&gt;0,ROUND(+C63*D$70,0)," ")</f>
        <v> </v>
      </c>
      <c r="E63" s="127" t="str">
        <f>IF(C63&gt;0,ROUND(+D63*E$71,0)," ")</f>
        <v> </v>
      </c>
      <c r="F63" s="127" t="str">
        <f>IF(C63&gt;0,ROUND(+E63*F$72,0)," ")</f>
        <v> </v>
      </c>
    </row>
    <row r="64" spans="1:6" ht="15.75">
      <c r="A64" s="34" t="s">
        <v>34</v>
      </c>
      <c r="B64" s="43"/>
      <c r="C64" s="190">
        <f>SUM(C62:C63)</f>
        <v>62893</v>
      </c>
      <c r="D64" s="191">
        <f>SUM(D62:D63)</f>
        <v>57911</v>
      </c>
      <c r="E64" s="191">
        <f>SUM(E62:E63)</f>
        <v>110</v>
      </c>
      <c r="F64" s="191">
        <f>SUM(F62:F63)</f>
        <v>547</v>
      </c>
    </row>
    <row r="65" spans="1:6" ht="15.75">
      <c r="A65" s="28"/>
      <c r="B65" s="28"/>
      <c r="C65" s="49"/>
      <c r="D65" s="124"/>
      <c r="E65" s="124"/>
      <c r="F65" s="124"/>
    </row>
    <row r="66" spans="1:6" ht="15.75">
      <c r="A66" s="28" t="s">
        <v>83</v>
      </c>
      <c r="B66" s="28"/>
      <c r="C66" s="49"/>
      <c r="D66" s="125">
        <v>57911.36</v>
      </c>
      <c r="E66" s="124"/>
      <c r="F66" s="124"/>
    </row>
    <row r="67" spans="1:6" ht="15.75">
      <c r="A67" s="28" t="s">
        <v>84</v>
      </c>
      <c r="B67" s="28"/>
      <c r="C67" s="49"/>
      <c r="D67" s="124"/>
      <c r="E67" s="125">
        <v>109.84</v>
      </c>
      <c r="F67" s="124"/>
    </row>
    <row r="68" spans="1:6" ht="15.75">
      <c r="A68" s="28" t="s">
        <v>85</v>
      </c>
      <c r="B68" s="28"/>
      <c r="C68" s="49"/>
      <c r="D68" s="124"/>
      <c r="E68" s="124"/>
      <c r="F68" s="125">
        <v>546.95</v>
      </c>
    </row>
    <row r="69" spans="1:6" ht="15.75">
      <c r="A69" s="1"/>
      <c r="B69" s="1"/>
      <c r="C69" s="1"/>
      <c r="D69" s="93"/>
      <c r="E69" s="93"/>
      <c r="F69" s="93"/>
    </row>
    <row r="70" spans="1:6" ht="15.75">
      <c r="A70" s="1"/>
      <c r="B70" s="1"/>
      <c r="C70" s="1" t="s">
        <v>35</v>
      </c>
      <c r="D70" s="126">
        <f>IF(C64=0,0,D66/C64)</f>
        <v>0.9207918210293673</v>
      </c>
      <c r="E70" s="93"/>
      <c r="F70" s="93"/>
    </row>
    <row r="71" spans="1:6" ht="15.75">
      <c r="A71" s="1"/>
      <c r="B71" s="1"/>
      <c r="C71" s="1"/>
      <c r="D71" s="93" t="s">
        <v>36</v>
      </c>
      <c r="E71" s="126">
        <f>IF(C64=0,0,E67/C64)</f>
        <v>0.0017464582703957516</v>
      </c>
      <c r="F71" s="93"/>
    </row>
    <row r="72" spans="1:6" ht="15.75">
      <c r="A72" s="1"/>
      <c r="B72" s="1"/>
      <c r="C72" s="1"/>
      <c r="D72" s="93"/>
      <c r="E72" s="93" t="s">
        <v>82</v>
      </c>
      <c r="F72" s="126">
        <f>IF(C64=0,0,F68/C64)</f>
        <v>0.008696516305471198</v>
      </c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25" t="s">
        <v>37</v>
      </c>
      <c r="C80" s="56"/>
      <c r="D80" s="1"/>
      <c r="E80" s="1"/>
      <c r="F80" s="1"/>
    </row>
  </sheetData>
  <sheetProtection/>
  <mergeCells count="1">
    <mergeCell ref="A51:D51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47">
      <selection activeCell="A89" sqref="A89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461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250201</v>
      </c>
      <c r="C9" s="20">
        <f>B51</f>
        <v>256996</v>
      </c>
      <c r="D9" s="20">
        <f>C51</f>
        <v>256996</v>
      </c>
    </row>
    <row r="10" spans="1:4" ht="15.75">
      <c r="A10" s="18" t="s">
        <v>135</v>
      </c>
      <c r="B10" s="20"/>
      <c r="C10" s="20"/>
      <c r="D10" s="20"/>
    </row>
    <row r="11" spans="1:4" ht="15.75">
      <c r="A11" s="53" t="s">
        <v>468</v>
      </c>
      <c r="B11" s="106">
        <v>13496</v>
      </c>
      <c r="C11" s="106"/>
      <c r="D11" s="106"/>
    </row>
    <row r="12" spans="1:4" ht="15.75">
      <c r="A12" s="53" t="s">
        <v>469</v>
      </c>
      <c r="B12" s="106">
        <v>6795</v>
      </c>
      <c r="C12" s="106"/>
      <c r="D12" s="106"/>
    </row>
    <row r="13" spans="1:4" ht="15.75">
      <c r="A13" s="53" t="s">
        <v>470</v>
      </c>
      <c r="B13" s="106">
        <v>106430.44</v>
      </c>
      <c r="C13" s="106"/>
      <c r="D13" s="106"/>
    </row>
    <row r="14" spans="1:4" ht="15.75">
      <c r="A14" s="53"/>
      <c r="B14" s="106"/>
      <c r="C14" s="106"/>
      <c r="D14" s="106"/>
    </row>
    <row r="15" spans="1:4" ht="15.75">
      <c r="A15" s="53"/>
      <c r="B15" s="106"/>
      <c r="C15" s="106"/>
      <c r="D15" s="106"/>
    </row>
    <row r="16" spans="1:4" ht="15.75">
      <c r="A16" s="53"/>
      <c r="B16" s="106"/>
      <c r="C16" s="106"/>
      <c r="D16" s="106"/>
    </row>
    <row r="17" spans="1:4" ht="15.75">
      <c r="A17" s="53"/>
      <c r="B17" s="106"/>
      <c r="C17" s="106"/>
      <c r="D17" s="106"/>
    </row>
    <row r="18" spans="1:4" ht="15.75">
      <c r="A18" s="53"/>
      <c r="B18" s="106"/>
      <c r="C18" s="106"/>
      <c r="D18" s="106"/>
    </row>
    <row r="19" spans="1:4" ht="15.75">
      <c r="A19" s="53"/>
      <c r="B19" s="106"/>
      <c r="C19" s="106"/>
      <c r="D19" s="106"/>
    </row>
    <row r="20" spans="1:4" ht="15.75">
      <c r="A20" s="53"/>
      <c r="B20" s="106"/>
      <c r="C20" s="106"/>
      <c r="D20" s="106"/>
    </row>
    <row r="21" spans="1:4" ht="15.75">
      <c r="A21" s="53"/>
      <c r="B21" s="106"/>
      <c r="C21" s="106"/>
      <c r="D21" s="106"/>
    </row>
    <row r="22" spans="1:4" ht="15.75">
      <c r="A22" s="17"/>
      <c r="B22" s="106"/>
      <c r="C22" s="106"/>
      <c r="D22" s="106"/>
    </row>
    <row r="23" spans="1:4" ht="15.75">
      <c r="A23" s="53"/>
      <c r="B23" s="106"/>
      <c r="C23" s="106"/>
      <c r="D23" s="106"/>
    </row>
    <row r="24" spans="1:4" ht="15.75">
      <c r="A24" s="53"/>
      <c r="B24" s="106"/>
      <c r="C24" s="106"/>
      <c r="D24" s="106"/>
    </row>
    <row r="25" spans="1:4" ht="15.75">
      <c r="A25" s="53"/>
      <c r="B25" s="36"/>
      <c r="C25" s="36"/>
      <c r="D25" s="36"/>
    </row>
    <row r="26" spans="1:4" ht="15.75">
      <c r="A26" s="121" t="s">
        <v>21</v>
      </c>
      <c r="B26" s="36">
        <v>6795</v>
      </c>
      <c r="C26" s="36"/>
      <c r="D26" s="36"/>
    </row>
    <row r="27" spans="1:4" ht="15.75">
      <c r="A27" s="122" t="s">
        <v>22</v>
      </c>
      <c r="B27" s="184">
        <f>SUM(B25:B26)</f>
        <v>6795</v>
      </c>
      <c r="C27" s="184">
        <f>SUM(C25:C26)</f>
        <v>0</v>
      </c>
      <c r="D27" s="184">
        <f>SUM(D25:D26)</f>
        <v>0</v>
      </c>
    </row>
    <row r="28" spans="1:4" ht="15.75">
      <c r="A28" s="122" t="s">
        <v>23</v>
      </c>
      <c r="B28" s="184">
        <f>B9+B27</f>
        <v>256996</v>
      </c>
      <c r="C28" s="184">
        <f>C9+C27</f>
        <v>256996</v>
      </c>
      <c r="D28" s="184">
        <f>D9+D27</f>
        <v>256996</v>
      </c>
    </row>
    <row r="29" spans="1:4" ht="15.75">
      <c r="A29" s="18" t="s">
        <v>24</v>
      </c>
      <c r="B29" s="20"/>
      <c r="C29" s="20"/>
      <c r="D29" s="20"/>
    </row>
    <row r="30" spans="1:6" ht="15.75">
      <c r="A30" s="53"/>
      <c r="B30" s="36"/>
      <c r="C30" s="36"/>
      <c r="D30" s="36"/>
      <c r="E30" s="106"/>
      <c r="F30" s="240"/>
    </row>
    <row r="31" spans="1:6" ht="15.75">
      <c r="A31" s="53"/>
      <c r="B31" s="36"/>
      <c r="C31" s="36"/>
      <c r="D31" s="36"/>
      <c r="E31" s="36"/>
      <c r="F31" s="240"/>
    </row>
    <row r="32" spans="1:6" ht="15.75">
      <c r="A32" s="53"/>
      <c r="B32" s="16"/>
      <c r="C32" s="16"/>
      <c r="D32" s="16"/>
      <c r="E32" s="36"/>
      <c r="F32" s="240"/>
    </row>
    <row r="33" spans="1:6" ht="15.75">
      <c r="A33" s="53"/>
      <c r="B33" s="16"/>
      <c r="C33" s="16"/>
      <c r="D33" s="16"/>
      <c r="E33" s="36"/>
      <c r="F33" s="240"/>
    </row>
    <row r="34" spans="1:6" ht="15.75">
      <c r="A34" s="53"/>
      <c r="B34" s="16"/>
      <c r="C34" s="16"/>
      <c r="D34" s="16"/>
      <c r="E34" s="36"/>
      <c r="F34" s="240"/>
    </row>
    <row r="35" spans="1:6" ht="15.75">
      <c r="A35" s="53"/>
      <c r="B35" s="16"/>
      <c r="C35" s="16"/>
      <c r="D35" s="16"/>
      <c r="E35" s="36"/>
      <c r="F35" s="240"/>
    </row>
    <row r="36" spans="1:6" ht="15.75">
      <c r="A36" s="53"/>
      <c r="B36" s="16"/>
      <c r="C36" s="16"/>
      <c r="D36" s="16"/>
      <c r="E36" s="36"/>
      <c r="F36" s="240"/>
    </row>
    <row r="37" spans="1:6" ht="15.75">
      <c r="A37" s="53"/>
      <c r="B37" s="16"/>
      <c r="C37" s="16"/>
      <c r="D37" s="16"/>
      <c r="E37" s="36"/>
      <c r="F37" s="240"/>
    </row>
    <row r="38" spans="1:6" ht="15.75">
      <c r="A38" s="53"/>
      <c r="B38" s="16"/>
      <c r="C38" s="16"/>
      <c r="D38" s="16"/>
      <c r="E38" s="36"/>
      <c r="F38" s="240"/>
    </row>
    <row r="39" spans="1:6" ht="15.75">
      <c r="A39" s="53"/>
      <c r="B39" s="16"/>
      <c r="C39" s="16"/>
      <c r="D39" s="16"/>
      <c r="E39" s="36"/>
      <c r="F39" s="240"/>
    </row>
    <row r="40" spans="1:6" ht="15.75">
      <c r="A40" s="53"/>
      <c r="B40" s="16"/>
      <c r="C40" s="16"/>
      <c r="D40" s="16"/>
      <c r="E40" s="36"/>
      <c r="F40" s="240"/>
    </row>
    <row r="41" spans="1:6" ht="15.75">
      <c r="A41" s="53"/>
      <c r="B41" s="16"/>
      <c r="C41" s="16"/>
      <c r="D41" s="16"/>
      <c r="E41" s="16"/>
      <c r="F41" s="240"/>
    </row>
    <row r="42" spans="1:6" ht="15.75">
      <c r="A42" s="53"/>
      <c r="B42" s="36"/>
      <c r="C42" s="36"/>
      <c r="D42" s="36"/>
      <c r="E42" s="36"/>
      <c r="F42" s="240"/>
    </row>
    <row r="43" spans="1:6" ht="15.75">
      <c r="A43" s="53"/>
      <c r="B43" s="36"/>
      <c r="C43" s="36"/>
      <c r="D43" s="36"/>
      <c r="E43" s="36"/>
      <c r="F43" s="240"/>
    </row>
    <row r="44" spans="1:6" ht="15.75">
      <c r="A44" s="53"/>
      <c r="B44" s="36"/>
      <c r="C44" s="36"/>
      <c r="D44" s="36"/>
      <c r="F44" s="240"/>
    </row>
    <row r="45" spans="1:4" ht="15.75">
      <c r="A45" s="53"/>
      <c r="B45" s="36"/>
      <c r="C45" s="36"/>
      <c r="D45" s="36"/>
    </row>
    <row r="46" spans="1:6" ht="15.75">
      <c r="A46" s="53"/>
      <c r="B46" s="36"/>
      <c r="C46" s="36"/>
      <c r="D46" s="36"/>
      <c r="F46" s="240"/>
    </row>
    <row r="47" spans="1:4" ht="15.75">
      <c r="A47" s="53"/>
      <c r="B47" s="36"/>
      <c r="C47" s="36"/>
      <c r="D47" s="36"/>
    </row>
    <row r="48" spans="1:4" ht="15.75">
      <c r="A48" s="53"/>
      <c r="B48" s="36"/>
      <c r="C48" s="36"/>
      <c r="D48" s="36"/>
    </row>
    <row r="49" spans="1:4" ht="15.75">
      <c r="A49" s="53"/>
      <c r="B49" s="36"/>
      <c r="C49" s="36"/>
      <c r="D49" s="36"/>
    </row>
    <row r="50" spans="1:4" ht="15.75">
      <c r="A50" s="122" t="s">
        <v>25</v>
      </c>
      <c r="B50" s="184">
        <f>SUM(B30:B49)</f>
        <v>0</v>
      </c>
      <c r="C50" s="184">
        <f>SUM(C30:C49)</f>
        <v>0</v>
      </c>
      <c r="D50" s="184">
        <f>SUM(D30:D49)</f>
        <v>0</v>
      </c>
    </row>
    <row r="51" spans="1:4" ht="15.75">
      <c r="A51" s="18" t="s">
        <v>138</v>
      </c>
      <c r="B51" s="185">
        <f>B28-B50</f>
        <v>256996</v>
      </c>
      <c r="C51" s="185">
        <f>C28-C50</f>
        <v>256996</v>
      </c>
      <c r="D51" s="185">
        <f>D28-D50</f>
        <v>256996</v>
      </c>
    </row>
    <row r="52" spans="1:4" ht="15.75">
      <c r="A52" s="143"/>
      <c r="B52" s="143"/>
      <c r="C52" s="143"/>
      <c r="D52" s="143"/>
    </row>
    <row r="53" spans="1:4" ht="15.75">
      <c r="A53" s="149" t="s">
        <v>139</v>
      </c>
      <c r="B53" s="186"/>
      <c r="C53" s="143"/>
      <c r="D53" s="143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 s="98"/>
      <c r="B62" s="49"/>
      <c r="C62" s="49"/>
      <c r="D62" s="147"/>
    </row>
    <row r="63" spans="1:4" ht="15.75">
      <c r="A63" s="98"/>
      <c r="B63" s="49"/>
      <c r="C63" s="49"/>
      <c r="D63" s="1">
        <f>input!$E$5</f>
        <v>2012</v>
      </c>
    </row>
    <row r="64" spans="1:4" ht="15.75">
      <c r="A64" s="98"/>
      <c r="B64" s="49"/>
      <c r="C64" s="49"/>
      <c r="D64" s="49"/>
    </row>
    <row r="65" spans="1:4" ht="15.75">
      <c r="A65" s="98" t="s">
        <v>143</v>
      </c>
      <c r="B65" s="314" t="s">
        <v>471</v>
      </c>
      <c r="C65" s="314"/>
      <c r="D65" s="49"/>
    </row>
    <row r="66" spans="1:4" ht="15.75">
      <c r="A66" s="98"/>
      <c r="B66" s="124"/>
      <c r="C66" s="124"/>
      <c r="D66" s="49"/>
    </row>
    <row r="67" spans="1:4" ht="15.75">
      <c r="A67" s="1" t="s">
        <v>38</v>
      </c>
      <c r="B67" s="315" t="str">
        <f>input!E3</f>
        <v>Jackson County</v>
      </c>
      <c r="C67" s="315"/>
      <c r="D67" s="49"/>
    </row>
    <row r="68" spans="1:4" ht="15.75">
      <c r="A68" s="1"/>
      <c r="B68" s="124"/>
      <c r="C68" s="124"/>
      <c r="D68" s="49"/>
    </row>
    <row r="69" spans="1:4" ht="15.75">
      <c r="A69" s="27" t="s">
        <v>132</v>
      </c>
      <c r="B69" s="124"/>
      <c r="C69" s="124"/>
      <c r="D69" s="49"/>
    </row>
    <row r="70" spans="1:4" ht="15.75">
      <c r="A70" s="148"/>
      <c r="B70" s="311"/>
      <c r="C70" s="311"/>
      <c r="D70" s="68"/>
    </row>
    <row r="71" spans="1:4" ht="15.75">
      <c r="A71" s="5" t="s">
        <v>133</v>
      </c>
      <c r="B71" s="119" t="s">
        <v>10</v>
      </c>
      <c r="C71" s="9" t="s">
        <v>11</v>
      </c>
      <c r="D71" s="9" t="s">
        <v>12</v>
      </c>
    </row>
    <row r="72" spans="1:4" ht="15.75">
      <c r="A72" s="120"/>
      <c r="B72" s="33" t="str">
        <f>CONCATENATE("Actual ",Adrian!$F$1-2,"")</f>
        <v>Actual 2010</v>
      </c>
      <c r="C72" s="33" t="str">
        <f>CONCATENATE("Estimate ",Adrian!$F$1-1,"")</f>
        <v>Estimate 2011</v>
      </c>
      <c r="D72" s="33" t="str">
        <f>CONCATENATE("Year ",Adrian!$F$1,"")</f>
        <v>Year 2012</v>
      </c>
    </row>
    <row r="73" spans="1:4" ht="15.75">
      <c r="A73" s="18" t="s">
        <v>134</v>
      </c>
      <c r="B73" s="36">
        <v>113131</v>
      </c>
      <c r="C73" s="20">
        <f>B99</f>
        <v>113131</v>
      </c>
      <c r="D73" s="20">
        <f>C99</f>
        <v>113131</v>
      </c>
    </row>
    <row r="74" spans="1:4" ht="15.75">
      <c r="A74" s="18" t="s">
        <v>135</v>
      </c>
      <c r="B74" s="20"/>
      <c r="C74" s="20"/>
      <c r="D74" s="20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36"/>
      <c r="C77" s="36"/>
      <c r="D77" s="36"/>
    </row>
    <row r="78" spans="1:4" ht="15.75">
      <c r="A78" s="17"/>
      <c r="B78" s="16"/>
      <c r="C78" s="16"/>
      <c r="D78" s="16"/>
    </row>
    <row r="79" spans="1:4" ht="15.75">
      <c r="A79" s="53"/>
      <c r="B79" s="36"/>
      <c r="C79" s="36"/>
      <c r="D79" s="36"/>
    </row>
    <row r="80" spans="1:4" ht="15.75">
      <c r="A80" s="53"/>
      <c r="B80" s="36"/>
      <c r="C80" s="36"/>
      <c r="D80" s="36"/>
    </row>
    <row r="81" spans="1:4" ht="15.75">
      <c r="A81" s="53"/>
      <c r="B81" s="36"/>
      <c r="C81" s="36"/>
      <c r="D81" s="36"/>
    </row>
    <row r="82" spans="1:4" ht="15.75">
      <c r="A82" s="121" t="s">
        <v>21</v>
      </c>
      <c r="B82" s="36"/>
      <c r="C82" s="36"/>
      <c r="D82" s="36"/>
    </row>
    <row r="83" spans="1:4" ht="15.75">
      <c r="A83" s="122" t="s">
        <v>22</v>
      </c>
      <c r="B83" s="184">
        <f>SUM(B75:B82)</f>
        <v>0</v>
      </c>
      <c r="C83" s="184">
        <f>SUM(C75:C82)</f>
        <v>0</v>
      </c>
      <c r="D83" s="184">
        <f>SUM(D75:D82)</f>
        <v>0</v>
      </c>
    </row>
    <row r="84" spans="1:4" ht="15.75">
      <c r="A84" s="122" t="s">
        <v>23</v>
      </c>
      <c r="B84" s="184">
        <f>B73+B83</f>
        <v>113131</v>
      </c>
      <c r="C84" s="184">
        <f>C73+C83</f>
        <v>113131</v>
      </c>
      <c r="D84" s="184">
        <f>D73+D83</f>
        <v>113131</v>
      </c>
    </row>
    <row r="85" spans="1:4" ht="15.75">
      <c r="A85" s="18" t="s">
        <v>24</v>
      </c>
      <c r="B85" s="20"/>
      <c r="C85" s="20"/>
      <c r="D85" s="20"/>
    </row>
    <row r="86" spans="1:4" ht="15.75">
      <c r="A86" s="53" t="s">
        <v>136</v>
      </c>
      <c r="B86" s="36"/>
      <c r="C86" s="36"/>
      <c r="D86" s="36"/>
    </row>
    <row r="87" spans="1:4" ht="15.75">
      <c r="A87" s="53" t="s">
        <v>137</v>
      </c>
      <c r="B87" s="36"/>
      <c r="C87" s="36"/>
      <c r="D87" s="36"/>
    </row>
    <row r="88" spans="1:4" ht="15.75">
      <c r="A88" s="53" t="s">
        <v>325</v>
      </c>
      <c r="B88" s="36"/>
      <c r="C88" s="36"/>
      <c r="D88" s="36">
        <v>113131</v>
      </c>
    </row>
    <row r="89" spans="1:4" ht="15.75">
      <c r="A89" s="53"/>
      <c r="B89" s="36"/>
      <c r="C89" s="36"/>
      <c r="D89" s="36"/>
    </row>
    <row r="90" spans="1:4" ht="15.75">
      <c r="A90" s="53"/>
      <c r="B90" s="36"/>
      <c r="C90" s="36"/>
      <c r="D90" s="36"/>
    </row>
    <row r="91" spans="1:4" ht="15.75">
      <c r="A91" s="53"/>
      <c r="B91" s="36"/>
      <c r="C91" s="36"/>
      <c r="D91" s="36"/>
    </row>
    <row r="92" spans="1:4" ht="15.75">
      <c r="A92" s="53"/>
      <c r="B92" s="36"/>
      <c r="C92" s="36"/>
      <c r="D92" s="36"/>
    </row>
    <row r="93" spans="1:4" ht="15.75">
      <c r="A93" s="53"/>
      <c r="B93" s="16"/>
      <c r="C93" s="16"/>
      <c r="D93" s="16"/>
    </row>
    <row r="94" spans="1:4" ht="15.75">
      <c r="A94" s="53"/>
      <c r="B94" s="36"/>
      <c r="C94" s="16"/>
      <c r="D94" s="16"/>
    </row>
    <row r="95" spans="1:4" ht="15.75">
      <c r="A95" s="53"/>
      <c r="B95" s="36"/>
      <c r="C95" s="16"/>
      <c r="D95" s="16"/>
    </row>
    <row r="96" spans="1:4" ht="15.75">
      <c r="A96" s="53"/>
      <c r="B96" s="36"/>
      <c r="C96" s="16"/>
      <c r="D96" s="16"/>
    </row>
    <row r="97" spans="1:4" ht="15.75">
      <c r="A97" s="53"/>
      <c r="B97" s="36"/>
      <c r="C97" s="36"/>
      <c r="D97" s="36"/>
    </row>
    <row r="98" spans="1:4" ht="15.75">
      <c r="A98" s="122" t="s">
        <v>25</v>
      </c>
      <c r="B98" s="184">
        <f>SUM(B86:B97)</f>
        <v>0</v>
      </c>
      <c r="C98" s="184">
        <f>SUM(C86:C97)</f>
        <v>0</v>
      </c>
      <c r="D98" s="184">
        <f>SUM(D86:D97)</f>
        <v>113131</v>
      </c>
    </row>
    <row r="99" spans="1:4" ht="15.75">
      <c r="A99" s="18" t="s">
        <v>138</v>
      </c>
      <c r="B99" s="185">
        <f>B84-B98</f>
        <v>113131</v>
      </c>
      <c r="C99" s="185">
        <f>C84-C98</f>
        <v>113131</v>
      </c>
      <c r="D99" s="185">
        <f>D84-D98</f>
        <v>0</v>
      </c>
    </row>
    <row r="100" spans="1:4" ht="15.75">
      <c r="A100" s="1"/>
      <c r="B100" s="1"/>
      <c r="C100" s="1"/>
      <c r="D100" s="1"/>
    </row>
    <row r="101" spans="1:4" ht="15.75">
      <c r="A101" s="4" t="s">
        <v>139</v>
      </c>
      <c r="B101" s="146"/>
      <c r="C101" s="1"/>
      <c r="D101" s="1"/>
    </row>
  </sheetData>
  <sheetProtection/>
  <mergeCells count="5">
    <mergeCell ref="B70:C70"/>
    <mergeCell ref="B2:C2"/>
    <mergeCell ref="B4:C4"/>
    <mergeCell ref="B65:C65"/>
    <mergeCell ref="B67:C67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4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Holton!C3</f>
        <v>Holton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62893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62893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133786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1583519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1795442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45466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179252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31586555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31407303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0.005707335010586551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358.9514208208199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63251.95142082082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63251.95142082082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1">
      <selection activeCell="F35" sqref="F3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cert2!A17</f>
        <v>Hoyt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11417</v>
      </c>
      <c r="E9" s="20">
        <f>+D36</f>
        <v>12433.419999999998</v>
      </c>
      <c r="F9" s="20">
        <f>+E36</f>
        <v>6654.419999999998</v>
      </c>
    </row>
    <row r="10" spans="1:6" ht="15.75">
      <c r="A10" s="199" t="s">
        <v>14</v>
      </c>
      <c r="B10" s="200"/>
      <c r="C10" s="201"/>
      <c r="D10" s="196"/>
      <c r="E10" s="36">
        <v>8862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1540</v>
      </c>
      <c r="F12" s="20">
        <f>D51</f>
        <v>1478</v>
      </c>
    </row>
    <row r="13" spans="1:6" ht="15.75">
      <c r="A13" s="34" t="s">
        <v>17</v>
      </c>
      <c r="B13" s="35"/>
      <c r="C13" s="201"/>
      <c r="D13" s="196"/>
      <c r="E13" s="36">
        <v>41</v>
      </c>
      <c r="F13" s="20">
        <f>E51</f>
        <v>41</v>
      </c>
    </row>
    <row r="14" spans="1:6" ht="15.75">
      <c r="A14" s="34" t="s">
        <v>86</v>
      </c>
      <c r="B14" s="35"/>
      <c r="C14" s="201"/>
      <c r="D14" s="196"/>
      <c r="E14" s="36">
        <v>87</v>
      </c>
      <c r="F14" s="20">
        <f>F51</f>
        <v>75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10465.5</v>
      </c>
      <c r="E17" s="36" t="s">
        <v>19</v>
      </c>
      <c r="F17" s="36" t="s">
        <v>19</v>
      </c>
    </row>
    <row r="18" spans="1:6" ht="15.75">
      <c r="A18" s="39" t="s">
        <v>260</v>
      </c>
      <c r="B18" s="38"/>
      <c r="C18" s="202"/>
      <c r="D18" s="196">
        <v>1000</v>
      </c>
      <c r="E18" s="36"/>
      <c r="F18" s="36"/>
    </row>
    <row r="19" spans="1:6" ht="15.75">
      <c r="A19" s="39" t="s">
        <v>294</v>
      </c>
      <c r="B19" s="38"/>
      <c r="C19" s="202"/>
      <c r="D19" s="196">
        <v>140.32</v>
      </c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176.46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11782.279999999999</v>
      </c>
      <c r="E23" s="184">
        <f>SUM(E10:E22)</f>
        <v>10530</v>
      </c>
      <c r="F23" s="184">
        <f>SUM(F10:F22)</f>
        <v>1594</v>
      </c>
    </row>
    <row r="24" spans="1:6" ht="15.75">
      <c r="A24" s="42" t="s">
        <v>23</v>
      </c>
      <c r="B24" s="35"/>
      <c r="C24" s="201"/>
      <c r="D24" s="197">
        <f>+D9+D23</f>
        <v>23199.28</v>
      </c>
      <c r="E24" s="184">
        <f>+E9+E23</f>
        <v>22963.42</v>
      </c>
      <c r="F24" s="184">
        <f>+F9+F23</f>
        <v>8248.419999999998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3215.86</v>
      </c>
      <c r="E26" s="36">
        <v>2500</v>
      </c>
      <c r="F26" s="36">
        <v>2500</v>
      </c>
    </row>
    <row r="27" spans="1:6" ht="15.75">
      <c r="A27" s="40" t="s">
        <v>263</v>
      </c>
      <c r="B27" s="38"/>
      <c r="C27" s="202"/>
      <c r="D27" s="196">
        <v>4200</v>
      </c>
      <c r="E27" s="36">
        <v>5250</v>
      </c>
      <c r="F27" s="36">
        <v>5250</v>
      </c>
    </row>
    <row r="28" spans="1:6" ht="15.75">
      <c r="A28" s="40" t="s">
        <v>281</v>
      </c>
      <c r="B28" s="38"/>
      <c r="C28" s="202"/>
      <c r="D28" s="196">
        <v>3350</v>
      </c>
      <c r="E28" s="36">
        <v>4350</v>
      </c>
      <c r="F28" s="36">
        <v>4350</v>
      </c>
    </row>
    <row r="29" spans="1:6" ht="15.75">
      <c r="A29" s="40" t="s">
        <v>295</v>
      </c>
      <c r="B29" s="38"/>
      <c r="C29" s="202"/>
      <c r="D29" s="196"/>
      <c r="E29" s="36"/>
      <c r="F29" s="36"/>
    </row>
    <row r="30" spans="1:6" ht="15.75">
      <c r="A30" s="37" t="s">
        <v>296</v>
      </c>
      <c r="B30" s="38"/>
      <c r="C30" s="202"/>
      <c r="D30" s="196"/>
      <c r="E30" s="36">
        <v>480</v>
      </c>
      <c r="F30" s="36">
        <v>480</v>
      </c>
    </row>
    <row r="31" spans="1:6" ht="15.75">
      <c r="A31" s="37" t="s">
        <v>297</v>
      </c>
      <c r="B31" s="38"/>
      <c r="C31" s="202"/>
      <c r="D31" s="196"/>
      <c r="E31" s="36">
        <v>3450</v>
      </c>
      <c r="F31" s="36">
        <v>3450</v>
      </c>
    </row>
    <row r="32" spans="1:6" ht="15.75">
      <c r="A32" s="37" t="s">
        <v>298</v>
      </c>
      <c r="B32" s="38"/>
      <c r="C32" s="202"/>
      <c r="D32" s="196"/>
      <c r="E32" s="36">
        <v>100</v>
      </c>
      <c r="F32" s="36">
        <v>100</v>
      </c>
    </row>
    <row r="33" spans="1:6" ht="15.75">
      <c r="A33" s="37" t="s">
        <v>299</v>
      </c>
      <c r="B33" s="38"/>
      <c r="C33" s="202"/>
      <c r="D33" s="196"/>
      <c r="E33" s="36">
        <v>24</v>
      </c>
      <c r="F33" s="36">
        <v>24</v>
      </c>
    </row>
    <row r="34" spans="1:6" ht="15.75">
      <c r="A34" s="37" t="s">
        <v>300</v>
      </c>
      <c r="B34" s="38"/>
      <c r="C34" s="202"/>
      <c r="D34" s="196"/>
      <c r="E34" s="36">
        <v>155</v>
      </c>
      <c r="F34" s="36">
        <v>1100</v>
      </c>
    </row>
    <row r="35" spans="1:6" ht="15.75">
      <c r="A35" s="42" t="s">
        <v>25</v>
      </c>
      <c r="B35" s="35"/>
      <c r="C35" s="201"/>
      <c r="D35" s="197">
        <f>SUM(D26:D34)</f>
        <v>10765.86</v>
      </c>
      <c r="E35" s="184">
        <f>SUM(E26:E34)</f>
        <v>16309</v>
      </c>
      <c r="F35" s="184">
        <f>SUM(F26:F34)</f>
        <v>17254</v>
      </c>
    </row>
    <row r="36" spans="1:6" ht="15.75">
      <c r="A36" s="34" t="s">
        <v>26</v>
      </c>
      <c r="B36" s="35"/>
      <c r="C36" s="201"/>
      <c r="D36" s="190">
        <f>+D24-D35</f>
        <v>12433.419999999998</v>
      </c>
      <c r="E36" s="185">
        <f>+E24-E35</f>
        <v>6654.419999999998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17254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9005.580000000002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Comp8!$J$35</f>
        <v>9005.62568533366</v>
      </c>
      <c r="D41" s="1"/>
      <c r="E41" s="4" t="str">
        <f>CONCATENATE("Amount of ",$F$1-1," Ad Valorem Tax")</f>
        <v>Amount of 2011 Ad Valorem Tax</v>
      </c>
      <c r="F41" s="185">
        <f>SUM(F39:F40)</f>
        <v>9005.580000000002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8862</v>
      </c>
      <c r="D51" s="127">
        <f>IF(C51&gt;0,ROUND(+C51*D$59,0)," ")</f>
        <v>1478</v>
      </c>
      <c r="E51" s="127">
        <f>IF(C51&gt;0,ROUND(+C51*E$60,0)," ")</f>
        <v>41</v>
      </c>
      <c r="F51" s="127">
        <f>IF(C51&gt;0,ROUND(+C51*F$61,0)," ")</f>
        <v>75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8862</v>
      </c>
      <c r="D53" s="191">
        <f>SUM(D51:D52)</f>
        <v>1478</v>
      </c>
      <c r="E53" s="191">
        <f>SUM(E51:E52)</f>
        <v>41</v>
      </c>
      <c r="F53" s="191">
        <f>SUM(F51:F52)</f>
        <v>75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1477.8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41.28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75.42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0.16675693974272174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0.004658090724441436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0.008510494245091402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4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Hoyt!C3</f>
        <v>Hoyt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8862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8862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123222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280486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353857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29105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152327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9551216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9398889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0.016206915519483205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143.62568533366016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9005.62568533366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9005.62568533366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301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7346</v>
      </c>
      <c r="C9" s="20">
        <f>B35</f>
        <v>7480.37</v>
      </c>
      <c r="D9" s="20">
        <f>C35</f>
        <v>7480.37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>
        <v>134.37</v>
      </c>
      <c r="C18" s="36"/>
      <c r="D18" s="36"/>
    </row>
    <row r="19" spans="1:4" ht="15.75">
      <c r="A19" s="122" t="s">
        <v>22</v>
      </c>
      <c r="B19" s="184">
        <f>SUM(B12:B18)</f>
        <v>134.37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7480.37</v>
      </c>
      <c r="C20" s="184">
        <f>C9+C19</f>
        <v>7480.37</v>
      </c>
      <c r="D20" s="184">
        <f>D9+D19</f>
        <v>7480.37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7480.37</v>
      </c>
      <c r="C35" s="185">
        <f>C20-C34</f>
        <v>7480.37</v>
      </c>
      <c r="D35" s="185">
        <f>D20-D34</f>
        <v>7480.37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/>
    </row>
    <row r="48" spans="1:4" ht="15.75">
      <c r="A48" s="98"/>
      <c r="B48" s="49"/>
      <c r="C48" s="49"/>
      <c r="D48" s="49"/>
    </row>
    <row r="49" spans="1:4" ht="15.75">
      <c r="A49" s="98"/>
      <c r="B49" s="314"/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/>
      <c r="B51" s="315"/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/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/>
      <c r="B55" s="119"/>
      <c r="C55" s="9"/>
      <c r="D55" s="9"/>
    </row>
    <row r="56" spans="1:4" ht="15.75">
      <c r="A56" s="120"/>
      <c r="B56" s="33"/>
      <c r="C56" s="33"/>
      <c r="D56" s="33"/>
    </row>
    <row r="57" spans="1:4" ht="15.75">
      <c r="A57" s="18"/>
      <c r="B57" s="36"/>
      <c r="C57" s="20"/>
      <c r="D57" s="20"/>
    </row>
    <row r="58" spans="1:4" ht="15.75">
      <c r="A58" s="18"/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/>
      <c r="B66" s="36"/>
      <c r="C66" s="36"/>
      <c r="D66" s="36"/>
    </row>
    <row r="67" spans="1:4" ht="15.75">
      <c r="A67" s="122"/>
      <c r="B67" s="184"/>
      <c r="C67" s="184"/>
      <c r="D67" s="184"/>
    </row>
    <row r="68" spans="1:4" ht="15.75">
      <c r="A68" s="122"/>
      <c r="B68" s="184"/>
      <c r="C68" s="184"/>
      <c r="D68" s="184"/>
    </row>
    <row r="69" spans="1:4" ht="15.75">
      <c r="A69" s="18"/>
      <c r="B69" s="20"/>
      <c r="C69" s="20"/>
      <c r="D69" s="20"/>
    </row>
    <row r="70" spans="1:4" ht="15.75">
      <c r="A70" s="53"/>
      <c r="B70" s="36"/>
      <c r="C70" s="36"/>
      <c r="D70" s="36"/>
    </row>
    <row r="71" spans="1:4" ht="15.75">
      <c r="A71" s="53"/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/>
      <c r="B82" s="184"/>
      <c r="C82" s="184"/>
      <c r="D82" s="184"/>
    </row>
    <row r="83" spans="1:4" ht="15.75">
      <c r="A83" s="18"/>
      <c r="B83" s="185"/>
      <c r="C83" s="185"/>
      <c r="D83" s="185"/>
    </row>
    <row r="84" spans="1:4" ht="15.75">
      <c r="A84" s="1"/>
      <c r="B84" s="1"/>
      <c r="C84" s="1"/>
      <c r="D84" s="1"/>
    </row>
    <row r="85" spans="1:4" ht="15.75">
      <c r="A85" s="4"/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0">
      <selection activeCell="F27" sqref="F2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cert2!A18</f>
        <v>Mayetta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119</v>
      </c>
      <c r="E9" s="20">
        <f>+D36</f>
        <v>96.18000000000029</v>
      </c>
      <c r="F9" s="20">
        <f>+E36</f>
        <v>3.180000000000291</v>
      </c>
    </row>
    <row r="10" spans="1:6" ht="15.75">
      <c r="A10" s="199" t="s">
        <v>14</v>
      </c>
      <c r="B10" s="200"/>
      <c r="C10" s="201"/>
      <c r="D10" s="196"/>
      <c r="E10" s="36">
        <v>6127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919</v>
      </c>
      <c r="F12" s="20">
        <f>D51</f>
        <v>1038</v>
      </c>
    </row>
    <row r="13" spans="1:6" ht="15.75">
      <c r="A13" s="34" t="s">
        <v>17</v>
      </c>
      <c r="B13" s="35"/>
      <c r="C13" s="201"/>
      <c r="D13" s="196"/>
      <c r="E13" s="36">
        <v>18</v>
      </c>
      <c r="F13" s="20">
        <f>E51</f>
        <v>20</v>
      </c>
    </row>
    <row r="14" spans="1:6" ht="15.75">
      <c r="A14" s="34" t="s">
        <v>86</v>
      </c>
      <c r="B14" s="35"/>
      <c r="C14" s="201"/>
      <c r="D14" s="196"/>
      <c r="E14" s="36">
        <v>118</v>
      </c>
      <c r="F14" s="20">
        <f>F51</f>
        <v>88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6541.27</v>
      </c>
      <c r="E17" s="36"/>
      <c r="F17" s="36" t="s">
        <v>19</v>
      </c>
    </row>
    <row r="18" spans="1:6" ht="15.75">
      <c r="A18" s="39" t="s">
        <v>260</v>
      </c>
      <c r="B18" s="38"/>
      <c r="C18" s="202"/>
      <c r="D18" s="196">
        <v>600</v>
      </c>
      <c r="E18" s="36">
        <v>300</v>
      </c>
      <c r="F18" s="36">
        <v>300</v>
      </c>
    </row>
    <row r="19" spans="1:6" ht="15.75">
      <c r="A19" s="39" t="s">
        <v>365</v>
      </c>
      <c r="B19" s="38"/>
      <c r="C19" s="202"/>
      <c r="D19" s="196">
        <v>2025</v>
      </c>
      <c r="E19" s="36">
        <v>4500</v>
      </c>
      <c r="F19" s="36">
        <v>4500</v>
      </c>
    </row>
    <row r="20" spans="1:6" ht="15.75">
      <c r="A20" s="37" t="s">
        <v>261</v>
      </c>
      <c r="B20" s="38"/>
      <c r="C20" s="202"/>
      <c r="D20" s="196"/>
      <c r="E20" s="36"/>
      <c r="F20" s="36"/>
    </row>
    <row r="21" spans="1:6" ht="15.75">
      <c r="A21" s="40" t="s">
        <v>366</v>
      </c>
      <c r="B21" s="41"/>
      <c r="C21" s="202"/>
      <c r="D21" s="196">
        <v>175</v>
      </c>
      <c r="E21" s="36">
        <v>50</v>
      </c>
      <c r="F21" s="36">
        <v>50</v>
      </c>
    </row>
    <row r="22" spans="1:6" ht="15.75">
      <c r="A22" s="40" t="s">
        <v>21</v>
      </c>
      <c r="B22" s="41"/>
      <c r="C22" s="202"/>
      <c r="D22" s="196">
        <v>8.64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9349.91</v>
      </c>
      <c r="E23" s="184">
        <f>SUM(E10:E22)</f>
        <v>12032</v>
      </c>
      <c r="F23" s="184">
        <f>SUM(F10:F22)</f>
        <v>5996</v>
      </c>
    </row>
    <row r="24" spans="1:6" ht="15.75">
      <c r="A24" s="42" t="s">
        <v>23</v>
      </c>
      <c r="B24" s="35"/>
      <c r="C24" s="201"/>
      <c r="D24" s="197">
        <f>+D9+D23</f>
        <v>9468.91</v>
      </c>
      <c r="E24" s="184">
        <f>+E9+E23</f>
        <v>12128.18</v>
      </c>
      <c r="F24" s="184">
        <f>+F9+F23</f>
        <v>5999.18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1187.73</v>
      </c>
      <c r="E26" s="36">
        <v>1800</v>
      </c>
      <c r="F26" s="36">
        <v>1847</v>
      </c>
    </row>
    <row r="27" spans="1:6" ht="15.75">
      <c r="A27" s="40" t="s">
        <v>263</v>
      </c>
      <c r="B27" s="38"/>
      <c r="C27" s="202"/>
      <c r="D27" s="196">
        <v>5860</v>
      </c>
      <c r="E27" s="36">
        <v>5675</v>
      </c>
      <c r="F27" s="36">
        <v>5675</v>
      </c>
    </row>
    <row r="28" spans="1:6" ht="15.75">
      <c r="A28" s="40" t="s">
        <v>365</v>
      </c>
      <c r="B28" s="38"/>
      <c r="C28" s="202"/>
      <c r="D28" s="196">
        <v>2025</v>
      </c>
      <c r="E28" s="36">
        <v>4500</v>
      </c>
      <c r="F28" s="36">
        <v>4500</v>
      </c>
    </row>
    <row r="29" spans="1:6" ht="15.75">
      <c r="A29" s="40" t="s">
        <v>367</v>
      </c>
      <c r="B29" s="38"/>
      <c r="C29" s="202"/>
      <c r="D29" s="196">
        <v>300</v>
      </c>
      <c r="E29" s="36">
        <v>150</v>
      </c>
      <c r="F29" s="36">
        <v>150</v>
      </c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9372.73</v>
      </c>
      <c r="E35" s="184">
        <f>SUM(E26:E34)</f>
        <v>12125</v>
      </c>
      <c r="F35" s="184">
        <f>SUM(F26:F34)</f>
        <v>12172</v>
      </c>
    </row>
    <row r="36" spans="1:6" ht="15.75">
      <c r="A36" s="34" t="s">
        <v>26</v>
      </c>
      <c r="B36" s="35"/>
      <c r="C36" s="201"/>
      <c r="D36" s="190">
        <f>+D24-D35</f>
        <v>96.18000000000029</v>
      </c>
      <c r="E36" s="185">
        <f>+E24-E35</f>
        <v>3.180000000000291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12172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6172.82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7" ht="15.75">
      <c r="A41" s="215">
        <f>sum2!I16</f>
        <v>7349570</v>
      </c>
      <c r="B41" s="1"/>
      <c r="C41" s="60">
        <f>Comp9!J35</f>
        <v>6172.738891841399</v>
      </c>
      <c r="D41" s="1"/>
      <c r="E41" s="4" t="str">
        <f>CONCATENATE("Amount of ",$F$1-1," Ad Valorem Tax")</f>
        <v>Amount of 2011 Ad Valorem Tax</v>
      </c>
      <c r="F41" s="185">
        <f>SUM(F39:F40)</f>
        <v>6172.82</v>
      </c>
      <c r="G41" s="226">
        <f>C41-F41</f>
        <v>-0.08110815860072762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225">
        <f>sum2!E16</f>
        <v>0.854</v>
      </c>
      <c r="F43" s="223">
        <f>sum2!H16</f>
        <v>0.84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6127</v>
      </c>
      <c r="D51" s="127">
        <f>IF(C51&gt;0,ROUND(+C51*D$59,0)," ")</f>
        <v>1038</v>
      </c>
      <c r="E51" s="127">
        <f>IF(C51&gt;0,ROUND(+C51*E$60,0)," ")</f>
        <v>20</v>
      </c>
      <c r="F51" s="127">
        <f>IF(C51&gt;0,ROUND(+C51*F$61,0)," ")</f>
        <v>88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6127</v>
      </c>
      <c r="D53" s="191">
        <f>SUM(D51:D52)</f>
        <v>1038</v>
      </c>
      <c r="E53" s="191">
        <f>SUM(E51:E52)</f>
        <v>20</v>
      </c>
      <c r="F53" s="191">
        <f>SUM(F51:F52)</f>
        <v>88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1038.08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20.19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87.77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0.16942712583646155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0.0032952505304390403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0.014325118328708992</v>
      </c>
    </row>
    <row r="62" spans="1:6" ht="15.75">
      <c r="A62" s="11" t="s">
        <v>266</v>
      </c>
      <c r="B62" s="11"/>
      <c r="C62" s="1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1" t="s">
        <v>266</v>
      </c>
      <c r="B64" s="11"/>
      <c r="C64" s="1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1" t="s">
        <v>266</v>
      </c>
      <c r="B66" s="11"/>
      <c r="C66" s="1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Mayetta!C3</f>
        <v>Mayetta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6127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6127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25927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271526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282137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28532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54459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7349570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7295111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0.007465136582568792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45.73889184139899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6172.738891841399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6172.738891841399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35">
      <selection activeCell="I34" sqref="I34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363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1000</v>
      </c>
      <c r="C9" s="20">
        <f>B35</f>
        <v>937.04</v>
      </c>
      <c r="D9" s="20">
        <f>C35</f>
        <v>937.04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SUM(B12:B18)</f>
        <v>0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1000</v>
      </c>
      <c r="C20" s="184">
        <f>C9+C19</f>
        <v>937.04</v>
      </c>
      <c r="D20" s="184">
        <f>D9+D19</f>
        <v>937.04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>
        <v>62.96</v>
      </c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62.96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937.04</v>
      </c>
      <c r="C35" s="185">
        <f>C20-C34</f>
        <v>937.04</v>
      </c>
      <c r="D35" s="185">
        <f>D20-D34</f>
        <v>937.04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364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17022</v>
      </c>
      <c r="C57" s="20">
        <f>B83</f>
        <v>17694.83</v>
      </c>
      <c r="D57" s="20">
        <f>C83</f>
        <v>17694.83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 t="s">
        <v>260</v>
      </c>
      <c r="B59" s="36">
        <v>300</v>
      </c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>
        <v>372.83</v>
      </c>
      <c r="C66" s="36"/>
      <c r="D66" s="36"/>
    </row>
    <row r="67" spans="1:4" ht="15.75">
      <c r="A67" s="122" t="s">
        <v>22</v>
      </c>
      <c r="B67" s="184">
        <f>SUM(B59:B66)</f>
        <v>672.8299999999999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17694.83</v>
      </c>
      <c r="C68" s="184">
        <f>C57+C67</f>
        <v>17694.83</v>
      </c>
      <c r="D68" s="184">
        <f>D57+D67</f>
        <v>17694.83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17694.83</v>
      </c>
      <c r="C83" s="185">
        <f>C68-C82</f>
        <v>17694.83</v>
      </c>
      <c r="D83" s="185">
        <f>D68-D82</f>
        <v>17694.83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 sheet="1" objects="1" scenarios="1"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7">
      <selection activeCell="A21" sqref="A21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 t="str">
        <f>input!E3</f>
        <v>Jackson County</v>
      </c>
      <c r="B1" s="1"/>
      <c r="C1" s="2"/>
      <c r="D1" s="1"/>
      <c r="E1" s="1"/>
      <c r="F1" s="1"/>
      <c r="G1" s="1">
        <f>input!E5</f>
        <v>2012</v>
      </c>
    </row>
    <row r="2" spans="1:7" ht="15.75">
      <c r="A2" s="298" t="s">
        <v>167</v>
      </c>
      <c r="B2" s="299"/>
      <c r="C2" s="299"/>
      <c r="D2" s="299"/>
      <c r="E2" s="299"/>
      <c r="F2" s="299"/>
      <c r="G2" s="299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3"/>
      <c r="B4" s="143"/>
      <c r="C4" s="143"/>
      <c r="D4" s="143"/>
      <c r="E4" s="143"/>
      <c r="F4" s="143"/>
      <c r="G4" s="143"/>
    </row>
    <row r="5" spans="1:7" ht="15.75">
      <c r="A5" s="1"/>
      <c r="B5" s="1"/>
      <c r="C5" s="1"/>
      <c r="D5" s="296" t="str">
        <f>CONCATENATE("",G1," Adopted Budget")</f>
        <v>2012 Adopted Budget</v>
      </c>
      <c r="E5" s="300"/>
      <c r="F5" s="300"/>
      <c r="G5" s="301"/>
    </row>
    <row r="6" spans="1:7" ht="21" customHeight="1">
      <c r="A6" s="1"/>
      <c r="B6" s="1"/>
      <c r="C6" s="9"/>
      <c r="D6" s="302" t="s">
        <v>3</v>
      </c>
      <c r="E6" s="161">
        <f>G1-1</f>
        <v>2011</v>
      </c>
      <c r="F6" s="296" t="s">
        <v>88</v>
      </c>
      <c r="G6" s="297"/>
    </row>
    <row r="7" spans="1:7" ht="15.75">
      <c r="A7" s="156"/>
      <c r="B7" s="30"/>
      <c r="C7" s="159" t="s">
        <v>0</v>
      </c>
      <c r="D7" s="303"/>
      <c r="E7" s="305" t="s">
        <v>170</v>
      </c>
      <c r="F7" s="96" t="s">
        <v>89</v>
      </c>
      <c r="G7" s="97" t="s">
        <v>91</v>
      </c>
    </row>
    <row r="8" spans="1:7" ht="15.75">
      <c r="A8" s="10" t="s">
        <v>1</v>
      </c>
      <c r="B8" s="158"/>
      <c r="C8" s="32" t="s">
        <v>2</v>
      </c>
      <c r="D8" s="304"/>
      <c r="E8" s="306"/>
      <c r="F8" s="95" t="s">
        <v>90</v>
      </c>
      <c r="G8" s="32" t="s">
        <v>92</v>
      </c>
    </row>
    <row r="9" spans="1:7" ht="15.75">
      <c r="A9" s="157" t="s">
        <v>4</v>
      </c>
      <c r="B9" s="155" t="s">
        <v>5</v>
      </c>
      <c r="C9" s="15"/>
      <c r="D9" s="160"/>
      <c r="E9" s="160"/>
      <c r="F9" s="95"/>
      <c r="G9" s="32"/>
    </row>
    <row r="10" spans="1:7" ht="15.75">
      <c r="A10" s="113" t="s">
        <v>267</v>
      </c>
      <c r="B10" s="16" t="s">
        <v>236</v>
      </c>
      <c r="C10" s="20" t="str">
        <f>IF(Adrian!C69&gt;0,Adrian!C69," ")</f>
        <v> </v>
      </c>
      <c r="D10" s="20">
        <f>Adrian!F35</f>
        <v>5350</v>
      </c>
      <c r="E10" s="20">
        <f>Adrian!F41</f>
        <v>3154.5699999999997</v>
      </c>
      <c r="F10" s="17"/>
      <c r="G10" s="163" t="str">
        <f>IF(F10&gt;0,ROUND(E10/$F10*1000,3),"  ")</f>
        <v>  </v>
      </c>
    </row>
    <row r="11" spans="1:7" ht="15.75">
      <c r="A11" s="16" t="s">
        <v>268</v>
      </c>
      <c r="B11" s="16" t="s">
        <v>236</v>
      </c>
      <c r="C11" s="20" t="str">
        <f>IF(Brick!C69&gt;0,Brick!C69," ")</f>
        <v> </v>
      </c>
      <c r="D11" s="20">
        <f>Brick!F35</f>
        <v>5523</v>
      </c>
      <c r="E11" s="20">
        <f>Brick!F41</f>
        <v>2832.8600000000006</v>
      </c>
      <c r="F11" s="17"/>
      <c r="G11" s="163" t="str">
        <f aca="true" t="shared" si="0" ref="G11:G38">IF(F11&gt;0,ROUND(E11/$F11*1000,3),"  ")</f>
        <v>  </v>
      </c>
    </row>
    <row r="12" spans="1:7" ht="15.75">
      <c r="A12" s="16" t="s">
        <v>269</v>
      </c>
      <c r="B12" s="16" t="s">
        <v>236</v>
      </c>
      <c r="C12" s="20" t="str">
        <f>IF('Buck''s Grove'!C69&gt;0,'Buck''s Grove'!C69," ")</f>
        <v> </v>
      </c>
      <c r="D12" s="20">
        <f>'Buck''s Grove'!F35</f>
        <v>9113</v>
      </c>
      <c r="E12" s="20">
        <f>'Buck''s Grove'!F41</f>
        <v>3796.709999999999</v>
      </c>
      <c r="F12" s="17"/>
      <c r="G12" s="163" t="str">
        <f t="shared" si="0"/>
        <v>  </v>
      </c>
    </row>
    <row r="13" spans="1:7" ht="15.75">
      <c r="A13" s="16" t="s">
        <v>270</v>
      </c>
      <c r="B13" s="16" t="s">
        <v>236</v>
      </c>
      <c r="C13" s="20" t="str">
        <f>IF(Circleville!C69&gt;0,Circleville!C69," ")</f>
        <v> </v>
      </c>
      <c r="D13" s="20">
        <f>Circleville!F35</f>
        <v>8888</v>
      </c>
      <c r="E13" s="20">
        <f>Circleville!F41</f>
        <v>6104.389999999999</v>
      </c>
      <c r="F13" s="17"/>
      <c r="G13" s="163" t="str">
        <f t="shared" si="0"/>
        <v>  </v>
      </c>
    </row>
    <row r="14" spans="1:7" ht="15.75">
      <c r="A14" s="16" t="s">
        <v>271</v>
      </c>
      <c r="B14" s="16" t="s">
        <v>236</v>
      </c>
      <c r="C14" s="20" t="str">
        <f>IF(Delia!C69&gt;0,Delia!C69," ")</f>
        <v> </v>
      </c>
      <c r="D14" s="20">
        <f>Delia!F35</f>
        <v>3642</v>
      </c>
      <c r="E14" s="20">
        <f>Delia!F41</f>
        <v>2059.59</v>
      </c>
      <c r="F14" s="17"/>
      <c r="G14" s="163" t="str">
        <f t="shared" si="0"/>
        <v>  </v>
      </c>
    </row>
    <row r="15" spans="1:7" ht="15.75">
      <c r="A15" s="16" t="s">
        <v>272</v>
      </c>
      <c r="B15" s="16" t="s">
        <v>236</v>
      </c>
      <c r="C15" s="20" t="str">
        <f>IF(Denison!C69&gt;0,Denison!C69," ")</f>
        <v> </v>
      </c>
      <c r="D15" s="20">
        <f>Denison!F35</f>
        <v>9853</v>
      </c>
      <c r="E15" s="20">
        <f>Denison!F41</f>
        <v>3953.6499999999996</v>
      </c>
      <c r="F15" s="17"/>
      <c r="G15" s="163" t="str">
        <f t="shared" si="0"/>
        <v>  </v>
      </c>
    </row>
    <row r="16" spans="1:7" ht="15.75">
      <c r="A16" s="16" t="s">
        <v>273</v>
      </c>
      <c r="B16" s="16" t="s">
        <v>236</v>
      </c>
      <c r="C16" s="20" t="str">
        <f>IF(Holton!C80&gt;0,Holton!C80," ")</f>
        <v> </v>
      </c>
      <c r="D16" s="20">
        <f>Holton!F46</f>
        <v>136398</v>
      </c>
      <c r="E16" s="20">
        <f>Holton!F52</f>
        <v>63168.92000000001</v>
      </c>
      <c r="F16" s="17"/>
      <c r="G16" s="163" t="str">
        <f t="shared" si="0"/>
        <v>  </v>
      </c>
    </row>
    <row r="17" spans="1:7" ht="15.75">
      <c r="A17" s="16" t="s">
        <v>274</v>
      </c>
      <c r="B17" s="16" t="s">
        <v>236</v>
      </c>
      <c r="C17" s="20" t="str">
        <f>IF(Hoyt!C69&gt;0,Hoyt!C69," ")</f>
        <v> </v>
      </c>
      <c r="D17" s="20">
        <f>Hoyt!F35</f>
        <v>17254</v>
      </c>
      <c r="E17" s="20">
        <f>Hoyt!F41</f>
        <v>9005.580000000002</v>
      </c>
      <c r="F17" s="17"/>
      <c r="G17" s="163" t="str">
        <f t="shared" si="0"/>
        <v>  </v>
      </c>
    </row>
    <row r="18" spans="1:7" ht="15.75">
      <c r="A18" s="16" t="s">
        <v>275</v>
      </c>
      <c r="B18" s="16" t="s">
        <v>236</v>
      </c>
      <c r="C18" s="20" t="str">
        <f>IF(Mayetta!C69&gt;0,Mayetta!C69," ")</f>
        <v> </v>
      </c>
      <c r="D18" s="20">
        <f>Mayetta!F35</f>
        <v>12172</v>
      </c>
      <c r="E18" s="20">
        <f>Mayetta!F41</f>
        <v>6172.82</v>
      </c>
      <c r="F18" s="17"/>
      <c r="G18" s="163" t="str">
        <f t="shared" si="0"/>
        <v>  </v>
      </c>
    </row>
    <row r="19" spans="1:7" ht="15.75">
      <c r="A19" s="16" t="s">
        <v>276</v>
      </c>
      <c r="B19" s="16" t="s">
        <v>236</v>
      </c>
      <c r="C19" s="20" t="str">
        <f>IF(Netawaka!C69&gt;0,Netawaka!C69," ")</f>
        <v> </v>
      </c>
      <c r="D19" s="20">
        <f>Netawaka!F35</f>
        <v>7145</v>
      </c>
      <c r="E19" s="20">
        <f>Netawaka!F41</f>
        <v>5119.8499999999985</v>
      </c>
      <c r="F19" s="17"/>
      <c r="G19" s="163" t="str">
        <f t="shared" si="0"/>
        <v>  </v>
      </c>
    </row>
    <row r="20" spans="1:7" ht="15.75">
      <c r="A20" s="16" t="s">
        <v>277</v>
      </c>
      <c r="B20" s="16" t="s">
        <v>236</v>
      </c>
      <c r="C20" s="20" t="str">
        <f>IF('Olive Hill'!C69&gt;0,'Olive Hill'!C69," ")</f>
        <v> </v>
      </c>
      <c r="D20" s="20">
        <f>'Olive Hill'!F35</f>
        <v>3513</v>
      </c>
      <c r="E20" s="20">
        <f>'Olive Hill'!F41</f>
        <v>2054.9500000000007</v>
      </c>
      <c r="F20" s="17"/>
      <c r="G20" s="163" t="str">
        <f t="shared" si="0"/>
        <v>  </v>
      </c>
    </row>
    <row r="21" spans="1:7" ht="15.75">
      <c r="A21" s="16" t="s">
        <v>465</v>
      </c>
      <c r="B21" s="16" t="s">
        <v>236</v>
      </c>
      <c r="C21" s="20" t="str">
        <f>IF(Soldier!C64&gt;0,Soldier!C64," ")</f>
        <v> </v>
      </c>
      <c r="D21" s="20">
        <f>Soldier!F35</f>
        <v>6605</v>
      </c>
      <c r="E21" s="20">
        <f>Soldier!F41</f>
        <v>4304.97</v>
      </c>
      <c r="F21" s="17"/>
      <c r="G21" s="163" t="str">
        <f t="shared" si="0"/>
        <v>  </v>
      </c>
    </row>
    <row r="22" spans="1:7" ht="15.75">
      <c r="A22" s="16" t="s">
        <v>278</v>
      </c>
      <c r="B22" s="16" t="s">
        <v>236</v>
      </c>
      <c r="C22" s="20" t="str">
        <f>IF('South Cedar'!C69&gt;0,'South Cedar'!C69," ")</f>
        <v> </v>
      </c>
      <c r="D22" s="20">
        <f>'South Cedar'!F35</f>
        <v>12800</v>
      </c>
      <c r="E22" s="20">
        <f>'South Cedar'!F41</f>
        <v>713.4899999999998</v>
      </c>
      <c r="F22" s="17"/>
      <c r="G22" s="163" t="str">
        <f t="shared" si="0"/>
        <v>  </v>
      </c>
    </row>
    <row r="23" spans="1:7" ht="15.75">
      <c r="A23" s="16" t="s">
        <v>279</v>
      </c>
      <c r="B23" s="16" t="s">
        <v>236</v>
      </c>
      <c r="C23" s="20" t="str">
        <f>IF(Springhill!C69&gt;0,Springhill!C69," ")</f>
        <v> </v>
      </c>
      <c r="D23" s="20">
        <f>Springhill!F35</f>
        <v>10039</v>
      </c>
      <c r="E23" s="20">
        <f>Springhill!F41</f>
        <v>7286.699999999999</v>
      </c>
      <c r="F23" s="17"/>
      <c r="G23" s="163" t="str">
        <f t="shared" si="0"/>
        <v>  </v>
      </c>
    </row>
    <row r="24" spans="1:7" ht="15.75">
      <c r="A24" s="16" t="s">
        <v>280</v>
      </c>
      <c r="B24" s="16" t="s">
        <v>236</v>
      </c>
      <c r="C24" s="20" t="str">
        <f>IF('St Mud Crk'!C69&gt;0,'St Mud Crk'!C69," ")</f>
        <v> </v>
      </c>
      <c r="D24" s="20">
        <f>'St Mud Crk'!F35</f>
        <v>4167</v>
      </c>
      <c r="E24" s="20">
        <f>'St Mud Crk'!F41</f>
        <v>2493.6100000000006</v>
      </c>
      <c r="F24" s="17"/>
      <c r="G24" s="163" t="str">
        <f t="shared" si="0"/>
        <v>  </v>
      </c>
    </row>
    <row r="25" spans="1:7" ht="15.75">
      <c r="A25" s="16" t="s">
        <v>237</v>
      </c>
      <c r="B25" s="16" t="s">
        <v>244</v>
      </c>
      <c r="C25" s="20" t="str">
        <f>IF('Mayetta Fire #1'!C87&gt;0,'Mayetta Fire #1'!C87," ")</f>
        <v> </v>
      </c>
      <c r="D25" s="20">
        <f>'Mayetta Fire #1'!F53</f>
        <v>140999.96000000002</v>
      </c>
      <c r="E25" s="20">
        <f>'Mayetta Fire #1'!F59</f>
        <v>119512.92000000001</v>
      </c>
      <c r="F25" s="17"/>
      <c r="G25" s="163" t="str">
        <f t="shared" si="0"/>
        <v>  </v>
      </c>
    </row>
    <row r="26" spans="1:7" ht="15.75">
      <c r="A26" s="16" t="s">
        <v>238</v>
      </c>
      <c r="B26" s="16" t="s">
        <v>244</v>
      </c>
      <c r="C26" s="20" t="str">
        <f>IF('SoldierFire #2'!C69&gt;0,'SoldierFire #2'!C69," ")</f>
        <v> </v>
      </c>
      <c r="D26" s="20">
        <f>'SoldierFire #2'!F35</f>
        <v>37148</v>
      </c>
      <c r="E26" s="20">
        <f>'SoldierFire #2'!F41</f>
        <v>23405.100000000035</v>
      </c>
      <c r="F26" s="17"/>
      <c r="G26" s="163" t="str">
        <f t="shared" si="0"/>
        <v>  </v>
      </c>
    </row>
    <row r="27" spans="1:7" ht="15.75">
      <c r="A27" s="16" t="s">
        <v>330</v>
      </c>
      <c r="B27" s="16" t="s">
        <v>244</v>
      </c>
      <c r="C27" s="20" t="str">
        <f>IF('Douglas #3'!C84&gt;0,'Douglas #3'!C84," ")</f>
        <v> </v>
      </c>
      <c r="D27" s="20">
        <f>'Douglas #3'!F50</f>
        <v>110411.73</v>
      </c>
      <c r="E27" s="20">
        <f>'Douglas #3'!F56</f>
        <v>93707.92</v>
      </c>
      <c r="F27" s="17"/>
      <c r="G27" s="163" t="str">
        <f t="shared" si="0"/>
        <v>  </v>
      </c>
    </row>
    <row r="28" spans="1:7" ht="15.75">
      <c r="A28" s="16" t="s">
        <v>239</v>
      </c>
      <c r="B28" s="16" t="s">
        <v>244</v>
      </c>
      <c r="C28" s="20" t="str">
        <f>IF('#3 1st Resp'!C86&gt;0,'#3 1st Resp'!C86," ")</f>
        <v> </v>
      </c>
      <c r="D28" s="20">
        <f>'#3 1st Resp'!F52</f>
        <v>42355.6</v>
      </c>
      <c r="E28" s="20">
        <f>'#3 1st Resp'!F58</f>
        <v>35961.829999999994</v>
      </c>
      <c r="F28" s="17"/>
      <c r="G28" s="163" t="str">
        <f t="shared" si="0"/>
        <v>  </v>
      </c>
    </row>
    <row r="29" spans="1:7" ht="15.75">
      <c r="A29" s="16" t="s">
        <v>240</v>
      </c>
      <c r="B29" s="16" t="s">
        <v>244</v>
      </c>
      <c r="C29" s="20" t="str">
        <f>IF('Holton #4'!C76&gt;0,'Holton #4'!C76," ")</f>
        <v> </v>
      </c>
      <c r="D29" s="20">
        <f>'Holton #4'!F42</f>
        <v>316184</v>
      </c>
      <c r="E29" s="20">
        <f>'Holton #4'!F48</f>
        <v>118555.12</v>
      </c>
      <c r="F29" s="17"/>
      <c r="G29" s="163" t="str">
        <f t="shared" si="0"/>
        <v>  </v>
      </c>
    </row>
    <row r="30" spans="1:7" ht="15.75">
      <c r="A30" s="16" t="s">
        <v>241</v>
      </c>
      <c r="B30" s="16" t="s">
        <v>244</v>
      </c>
      <c r="C30" s="20" t="str">
        <f>IF('Delia #5'!C79&gt;0,'Delia #5'!C79," ")</f>
        <v> </v>
      </c>
      <c r="D30" s="20">
        <f>'Delia #5'!F45</f>
        <v>33179</v>
      </c>
      <c r="E30" s="20">
        <f>'Delia #5'!F51</f>
        <v>25027.729999999996</v>
      </c>
      <c r="F30" s="17"/>
      <c r="G30" s="163" t="str">
        <f t="shared" si="0"/>
        <v>  </v>
      </c>
    </row>
    <row r="31" spans="1:7" ht="15.75">
      <c r="A31" s="16" t="s">
        <v>242</v>
      </c>
      <c r="B31" s="16" t="s">
        <v>244</v>
      </c>
      <c r="C31" s="20" t="str">
        <f>IF('Net Fire #6'!C70&gt;0,'Net Fire #6'!C70," ")</f>
        <v> </v>
      </c>
      <c r="D31" s="20">
        <f>'Net Fire #6'!F36</f>
        <v>17805</v>
      </c>
      <c r="E31" s="20">
        <f>'Net Fire #6'!F42</f>
        <v>15104.01999999999</v>
      </c>
      <c r="F31" s="17"/>
      <c r="G31" s="163" t="str">
        <f t="shared" si="0"/>
        <v>  </v>
      </c>
    </row>
    <row r="32" spans="1:7" ht="15.75">
      <c r="A32" s="16" t="s">
        <v>243</v>
      </c>
      <c r="B32" s="16" t="s">
        <v>244</v>
      </c>
      <c r="C32" s="20" t="str">
        <f>IF('Whiting #7'!C69&gt;0,'Whiting #7'!C69," ")</f>
        <v> </v>
      </c>
      <c r="D32" s="20">
        <f>'Whiting #7'!F35</f>
        <v>17463</v>
      </c>
      <c r="E32" s="20">
        <f>'Whiting #7'!F41</f>
        <v>13977.200000000004</v>
      </c>
      <c r="F32" s="17"/>
      <c r="G32" s="163" t="str">
        <f t="shared" si="0"/>
        <v>  </v>
      </c>
    </row>
    <row r="33" spans="1:7" ht="15.75">
      <c r="A33" s="16"/>
      <c r="B33" s="17"/>
      <c r="C33" s="20" t="str">
        <f>IF(Sheet24!C69&gt;0,Sheet24!C69," ")</f>
        <v> </v>
      </c>
      <c r="D33" s="20">
        <f>Sheet24!F35</f>
        <v>0</v>
      </c>
      <c r="E33" s="20">
        <f>Sheet24!F41</f>
        <v>0</v>
      </c>
      <c r="F33" s="17"/>
      <c r="G33" s="163" t="str">
        <f t="shared" si="0"/>
        <v>  </v>
      </c>
    </row>
    <row r="34" spans="1:7" ht="15.75">
      <c r="A34" s="16"/>
      <c r="B34" s="17"/>
      <c r="C34" s="20" t="str">
        <f>IF(Sheet25!C69&gt;0,Sheet25!C69," ")</f>
        <v> </v>
      </c>
      <c r="D34" s="20">
        <f>Sheet25!F35</f>
        <v>0</v>
      </c>
      <c r="E34" s="20">
        <f>Sheet25!F41</f>
        <v>0</v>
      </c>
      <c r="F34" s="17"/>
      <c r="G34" s="163" t="str">
        <f t="shared" si="0"/>
        <v>  </v>
      </c>
    </row>
    <row r="35" spans="1:7" ht="15.75">
      <c r="A35" s="16"/>
      <c r="B35" s="17"/>
      <c r="C35" s="20" t="str">
        <f>IF(Sheet26!C69&gt;0,Sheet26!C69," ")</f>
        <v> </v>
      </c>
      <c r="D35" s="20">
        <f>Sheet26!F35</f>
        <v>0</v>
      </c>
      <c r="E35" s="20">
        <f>Sheet26!F41</f>
        <v>0</v>
      </c>
      <c r="F35" s="17"/>
      <c r="G35" s="163" t="str">
        <f t="shared" si="0"/>
        <v>  </v>
      </c>
    </row>
    <row r="36" spans="1:7" ht="15.75">
      <c r="A36" s="16"/>
      <c r="B36" s="17"/>
      <c r="C36" s="20" t="str">
        <f>IF(Sheet28!C69&gt;0,Sheet28!C69," ")</f>
        <v> </v>
      </c>
      <c r="D36" s="20">
        <f>Sheet27!F35</f>
        <v>0</v>
      </c>
      <c r="E36" s="20">
        <f>Sheet27!F41</f>
        <v>0</v>
      </c>
      <c r="F36" s="17"/>
      <c r="G36" s="163" t="str">
        <f t="shared" si="0"/>
        <v>  </v>
      </c>
    </row>
    <row r="37" spans="1:7" ht="15.75">
      <c r="A37" s="16"/>
      <c r="B37" s="17"/>
      <c r="C37" s="20" t="str">
        <f>IF(Sheet28!C69&gt;0,Sheet28!C69," ")</f>
        <v> </v>
      </c>
      <c r="D37" s="20">
        <f>Sheet28!F35</f>
        <v>0</v>
      </c>
      <c r="E37" s="20">
        <f>Sheet28!F41</f>
        <v>0</v>
      </c>
      <c r="F37" s="17"/>
      <c r="G37" s="163" t="str">
        <f t="shared" si="0"/>
        <v>  </v>
      </c>
    </row>
    <row r="38" spans="1:7" ht="15.75">
      <c r="A38" s="16"/>
      <c r="B38" s="17"/>
      <c r="C38" s="20" t="str">
        <f>IF(Sheet29!C69&gt;0,Sheet29!C69," ")</f>
        <v> </v>
      </c>
      <c r="D38" s="20">
        <f>Sheet29!F35</f>
        <v>0</v>
      </c>
      <c r="E38" s="20">
        <f>Sheet29!F41</f>
        <v>0</v>
      </c>
      <c r="F38" s="17"/>
      <c r="G38" s="163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29"/>
    </row>
    <row r="40" spans="1:7" ht="15.75">
      <c r="A40" s="143"/>
      <c r="B40" s="143"/>
      <c r="C40" s="143"/>
      <c r="D40" s="143"/>
      <c r="E40" s="143"/>
      <c r="F40" s="29"/>
      <c r="G40" s="29"/>
    </row>
    <row r="41" spans="1:7" ht="15.75">
      <c r="A41" s="143"/>
      <c r="B41" s="143"/>
      <c r="C41" s="143"/>
      <c r="D41" s="143"/>
      <c r="E41" s="143"/>
      <c r="F41" s="1"/>
      <c r="G41" s="1"/>
    </row>
    <row r="42" spans="1:7" ht="15.75">
      <c r="A42" s="98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5" t="s">
        <v>37</v>
      </c>
      <c r="C44" s="56"/>
      <c r="D44" s="1"/>
      <c r="E44" s="1"/>
      <c r="F44" s="1"/>
      <c r="G44" s="1"/>
    </row>
    <row r="45" spans="1:6" ht="15.75">
      <c r="A45" s="22"/>
      <c r="B45" s="22"/>
      <c r="C45" s="22"/>
      <c r="D45" s="22"/>
      <c r="E45" s="22"/>
      <c r="F45" s="23"/>
    </row>
    <row r="55" spans="1:6" ht="15.75">
      <c r="A55" s="22"/>
      <c r="B55" s="22"/>
      <c r="C55" s="22"/>
      <c r="D55" s="22"/>
      <c r="E55" s="22"/>
      <c r="F55" s="22"/>
    </row>
    <row r="59" spans="1:6" ht="15.75">
      <c r="A59" s="22"/>
      <c r="B59" s="22"/>
      <c r="C59" s="22"/>
      <c r="D59" s="21"/>
      <c r="E59" s="22"/>
      <c r="F59" s="22"/>
    </row>
  </sheetData>
  <sheetProtection sheet="1" objects="1" scenarios="1"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9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7">
      <selection activeCell="D30" sqref="D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cert2!A19</f>
        <v>Netawaka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383</v>
      </c>
      <c r="E9" s="20">
        <f>+D36</f>
        <v>2263.1500000000005</v>
      </c>
      <c r="F9" s="20">
        <f>+E36</f>
        <v>1153.1500000000015</v>
      </c>
    </row>
    <row r="10" spans="1:6" ht="15.75">
      <c r="A10" s="199" t="s">
        <v>14</v>
      </c>
      <c r="B10" s="200"/>
      <c r="C10" s="201"/>
      <c r="D10" s="196"/>
      <c r="E10" s="36">
        <v>5042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699</v>
      </c>
      <c r="F12" s="20">
        <f>D51</f>
        <v>702</v>
      </c>
    </row>
    <row r="13" spans="1:6" ht="15.75">
      <c r="A13" s="34" t="s">
        <v>17</v>
      </c>
      <c r="B13" s="35"/>
      <c r="C13" s="201"/>
      <c r="D13" s="196"/>
      <c r="E13" s="36">
        <v>14</v>
      </c>
      <c r="F13" s="20">
        <f>E51</f>
        <v>12</v>
      </c>
    </row>
    <row r="14" spans="1:6" ht="15.75">
      <c r="A14" s="34" t="s">
        <v>86</v>
      </c>
      <c r="B14" s="35"/>
      <c r="C14" s="201"/>
      <c r="D14" s="196"/>
      <c r="E14" s="36">
        <v>107</v>
      </c>
      <c r="F14" s="20">
        <f>F51</f>
        <v>158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5481.89</v>
      </c>
      <c r="E17" s="36" t="s">
        <v>19</v>
      </c>
      <c r="F17" s="36" t="s">
        <v>19</v>
      </c>
    </row>
    <row r="18" spans="1:6" ht="15.75">
      <c r="A18" s="39" t="s">
        <v>368</v>
      </c>
      <c r="B18" s="38"/>
      <c r="C18" s="202"/>
      <c r="D18" s="196">
        <v>2475</v>
      </c>
      <c r="E18" s="36">
        <v>173</v>
      </c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 t="s">
        <v>396</v>
      </c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246.38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8203.27</v>
      </c>
      <c r="E23" s="184">
        <f>SUM(E10:E22)</f>
        <v>6035</v>
      </c>
      <c r="F23" s="184">
        <f>SUM(F10:F22)</f>
        <v>872</v>
      </c>
    </row>
    <row r="24" spans="1:6" ht="15.75">
      <c r="A24" s="42" t="s">
        <v>23</v>
      </c>
      <c r="B24" s="35"/>
      <c r="C24" s="201"/>
      <c r="D24" s="197">
        <f>+D9+D23</f>
        <v>8586.27</v>
      </c>
      <c r="E24" s="184">
        <f>+E9+E23</f>
        <v>8298.150000000001</v>
      </c>
      <c r="F24" s="184">
        <f>+F9+F23</f>
        <v>2025.1500000000015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4750</v>
      </c>
      <c r="E26" s="36">
        <v>5400</v>
      </c>
      <c r="F26" s="36">
        <v>5400</v>
      </c>
    </row>
    <row r="27" spans="1:6" ht="15.75">
      <c r="A27" s="40" t="s">
        <v>300</v>
      </c>
      <c r="B27" s="38"/>
      <c r="C27" s="202"/>
      <c r="D27" s="196"/>
      <c r="E27" s="36">
        <v>745</v>
      </c>
      <c r="F27" s="36">
        <v>745</v>
      </c>
    </row>
    <row r="28" spans="1:6" ht="15.75">
      <c r="A28" s="40" t="s">
        <v>399</v>
      </c>
      <c r="B28" s="38"/>
      <c r="C28" s="202"/>
      <c r="D28" s="196">
        <v>1556</v>
      </c>
      <c r="E28" s="36">
        <v>1000</v>
      </c>
      <c r="F28" s="36">
        <v>1000</v>
      </c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 t="s">
        <v>397</v>
      </c>
      <c r="B30" s="38"/>
      <c r="C30" s="202"/>
      <c r="D30" s="196">
        <v>17.12</v>
      </c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6323.12</v>
      </c>
      <c r="E35" s="184">
        <f>SUM(E26:E34)</f>
        <v>7145</v>
      </c>
      <c r="F35" s="184">
        <f>SUM(F26:F34)</f>
        <v>7145</v>
      </c>
    </row>
    <row r="36" spans="1:6" ht="15.75">
      <c r="A36" s="34" t="s">
        <v>26</v>
      </c>
      <c r="B36" s="35"/>
      <c r="C36" s="201"/>
      <c r="D36" s="190">
        <f>+D24-D35</f>
        <v>2263.1500000000005</v>
      </c>
      <c r="E36" s="185">
        <f>+E24-E35</f>
        <v>1153.1500000000015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7145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5119.8499999999985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Comp10!J35</f>
        <v>5119.698581911797</v>
      </c>
      <c r="D41" s="1"/>
      <c r="E41" s="4" t="str">
        <f>CONCATENATE("Amount of ",$F$1-1," Ad Valorem Tax")</f>
        <v>Amount of 2011 Ad Valorem Tax</v>
      </c>
      <c r="F41" s="185">
        <f>SUM(F39:F40)</f>
        <v>5119.8499999999985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215">
        <f>sum2!I17</f>
        <v>2827219</v>
      </c>
      <c r="B43" s="1"/>
      <c r="C43" s="1"/>
      <c r="D43" s="1"/>
      <c r="E43" s="225">
        <f>sum2!E17</f>
        <v>1.857</v>
      </c>
      <c r="F43" s="223">
        <f>sum2!H17</f>
        <v>1.811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5042</v>
      </c>
      <c r="D51" s="127">
        <f>IF(C51&gt;0,ROUND(+C51*D$59,0)," ")</f>
        <v>702</v>
      </c>
      <c r="E51" s="127">
        <f>IF(C51&gt;0,ROUND(+C51*E$60,0)," ")</f>
        <v>12</v>
      </c>
      <c r="F51" s="127">
        <f>IF(C51&gt;0,ROUND(+C51*F$61,0)," ")</f>
        <v>158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5042</v>
      </c>
      <c r="D53" s="191">
        <f>SUM(D51:D52)</f>
        <v>702</v>
      </c>
      <c r="E53" s="191">
        <f>SUM(E51:E52)</f>
        <v>12</v>
      </c>
      <c r="F53" s="191">
        <f>SUM(F51:F52)</f>
        <v>158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702.11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11.5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158.48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0.13925228084093613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0.0022808409361364536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0.031431971439904796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3"/>
  <headerFooter alignWithMargins="0">
    <oddHeader>&amp;RState of Kansas
County Special District</oddHeader>
    <oddFooter>&amp;Lrevised 8/06/07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4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Netawaka!C3</f>
        <v>Netawaka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5042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5042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18235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96940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101277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24672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42907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2827219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2784312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0.015410270113406831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77.69858191179725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5119.698581911797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5119.698581911797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39">
      <selection activeCell="A61" sqref="A61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/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28241.85</v>
      </c>
      <c r="C9" s="20">
        <f>B35</f>
        <v>28284.78</v>
      </c>
      <c r="D9" s="20">
        <f>C35</f>
        <v>28284.78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>
        <v>42.93</v>
      </c>
      <c r="C18" s="36"/>
      <c r="D18" s="36"/>
    </row>
    <row r="19" spans="1:4" ht="15.75">
      <c r="A19" s="122" t="s">
        <v>22</v>
      </c>
      <c r="B19" s="184">
        <f>SUM(B12:B18)</f>
        <v>42.93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28284.78</v>
      </c>
      <c r="C20" s="184">
        <f>C9+C19</f>
        <v>28284.78</v>
      </c>
      <c r="D20" s="184">
        <f>D9+D19</f>
        <v>28284.78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 t="s">
        <v>305</v>
      </c>
      <c r="B24" s="16"/>
      <c r="C24" s="16"/>
      <c r="D24" s="16"/>
    </row>
    <row r="25" spans="1:4" ht="15.75">
      <c r="A25" s="53" t="s">
        <v>398</v>
      </c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28284.78</v>
      </c>
      <c r="C35" s="185">
        <f>C20-C34</f>
        <v>28284.78</v>
      </c>
      <c r="D35" s="185">
        <f>D20-D34</f>
        <v>28284.78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422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3671</v>
      </c>
      <c r="C57" s="20">
        <f>B83</f>
        <v>4783.57</v>
      </c>
      <c r="D57" s="20">
        <f>C83</f>
        <v>4783.57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 t="s">
        <v>261</v>
      </c>
      <c r="B59" s="36">
        <v>425</v>
      </c>
      <c r="C59" s="36"/>
      <c r="D59" s="36"/>
    </row>
    <row r="60" spans="1:4" ht="15.75">
      <c r="A60" s="53" t="s">
        <v>257</v>
      </c>
      <c r="B60" s="36">
        <v>687.57</v>
      </c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1112.5700000000002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4783.57</v>
      </c>
      <c r="C68" s="184">
        <f>C57+C67</f>
        <v>4783.57</v>
      </c>
      <c r="D68" s="184">
        <f>D57+D67</f>
        <v>4783.57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4783.57</v>
      </c>
      <c r="C83" s="185">
        <f>C68-C82</f>
        <v>4783.57</v>
      </c>
      <c r="D83" s="185">
        <f>D68-D82</f>
        <v>4783.57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3"/>
  <headerFooter alignWithMargins="0">
    <oddHeader>&amp;RState of Kansas
County Special District</oddHeader>
    <oddFooter>&amp;Lrevised 8/06/07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8">
      <selection activeCell="A66" sqref="A6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cert2!A20</f>
        <v>Olive Hill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3671</v>
      </c>
      <c r="E9" s="20">
        <f>+D36</f>
        <v>3068.0499999999997</v>
      </c>
      <c r="F9" s="20">
        <f>+E36</f>
        <v>1229.0499999999993</v>
      </c>
    </row>
    <row r="10" spans="1:6" ht="15.75">
      <c r="A10" s="199" t="s">
        <v>14</v>
      </c>
      <c r="B10" s="200"/>
      <c r="C10" s="201"/>
      <c r="D10" s="196"/>
      <c r="E10" s="36">
        <v>1395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165</v>
      </c>
      <c r="F12" s="20">
        <f>D51</f>
        <v>165</v>
      </c>
    </row>
    <row r="13" spans="1:6" ht="15.75">
      <c r="A13" s="34" t="s">
        <v>17</v>
      </c>
      <c r="B13" s="35"/>
      <c r="C13" s="201"/>
      <c r="D13" s="196"/>
      <c r="E13" s="36">
        <v>5</v>
      </c>
      <c r="F13" s="20">
        <f>E51</f>
        <v>2</v>
      </c>
    </row>
    <row r="14" spans="1:6" ht="15.75">
      <c r="A14" s="34" t="s">
        <v>86</v>
      </c>
      <c r="B14" s="35"/>
      <c r="C14" s="201"/>
      <c r="D14" s="196"/>
      <c r="E14" s="36">
        <v>109</v>
      </c>
      <c r="F14" s="20">
        <f>F51</f>
        <v>62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1758.49</v>
      </c>
      <c r="E17" s="36" t="s">
        <v>19</v>
      </c>
      <c r="F17" s="36" t="s">
        <v>19</v>
      </c>
    </row>
    <row r="18" spans="1:6" ht="15.75">
      <c r="A18" s="39" t="s">
        <v>260</v>
      </c>
      <c r="B18" s="38"/>
      <c r="C18" s="202"/>
      <c r="D18" s="196">
        <v>25</v>
      </c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16.13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1799.6200000000001</v>
      </c>
      <c r="E23" s="184">
        <f>SUM(E10:E22)</f>
        <v>1674</v>
      </c>
      <c r="F23" s="184">
        <f>SUM(F10:F22)</f>
        <v>229</v>
      </c>
    </row>
    <row r="24" spans="1:6" ht="15.75">
      <c r="A24" s="42" t="s">
        <v>23</v>
      </c>
      <c r="B24" s="35"/>
      <c r="C24" s="201"/>
      <c r="D24" s="197">
        <f>+D9+D23</f>
        <v>5470.62</v>
      </c>
      <c r="E24" s="184">
        <f>+E9+E23</f>
        <v>4742.049999999999</v>
      </c>
      <c r="F24" s="184">
        <f>+F9+F23</f>
        <v>1458.0499999999993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1715</v>
      </c>
      <c r="E26" s="36">
        <v>2520</v>
      </c>
      <c r="F26" s="36">
        <v>2520</v>
      </c>
    </row>
    <row r="27" spans="1:6" ht="15.75">
      <c r="A27" s="40" t="s">
        <v>395</v>
      </c>
      <c r="B27" s="38"/>
      <c r="C27" s="202"/>
      <c r="D27" s="196">
        <v>687.57</v>
      </c>
      <c r="E27" s="36"/>
      <c r="F27" s="36"/>
    </row>
    <row r="28" spans="1:6" ht="15.75">
      <c r="A28" s="40" t="s">
        <v>251</v>
      </c>
      <c r="B28" s="38"/>
      <c r="C28" s="202"/>
      <c r="D28" s="196"/>
      <c r="E28" s="36">
        <v>393</v>
      </c>
      <c r="F28" s="36">
        <v>346</v>
      </c>
    </row>
    <row r="29" spans="1:6" ht="15.75">
      <c r="A29" s="40" t="s">
        <v>421</v>
      </c>
      <c r="B29" s="38"/>
      <c r="C29" s="202"/>
      <c r="D29" s="196"/>
      <c r="E29" s="36">
        <v>600</v>
      </c>
      <c r="F29" s="36"/>
    </row>
    <row r="30" spans="1:6" ht="15.75">
      <c r="A30" s="37" t="s">
        <v>305</v>
      </c>
      <c r="B30" s="38"/>
      <c r="C30" s="202"/>
      <c r="D30" s="196"/>
      <c r="E30" s="36"/>
      <c r="F30" s="36">
        <v>647</v>
      </c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2402.57</v>
      </c>
      <c r="E35" s="184">
        <f>SUM(E26:E34)</f>
        <v>3513</v>
      </c>
      <c r="F35" s="184">
        <f>SUM(F26:F34)</f>
        <v>3513</v>
      </c>
    </row>
    <row r="36" spans="1:6" ht="15.75">
      <c r="A36" s="34" t="s">
        <v>26</v>
      </c>
      <c r="B36" s="35"/>
      <c r="C36" s="201"/>
      <c r="D36" s="190">
        <f>+D24-D35</f>
        <v>3068.0499999999997</v>
      </c>
      <c r="E36" s="185">
        <f>+E24-E35</f>
        <v>1229.0499999999993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3513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2054.9500000000007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7" ht="15.75">
      <c r="A41" s="1"/>
      <c r="B41" s="1"/>
      <c r="C41" s="60">
        <f>Comp11!J35</f>
        <v>1408.085438851085</v>
      </c>
      <c r="D41" s="1"/>
      <c r="E41" s="4" t="str">
        <f>CONCATENATE("Amount of ",$F$1-1," Ad Valorem Tax")</f>
        <v>Amount of 2011 Ad Valorem Tax</v>
      </c>
      <c r="F41" s="185">
        <f>SUM(F39:F40)</f>
        <v>2054.9500000000007</v>
      </c>
      <c r="G41" s="226"/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225">
        <f>sum2!E18</f>
        <v>1.319</v>
      </c>
      <c r="F43" s="223">
        <f>sum2!H18</f>
        <v>1.89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1395</v>
      </c>
      <c r="D51" s="127">
        <f>IF(C51&gt;0,ROUND(+C51*D$59,0)," ")</f>
        <v>165</v>
      </c>
      <c r="E51" s="127">
        <f>IF(C51&gt;0,ROUND(+C51*E$60,0)," ")</f>
        <v>2</v>
      </c>
      <c r="F51" s="127">
        <f>IF(C51&gt;0,ROUND(+C51*F$61,0)," ")</f>
        <v>62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1395</v>
      </c>
      <c r="D53" s="191">
        <f>SUM(D51:D52)</f>
        <v>165</v>
      </c>
      <c r="E53" s="191">
        <f>SUM(E51:E52)</f>
        <v>2</v>
      </c>
      <c r="F53" s="191">
        <f>SUM(F51:F52)</f>
        <v>62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164.84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1.77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62.16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0.11816487455197133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0.0012688172043010752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0.04455913978494624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1" t="s">
        <v>266</v>
      </c>
      <c r="B63" s="11"/>
      <c r="C63" s="1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3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'Olive Hill'!C3</f>
        <v>Olive Hill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1395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1395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893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22341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23148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9210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10103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1087154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1077051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0.009380242904003617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13.085438851085046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1408.085438851085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1408.085438851085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4"/>
  <sheetViews>
    <sheetView zoomScalePageLayoutView="0" workbookViewId="0" topLeftCell="A18">
      <selection activeCell="F31" sqref="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cert2!A21</f>
        <v>Soldier Cemetery 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2506</v>
      </c>
      <c r="E9" s="20">
        <f>+D36</f>
        <v>2912.0299999999997</v>
      </c>
      <c r="F9" s="20">
        <f>+E36</f>
        <v>1720.0299999999997</v>
      </c>
    </row>
    <row r="10" spans="1:6" ht="15.75">
      <c r="A10" s="199" t="s">
        <v>14</v>
      </c>
      <c r="B10" s="200"/>
      <c r="C10" s="201"/>
      <c r="D10" s="196"/>
      <c r="E10" s="36">
        <v>4276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497</v>
      </c>
      <c r="F12" s="20">
        <f>D51</f>
        <v>470</v>
      </c>
    </row>
    <row r="13" spans="1:6" ht="15.75">
      <c r="A13" s="34" t="s">
        <v>17</v>
      </c>
      <c r="B13" s="35"/>
      <c r="C13" s="201"/>
      <c r="D13" s="196"/>
      <c r="E13" s="36">
        <v>6</v>
      </c>
      <c r="F13" s="20">
        <f>E51</f>
        <v>15</v>
      </c>
    </row>
    <row r="14" spans="1:6" ht="15.75">
      <c r="A14" s="34" t="s">
        <v>86</v>
      </c>
      <c r="B14" s="35"/>
      <c r="C14" s="201"/>
      <c r="D14" s="196"/>
      <c r="E14" s="36">
        <v>82</v>
      </c>
      <c r="F14" s="20">
        <f>F51</f>
        <v>95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259</v>
      </c>
      <c r="B17" s="38"/>
      <c r="C17" s="202"/>
      <c r="D17" s="196">
        <v>4191.03</v>
      </c>
      <c r="E17" s="36" t="s">
        <v>19</v>
      </c>
      <c r="F17" s="36" t="s">
        <v>19</v>
      </c>
    </row>
    <row r="18" spans="1:6" ht="15.75">
      <c r="A18" s="39" t="s">
        <v>260</v>
      </c>
      <c r="B18" s="38"/>
      <c r="C18" s="202"/>
      <c r="D18" s="196">
        <v>500</v>
      </c>
      <c r="E18" s="36"/>
      <c r="F18" s="36"/>
    </row>
    <row r="19" spans="1:6" ht="15.75">
      <c r="A19" s="39" t="s">
        <v>261</v>
      </c>
      <c r="B19" s="38"/>
      <c r="C19" s="202"/>
      <c r="D19" s="196">
        <v>500</v>
      </c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5191.03</v>
      </c>
      <c r="E23" s="184">
        <f>SUM(E10:E22)</f>
        <v>4861</v>
      </c>
      <c r="F23" s="184">
        <f>SUM(F10:F22)</f>
        <v>580</v>
      </c>
    </row>
    <row r="24" spans="1:6" ht="15.75">
      <c r="A24" s="42" t="s">
        <v>23</v>
      </c>
      <c r="B24" s="35"/>
      <c r="C24" s="201"/>
      <c r="D24" s="197">
        <f>+D9+D23</f>
        <v>7697.03</v>
      </c>
      <c r="E24" s="184">
        <f>+E9+E23</f>
        <v>7773.03</v>
      </c>
      <c r="F24" s="184">
        <f>+F9+F23</f>
        <v>2300.0299999999997</v>
      </c>
    </row>
    <row r="25" spans="1:6" ht="15.75">
      <c r="A25" s="34" t="s">
        <v>24</v>
      </c>
      <c r="B25" s="35"/>
      <c r="C25" s="204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50</v>
      </c>
      <c r="E26" s="36">
        <v>4500</v>
      </c>
      <c r="F26" s="36">
        <v>4500</v>
      </c>
    </row>
    <row r="27" spans="1:6" ht="15.75">
      <c r="A27" s="40" t="s">
        <v>263</v>
      </c>
      <c r="B27" s="38"/>
      <c r="C27" s="202"/>
      <c r="D27" s="196">
        <v>4500</v>
      </c>
      <c r="E27" s="36"/>
      <c r="F27" s="36"/>
    </row>
    <row r="28" spans="1:6" ht="15.75">
      <c r="A28" s="40" t="s">
        <v>264</v>
      </c>
      <c r="B28" s="38"/>
      <c r="C28" s="202"/>
      <c r="D28" s="196">
        <v>235</v>
      </c>
      <c r="E28" s="36">
        <v>200</v>
      </c>
      <c r="F28" s="36">
        <v>200</v>
      </c>
    </row>
    <row r="29" spans="1:6" ht="15.75">
      <c r="A29" s="40" t="s">
        <v>251</v>
      </c>
      <c r="B29" s="38"/>
      <c r="C29" s="202"/>
      <c r="D29" s="196"/>
      <c r="E29" s="36">
        <v>834</v>
      </c>
      <c r="F29" s="36">
        <v>850</v>
      </c>
    </row>
    <row r="30" spans="1:6" ht="15.75">
      <c r="A30" s="37" t="s">
        <v>265</v>
      </c>
      <c r="B30" s="38"/>
      <c r="C30" s="202"/>
      <c r="D30" s="196"/>
      <c r="E30" s="36">
        <v>519</v>
      </c>
      <c r="F30" s="36">
        <v>1055</v>
      </c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90"/>
      <c r="D35" s="197">
        <f>SUM(D26:D34)</f>
        <v>4785</v>
      </c>
      <c r="E35" s="184">
        <f>SUM(E26:E34)</f>
        <v>6053</v>
      </c>
      <c r="F35" s="184">
        <f>SUM(F26:F34)</f>
        <v>6605</v>
      </c>
    </row>
    <row r="36" spans="1:6" ht="15.75">
      <c r="A36" s="34" t="s">
        <v>26</v>
      </c>
      <c r="B36" s="35"/>
      <c r="C36" s="201"/>
      <c r="D36" s="190">
        <f>+D24-D35</f>
        <v>2912.0299999999997</v>
      </c>
      <c r="E36" s="185">
        <f>+E24-E35</f>
        <v>1720.0299999999997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6605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4304.97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Comp12!J35</f>
        <v>4305.23448292285</v>
      </c>
      <c r="D41" s="1"/>
      <c r="E41" s="4" t="str">
        <f>CONCATENATE("Amount of ",$F$1-1," Ad Valorem Tax")</f>
        <v>Amount of 2011 Ad Valorem Tax</v>
      </c>
      <c r="F41" s="185">
        <f>SUM(F39:F40)</f>
        <v>4304.97</v>
      </c>
    </row>
    <row r="42" spans="1:6" ht="15.75">
      <c r="A42" s="1"/>
      <c r="B42" s="1"/>
      <c r="C42" s="1"/>
      <c r="D42" s="1"/>
      <c r="E42" s="4"/>
      <c r="F42" s="49"/>
    </row>
    <row r="43" spans="1:7" ht="15.75">
      <c r="A43" s="218">
        <f>sum2!I19</f>
        <v>3213336</v>
      </c>
      <c r="B43" s="1"/>
      <c r="C43" s="1" t="s">
        <v>254</v>
      </c>
      <c r="D43" s="216">
        <v>1.376</v>
      </c>
      <c r="E43" s="216">
        <v>1.371</v>
      </c>
      <c r="F43" s="163">
        <f>sum2!H19</f>
        <v>1.34</v>
      </c>
      <c r="G43" s="217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4276</v>
      </c>
      <c r="D51" s="127">
        <f>IF(C51&gt;0,ROUND(+C51*D$59,0)," ")</f>
        <v>470</v>
      </c>
      <c r="E51" s="127">
        <f>IF(C51&gt;0,ROUND(+C51*E$60,0)," ")</f>
        <v>15</v>
      </c>
      <c r="F51" s="127">
        <f>IF(C51&gt;0,ROUND(+C51*F$61,0)," ")</f>
        <v>95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4276</v>
      </c>
      <c r="D53" s="191">
        <f>SUM(D51:D52)</f>
        <v>470</v>
      </c>
      <c r="E53" s="191">
        <f>SUM(E51:E52)</f>
        <v>15</v>
      </c>
      <c r="F53" s="191">
        <f>SUM(F51:F52)</f>
        <v>95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f>7.69+462.79</f>
        <v>470.48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14.81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95.22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0.11002806361085127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0.0034635173058933585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0.02226847521047708</v>
      </c>
    </row>
    <row r="62" spans="1:6" ht="15.75">
      <c r="A62" s="11" t="s">
        <v>266</v>
      </c>
      <c r="B62" s="11"/>
      <c r="C62" s="11"/>
      <c r="D62" s="1"/>
      <c r="E62" s="1"/>
      <c r="F62" s="1"/>
    </row>
    <row r="63" spans="1:6" ht="15.75">
      <c r="A63" s="1" t="s">
        <v>255</v>
      </c>
      <c r="B63" s="1"/>
      <c r="C63" s="1"/>
      <c r="D63" s="1"/>
      <c r="E63" s="1"/>
      <c r="F63" s="1"/>
    </row>
    <row r="64" spans="1:6" ht="15.75">
      <c r="A64" s="1"/>
      <c r="B64" s="25" t="s">
        <v>37</v>
      </c>
      <c r="C64" s="56"/>
      <c r="D64" s="1"/>
      <c r="E64" s="1"/>
      <c r="F64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6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Soldier!C3</f>
        <v>Soldier Cemetery 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4276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4276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4040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40086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42715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17780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21820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f>2974081+239255</f>
        <v>3213336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3191516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0.006836876268206081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29.234482922849203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4305.23448292285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4305.23448292285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1">
      <selection activeCell="H22" sqref="H2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cert2!A22</f>
        <v>South Cedar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8712.51</v>
      </c>
      <c r="E9" s="20">
        <f>+D36</f>
        <v>11776.51</v>
      </c>
      <c r="F9" s="20">
        <f>+E36</f>
        <v>11776.51</v>
      </c>
    </row>
    <row r="10" spans="1:6" ht="15.75">
      <c r="A10" s="199" t="s">
        <v>14</v>
      </c>
      <c r="B10" s="200"/>
      <c r="C10" s="201"/>
      <c r="D10" s="196"/>
      <c r="E10" s="36">
        <v>1531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693</v>
      </c>
      <c r="F12" s="20">
        <f>D51</f>
        <v>258</v>
      </c>
    </row>
    <row r="13" spans="1:6" ht="15.75">
      <c r="A13" s="34" t="s">
        <v>17</v>
      </c>
      <c r="B13" s="35"/>
      <c r="C13" s="201"/>
      <c r="D13" s="196"/>
      <c r="E13" s="36">
        <v>14</v>
      </c>
      <c r="F13" s="20">
        <f>E51</f>
        <v>6</v>
      </c>
    </row>
    <row r="14" spans="1:6" ht="15.75">
      <c r="A14" s="34" t="s">
        <v>86</v>
      </c>
      <c r="B14" s="35"/>
      <c r="C14" s="201"/>
      <c r="D14" s="196"/>
      <c r="E14" s="36">
        <v>62</v>
      </c>
      <c r="F14" s="20">
        <f>F51</f>
        <v>46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4364</v>
      </c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4364</v>
      </c>
      <c r="E23" s="184">
        <f>SUM(E10:E22)</f>
        <v>2300</v>
      </c>
      <c r="F23" s="184">
        <f>SUM(F10:F22)</f>
        <v>310</v>
      </c>
    </row>
    <row r="24" spans="1:6" ht="15.75">
      <c r="A24" s="42" t="s">
        <v>23</v>
      </c>
      <c r="B24" s="35"/>
      <c r="C24" s="201"/>
      <c r="D24" s="197">
        <f>+D9+D23</f>
        <v>13076.51</v>
      </c>
      <c r="E24" s="184">
        <f>+E9+E23</f>
        <v>14076.51</v>
      </c>
      <c r="F24" s="184">
        <f>+F9+F23</f>
        <v>12086.51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1200</v>
      </c>
      <c r="E26" s="36">
        <v>1200</v>
      </c>
      <c r="F26" s="36">
        <v>1200</v>
      </c>
    </row>
    <row r="27" spans="1:6" ht="15.75">
      <c r="A27" s="40" t="s">
        <v>310</v>
      </c>
      <c r="B27" s="38"/>
      <c r="C27" s="202"/>
      <c r="D27" s="196">
        <v>100</v>
      </c>
      <c r="E27" s="36">
        <v>100</v>
      </c>
      <c r="F27" s="36">
        <v>100</v>
      </c>
    </row>
    <row r="28" spans="1:6" ht="15.75">
      <c r="A28" s="40" t="s">
        <v>312</v>
      </c>
      <c r="B28" s="38"/>
      <c r="C28" s="202"/>
      <c r="D28" s="196"/>
      <c r="E28" s="36"/>
      <c r="F28" s="36">
        <v>10000</v>
      </c>
    </row>
    <row r="29" spans="1:6" ht="15.75">
      <c r="A29" s="40" t="s">
        <v>300</v>
      </c>
      <c r="B29" s="38"/>
      <c r="C29" s="202"/>
      <c r="D29" s="196"/>
      <c r="E29" s="36">
        <v>1000</v>
      </c>
      <c r="F29" s="36">
        <v>1500</v>
      </c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 t="s">
        <v>311</v>
      </c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1300</v>
      </c>
      <c r="E35" s="184">
        <f>SUM(E26:E34)</f>
        <v>2300</v>
      </c>
      <c r="F35" s="184">
        <f>SUM(F26:F34)</f>
        <v>12800</v>
      </c>
    </row>
    <row r="36" spans="1:6" ht="15.75">
      <c r="A36" s="34" t="s">
        <v>26</v>
      </c>
      <c r="B36" s="35"/>
      <c r="C36" s="201"/>
      <c r="D36" s="190">
        <f>+D24-D35</f>
        <v>11776.51</v>
      </c>
      <c r="E36" s="185">
        <f>+E24-E35</f>
        <v>11776.51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12800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713.4899999999998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Comp13!J35</f>
        <v>1558.5097757386902</v>
      </c>
      <c r="D41" s="1"/>
      <c r="E41" s="4" t="str">
        <f>CONCATENATE("Amount of ",$F$1-1," Ad Valorem Tax")</f>
        <v>Amount of 2011 Ad Valorem Tax</v>
      </c>
      <c r="F41" s="185">
        <f>SUM(F39:F40)</f>
        <v>713.4899999999998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1531</v>
      </c>
      <c r="D51" s="127">
        <f>IF(C51&gt;0,ROUND(+C51*D$59,0)," ")</f>
        <v>258</v>
      </c>
      <c r="E51" s="127">
        <f>IF(C51&gt;0,ROUND(+C51*E$60,0)," ")</f>
        <v>6</v>
      </c>
      <c r="F51" s="127">
        <f>IF(C51&gt;0,ROUND(+C51*F$61,0)," ")</f>
        <v>46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1531</v>
      </c>
      <c r="D53" s="191">
        <f>SUM(D51:D52)</f>
        <v>258</v>
      </c>
      <c r="E53" s="191">
        <f>SUM(E51:E52)</f>
        <v>6</v>
      </c>
      <c r="F53" s="191">
        <f>SUM(F51:F52)</f>
        <v>46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258.42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6.3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45.7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0.16879163945133902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0.004114957544088831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0.029849771391247552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'South Cedar'!C3</f>
        <v>South Cedar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1531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1531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10686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48841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43105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5736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25770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42192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2390301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2348109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0.017968501462240466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27.509775738690152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1558.5097757386902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1558.5097757386902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9"/>
  <sheetViews>
    <sheetView zoomScalePageLayoutView="0" workbookViewId="0" topLeftCell="A35">
      <selection activeCell="A5" sqref="A5:IV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7" width="9.140625" style="3" customWidth="1"/>
    <col min="8" max="9" width="12.7109375" style="235" bestFit="1" customWidth="1"/>
    <col min="10" max="10" width="11.57421875" style="3" bestFit="1" customWidth="1"/>
    <col min="11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cert2!A23</f>
        <v>Springhill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 hidden="1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10" ht="15.75">
      <c r="A9" s="34" t="s">
        <v>13</v>
      </c>
      <c r="B9" s="35"/>
      <c r="C9" s="201"/>
      <c r="D9" s="196">
        <v>1300.33</v>
      </c>
      <c r="E9" s="20">
        <f>+D36</f>
        <v>1639.300000000001</v>
      </c>
      <c r="F9" s="20">
        <f>+E36</f>
        <v>1532.300000000001</v>
      </c>
      <c r="J9" s="236"/>
    </row>
    <row r="10" spans="1:10" ht="15.75">
      <c r="A10" s="199" t="s">
        <v>14</v>
      </c>
      <c r="B10" s="200"/>
      <c r="C10" s="201"/>
      <c r="D10" s="196"/>
      <c r="E10" s="36">
        <v>7234</v>
      </c>
      <c r="F10" s="19" t="s">
        <v>6</v>
      </c>
      <c r="J10" s="236"/>
    </row>
    <row r="11" spans="1:10" ht="15.75">
      <c r="A11" s="34" t="s">
        <v>15</v>
      </c>
      <c r="B11" s="35"/>
      <c r="C11" s="201"/>
      <c r="D11" s="196"/>
      <c r="E11" s="36"/>
      <c r="F11" s="36"/>
      <c r="J11" s="236"/>
    </row>
    <row r="12" spans="1:10" ht="15.75">
      <c r="A12" s="34" t="s">
        <v>16</v>
      </c>
      <c r="B12" s="35"/>
      <c r="C12" s="201"/>
      <c r="D12" s="196"/>
      <c r="E12" s="36">
        <v>928</v>
      </c>
      <c r="F12" s="20">
        <f>D51</f>
        <v>984</v>
      </c>
      <c r="J12" s="236"/>
    </row>
    <row r="13" spans="1:10" ht="15.75">
      <c r="A13" s="34" t="s">
        <v>17</v>
      </c>
      <c r="B13" s="35"/>
      <c r="C13" s="201"/>
      <c r="D13" s="196"/>
      <c r="E13" s="36">
        <v>6</v>
      </c>
      <c r="F13" s="20">
        <f>E51</f>
        <v>24</v>
      </c>
      <c r="J13" s="236"/>
    </row>
    <row r="14" spans="1:10" ht="15.75">
      <c r="A14" s="34" t="s">
        <v>86</v>
      </c>
      <c r="B14" s="35"/>
      <c r="C14" s="201"/>
      <c r="D14" s="196"/>
      <c r="E14" s="36">
        <v>222</v>
      </c>
      <c r="F14" s="20">
        <f>F51</f>
        <v>212</v>
      </c>
      <c r="J14" s="236"/>
    </row>
    <row r="15" spans="1:10" ht="15.75" hidden="1">
      <c r="A15" s="34" t="s">
        <v>18</v>
      </c>
      <c r="B15" s="35"/>
      <c r="C15" s="201"/>
      <c r="D15" s="196"/>
      <c r="E15" s="36" t="s">
        <v>19</v>
      </c>
      <c r="F15" s="106"/>
      <c r="J15" s="236"/>
    </row>
    <row r="16" spans="1:10" ht="15.75" hidden="1">
      <c r="A16" s="34" t="s">
        <v>207</v>
      </c>
      <c r="B16" s="35"/>
      <c r="C16" s="201"/>
      <c r="D16" s="196"/>
      <c r="E16" s="36"/>
      <c r="F16" s="106"/>
      <c r="J16" s="236"/>
    </row>
    <row r="17" spans="1:10" ht="15.75">
      <c r="A17" s="37" t="s">
        <v>259</v>
      </c>
      <c r="B17" s="38"/>
      <c r="C17" s="202"/>
      <c r="D17" s="196">
        <v>7973.66</v>
      </c>
      <c r="E17" s="36" t="s">
        <v>19</v>
      </c>
      <c r="F17" s="36" t="s">
        <v>19</v>
      </c>
      <c r="J17" s="236"/>
    </row>
    <row r="18" spans="1:10" ht="15.75">
      <c r="A18" s="39" t="s">
        <v>368</v>
      </c>
      <c r="B18" s="38"/>
      <c r="C18" s="202"/>
      <c r="D18" s="196">
        <v>470</v>
      </c>
      <c r="E18" s="36"/>
      <c r="F18" s="36"/>
      <c r="J18" s="236"/>
    </row>
    <row r="19" spans="1:10" ht="15.75">
      <c r="A19" s="39" t="s">
        <v>428</v>
      </c>
      <c r="B19" s="38"/>
      <c r="C19" s="202"/>
      <c r="D19" s="196">
        <v>465</v>
      </c>
      <c r="E19" s="36"/>
      <c r="F19" s="36"/>
      <c r="J19" s="236"/>
    </row>
    <row r="20" spans="1:10" ht="15.75">
      <c r="A20" s="37" t="s">
        <v>261</v>
      </c>
      <c r="B20" s="38"/>
      <c r="C20" s="202"/>
      <c r="D20" s="196">
        <v>150</v>
      </c>
      <c r="E20" s="36"/>
      <c r="F20" s="36"/>
      <c r="J20" s="236"/>
    </row>
    <row r="21" spans="1:10" ht="15.75">
      <c r="A21" s="40" t="s">
        <v>300</v>
      </c>
      <c r="B21" s="41"/>
      <c r="C21" s="202"/>
      <c r="D21" s="196">
        <v>245</v>
      </c>
      <c r="E21" s="36"/>
      <c r="F21" s="36"/>
      <c r="J21" s="236"/>
    </row>
    <row r="22" spans="1:10" ht="15.75">
      <c r="A22" s="40" t="s">
        <v>21</v>
      </c>
      <c r="B22" s="41"/>
      <c r="C22" s="202"/>
      <c r="D22" s="196">
        <v>1.42</v>
      </c>
      <c r="E22" s="36"/>
      <c r="F22" s="36"/>
      <c r="J22" s="236"/>
    </row>
    <row r="23" spans="1:10" ht="15.75">
      <c r="A23" s="42" t="s">
        <v>22</v>
      </c>
      <c r="B23" s="35"/>
      <c r="C23" s="201"/>
      <c r="D23" s="197">
        <f>SUM(D10:D22)</f>
        <v>9305.08</v>
      </c>
      <c r="E23" s="184">
        <f>SUM(E10:E22)</f>
        <v>8390</v>
      </c>
      <c r="F23" s="184">
        <f>SUM(F10:F22)</f>
        <v>1220</v>
      </c>
      <c r="J23" s="236"/>
    </row>
    <row r="24" spans="1:10" ht="15.75">
      <c r="A24" s="42" t="s">
        <v>23</v>
      </c>
      <c r="B24" s="35"/>
      <c r="C24" s="201"/>
      <c r="D24" s="197">
        <f>+D9+D23</f>
        <v>10605.41</v>
      </c>
      <c r="E24" s="184">
        <f>+E9+E23</f>
        <v>10029.300000000001</v>
      </c>
      <c r="F24" s="184">
        <f>+F9+F23</f>
        <v>2752.300000000001</v>
      </c>
      <c r="J24" s="236"/>
    </row>
    <row r="25" spans="1:10" ht="15.75">
      <c r="A25" s="34" t="s">
        <v>24</v>
      </c>
      <c r="B25" s="35"/>
      <c r="C25" s="201"/>
      <c r="D25" s="104"/>
      <c r="E25" s="20"/>
      <c r="F25" s="20"/>
      <c r="J25" s="236"/>
    </row>
    <row r="26" spans="1:10" ht="15.75">
      <c r="A26" s="40" t="s">
        <v>262</v>
      </c>
      <c r="B26" s="38"/>
      <c r="C26" s="202"/>
      <c r="D26" s="196">
        <v>782.01</v>
      </c>
      <c r="E26" s="36"/>
      <c r="F26" s="36">
        <v>100</v>
      </c>
      <c r="J26" s="236"/>
    </row>
    <row r="27" spans="1:10" ht="15.75">
      <c r="A27" s="40" t="s">
        <v>263</v>
      </c>
      <c r="B27" s="38"/>
      <c r="C27" s="202"/>
      <c r="D27" s="196">
        <v>7543.53</v>
      </c>
      <c r="E27" s="36">
        <v>7700</v>
      </c>
      <c r="F27" s="36">
        <v>7700</v>
      </c>
      <c r="J27" s="236"/>
    </row>
    <row r="28" spans="1:10" ht="15.75">
      <c r="A28" s="40" t="s">
        <v>281</v>
      </c>
      <c r="B28" s="38"/>
      <c r="C28" s="202"/>
      <c r="D28" s="196"/>
      <c r="E28" s="36">
        <v>797</v>
      </c>
      <c r="F28" s="36">
        <v>800</v>
      </c>
      <c r="J28" s="236"/>
    </row>
    <row r="29" spans="1:10" ht="15.75">
      <c r="A29" s="40" t="s">
        <v>436</v>
      </c>
      <c r="B29" s="38"/>
      <c r="C29" s="202"/>
      <c r="D29" s="196"/>
      <c r="E29" s="36"/>
      <c r="F29" s="36">
        <v>389</v>
      </c>
      <c r="J29" s="236"/>
    </row>
    <row r="30" spans="1:10" ht="15.75">
      <c r="A30" s="37" t="s">
        <v>247</v>
      </c>
      <c r="B30" s="38"/>
      <c r="C30" s="202"/>
      <c r="D30" s="196">
        <v>40.57</v>
      </c>
      <c r="E30" s="36"/>
      <c r="F30" s="36">
        <v>50</v>
      </c>
      <c r="J30" s="236"/>
    </row>
    <row r="31" spans="1:10" ht="15.75">
      <c r="A31" s="37" t="s">
        <v>437</v>
      </c>
      <c r="B31" s="38"/>
      <c r="C31" s="202"/>
      <c r="D31" s="196">
        <v>600</v>
      </c>
      <c r="E31" s="36"/>
      <c r="F31" s="36">
        <v>1000</v>
      </c>
      <c r="J31" s="236"/>
    </row>
    <row r="32" spans="1:10" ht="15.75" hidden="1">
      <c r="A32" s="37"/>
      <c r="B32" s="38"/>
      <c r="C32" s="202"/>
      <c r="D32" s="196"/>
      <c r="E32" s="36"/>
      <c r="F32" s="36"/>
      <c r="J32" s="236"/>
    </row>
    <row r="33" spans="1:10" ht="15.75" hidden="1">
      <c r="A33" s="37"/>
      <c r="B33" s="38"/>
      <c r="C33" s="202"/>
      <c r="D33" s="196"/>
      <c r="E33" s="36"/>
      <c r="F33" s="36"/>
      <c r="J33" s="236"/>
    </row>
    <row r="34" spans="1:10" ht="15.75" hidden="1">
      <c r="A34" s="37"/>
      <c r="B34" s="38"/>
      <c r="C34" s="202"/>
      <c r="D34" s="196"/>
      <c r="E34" s="36"/>
      <c r="F34" s="36"/>
      <c r="J34" s="236"/>
    </row>
    <row r="35" spans="1:10" ht="15.75">
      <c r="A35" s="42" t="s">
        <v>25</v>
      </c>
      <c r="B35" s="35"/>
      <c r="C35" s="201"/>
      <c r="D35" s="197">
        <f>SUM(D26:D34)</f>
        <v>8966.109999999999</v>
      </c>
      <c r="E35" s="184">
        <f>SUM(E26:E34)</f>
        <v>8497</v>
      </c>
      <c r="F35" s="184">
        <f>SUM(F26:F34)</f>
        <v>10039</v>
      </c>
      <c r="J35" s="236"/>
    </row>
    <row r="36" spans="1:6" ht="15.75">
      <c r="A36" s="34" t="s">
        <v>26</v>
      </c>
      <c r="B36" s="35"/>
      <c r="C36" s="201"/>
      <c r="D36" s="190">
        <f>+D24-D35</f>
        <v>1639.300000000001</v>
      </c>
      <c r="E36" s="185">
        <f>+E24-E35</f>
        <v>1532.300000000001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10039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7286.699999999999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8" ht="15.75">
      <c r="A41" s="1"/>
      <c r="B41" s="1"/>
      <c r="C41" s="60">
        <f>Comp14!J35</f>
        <v>7286.5587722096225</v>
      </c>
      <c r="D41" s="1"/>
      <c r="E41" s="4" t="str">
        <f>CONCATENATE("Amount of ",$F$1-1," Ad Valorem Tax")</f>
        <v>Amount of 2011 Ad Valorem Tax</v>
      </c>
      <c r="F41" s="185">
        <f>SUM(F39:F40)</f>
        <v>7286.699999999999</v>
      </c>
      <c r="G41" s="3">
        <f>sum2!$H$21</f>
        <v>2.359</v>
      </c>
      <c r="H41" s="235" t="s">
        <v>254</v>
      </c>
    </row>
    <row r="42" spans="1:6" ht="15.75">
      <c r="A42" s="1"/>
      <c r="B42" s="1"/>
      <c r="C42" s="1"/>
      <c r="D42" s="1"/>
      <c r="E42" s="4"/>
      <c r="F42" s="49"/>
    </row>
    <row r="43" spans="1:6" ht="15.75" hidden="1">
      <c r="A43" s="1"/>
      <c r="B43" s="1"/>
      <c r="C43" s="1"/>
      <c r="D43" s="1"/>
      <c r="E43" s="4"/>
      <c r="F43" s="49"/>
    </row>
    <row r="44" spans="1:6" ht="15.75" hidden="1">
      <c r="A44" s="1"/>
      <c r="B44" s="1"/>
      <c r="C44" s="1"/>
      <c r="D44" s="1"/>
      <c r="E44" s="4"/>
      <c r="F44" s="49"/>
    </row>
    <row r="45" spans="1:6" ht="15.75" hidden="1">
      <c r="A45" s="1"/>
      <c r="B45" s="1"/>
      <c r="C45" s="1"/>
      <c r="D45" s="1"/>
      <c r="E45" s="4"/>
      <c r="F45" s="49"/>
    </row>
    <row r="46" spans="1:6" ht="15.75" hidden="1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7234</v>
      </c>
      <c r="D51" s="127">
        <f>IF(C51&gt;0,ROUND(+C51*D$59,0)," ")</f>
        <v>984</v>
      </c>
      <c r="E51" s="127">
        <f>IF(C51&gt;0,ROUND(+C51*E$60,0)," ")</f>
        <v>24</v>
      </c>
      <c r="F51" s="127">
        <f>IF(C51&gt;0,ROUND(+C51*F$61,0)," ")</f>
        <v>212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7234</v>
      </c>
      <c r="D53" s="191">
        <f>SUM(D51:D52)</f>
        <v>984</v>
      </c>
      <c r="E53" s="191">
        <f>SUM(E51:E52)</f>
        <v>24</v>
      </c>
      <c r="F53" s="191">
        <f>SUM(F51:F52)</f>
        <v>212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983.64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24.1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212.35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0.13597456455626208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0.003331490185236384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0.029354437379043405</v>
      </c>
    </row>
    <row r="62" spans="1:6" ht="15.75" hidden="1">
      <c r="A62" s="1"/>
      <c r="B62" s="1"/>
      <c r="C62" s="1"/>
      <c r="D62" s="1"/>
      <c r="E62" s="1"/>
      <c r="F62" s="1"/>
    </row>
    <row r="63" spans="1:6" ht="15.75" hidden="1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1" t="s">
        <v>266</v>
      </c>
      <c r="B65" s="11"/>
      <c r="C65" s="1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 hidden="1">
      <c r="A67" s="1"/>
      <c r="B67" s="1"/>
      <c r="C67" s="1"/>
      <c r="D67" s="1"/>
      <c r="E67" s="1"/>
      <c r="F67" s="1"/>
    </row>
    <row r="68" spans="1:6" ht="15.75" hidden="1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77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3" t="str">
        <f>input!E3</f>
        <v>Jackson County</v>
      </c>
      <c r="B1" s="73"/>
      <c r="C1" s="73"/>
      <c r="D1" s="73"/>
      <c r="E1" s="73"/>
      <c r="F1" s="73"/>
      <c r="G1" s="73">
        <f>input!E5</f>
        <v>2012</v>
      </c>
    </row>
    <row r="2" spans="1:7" ht="15.75">
      <c r="A2" s="1"/>
      <c r="B2" s="1"/>
      <c r="C2" s="2" t="s">
        <v>146</v>
      </c>
      <c r="D2" s="1"/>
      <c r="E2" s="1"/>
      <c r="F2" s="73"/>
      <c r="G2" s="73"/>
    </row>
    <row r="3" spans="1:7" ht="15.75">
      <c r="A3" s="132"/>
      <c r="B3" s="1"/>
      <c r="C3" s="2"/>
      <c r="D3" s="29"/>
      <c r="E3" s="29"/>
      <c r="F3" s="71"/>
      <c r="G3" s="73"/>
    </row>
    <row r="4" spans="1:7" ht="15.75">
      <c r="A4" s="1"/>
      <c r="B4" s="1"/>
      <c r="C4" s="1"/>
      <c r="D4" s="296" t="str">
        <f>CONCATENATE("",input!E5," Adopted Budget")</f>
        <v>2012 Adopted Budget</v>
      </c>
      <c r="E4" s="300"/>
      <c r="F4" s="300"/>
      <c r="G4" s="301"/>
    </row>
    <row r="5" spans="1:7" ht="19.5" customHeight="1">
      <c r="A5" s="1"/>
      <c r="B5" s="1"/>
      <c r="C5" s="9"/>
      <c r="D5" s="100"/>
      <c r="E5" s="150">
        <f>G1-1</f>
        <v>2011</v>
      </c>
      <c r="F5" s="296" t="s">
        <v>88</v>
      </c>
      <c r="G5" s="301"/>
    </row>
    <row r="6" spans="1:7" ht="32.25" customHeight="1">
      <c r="A6" s="10" t="s">
        <v>1</v>
      </c>
      <c r="B6" s="11"/>
      <c r="C6" s="142" t="s">
        <v>139</v>
      </c>
      <c r="D6" s="12" t="s">
        <v>3</v>
      </c>
      <c r="E6" s="151" t="s">
        <v>165</v>
      </c>
      <c r="F6" s="154" t="s">
        <v>169</v>
      </c>
      <c r="G6" s="153" t="s">
        <v>228</v>
      </c>
    </row>
    <row r="7" spans="1:7" ht="15.75">
      <c r="A7" s="13" t="s">
        <v>4</v>
      </c>
      <c r="B7" s="14" t="s">
        <v>5</v>
      </c>
      <c r="C7" s="15"/>
      <c r="D7" s="15"/>
      <c r="E7" s="15"/>
      <c r="F7" s="15"/>
      <c r="G7" s="99"/>
    </row>
    <row r="8" spans="1:7" ht="15.75">
      <c r="A8" s="113"/>
      <c r="B8" s="139"/>
      <c r="C8" s="139"/>
      <c r="D8" s="139"/>
      <c r="E8" s="139"/>
      <c r="F8" s="17"/>
      <c r="G8" s="163" t="str">
        <f>IF(F8&gt;0,ROUND(E8/$F8*1000,3),"  ")</f>
        <v>  </v>
      </c>
    </row>
    <row r="9" spans="1:7" ht="15.75">
      <c r="A9" s="16"/>
      <c r="B9" s="139"/>
      <c r="C9" s="139"/>
      <c r="D9" s="139"/>
      <c r="E9" s="139"/>
      <c r="F9" s="17"/>
      <c r="G9" s="163" t="str">
        <f aca="true" t="shared" si="0" ref="G9:G36">IF(F9&gt;0,ROUND(E9/$F9*1000,3),"  ")</f>
        <v>  </v>
      </c>
    </row>
    <row r="10" spans="1:7" ht="15.75">
      <c r="A10" s="16"/>
      <c r="B10" s="139"/>
      <c r="C10" s="139"/>
      <c r="D10" s="139"/>
      <c r="E10" s="139"/>
      <c r="F10" s="17"/>
      <c r="G10" s="163" t="str">
        <f t="shared" si="0"/>
        <v>  </v>
      </c>
    </row>
    <row r="11" spans="1:7" ht="15.75">
      <c r="A11" s="16"/>
      <c r="B11" s="139"/>
      <c r="C11" s="139"/>
      <c r="D11" s="139"/>
      <c r="E11" s="139"/>
      <c r="F11" s="17"/>
      <c r="G11" s="163" t="str">
        <f t="shared" si="0"/>
        <v>  </v>
      </c>
    </row>
    <row r="12" spans="1:7" ht="15.75">
      <c r="A12" s="16"/>
      <c r="B12" s="139"/>
      <c r="C12" s="139"/>
      <c r="D12" s="139"/>
      <c r="E12" s="139"/>
      <c r="F12" s="17"/>
      <c r="G12" s="163" t="str">
        <f t="shared" si="0"/>
        <v>  </v>
      </c>
    </row>
    <row r="13" spans="1:7" ht="15.75">
      <c r="A13" s="16"/>
      <c r="B13" s="139"/>
      <c r="C13" s="139"/>
      <c r="D13" s="139"/>
      <c r="E13" s="139"/>
      <c r="F13" s="17"/>
      <c r="G13" s="163" t="str">
        <f t="shared" si="0"/>
        <v>  </v>
      </c>
    </row>
    <row r="14" spans="1:7" ht="15.75">
      <c r="A14" s="16"/>
      <c r="B14" s="139"/>
      <c r="C14" s="139"/>
      <c r="D14" s="139"/>
      <c r="E14" s="139"/>
      <c r="F14" s="17"/>
      <c r="G14" s="163" t="str">
        <f t="shared" si="0"/>
        <v>  </v>
      </c>
    </row>
    <row r="15" spans="1:7" ht="15.75">
      <c r="A15" s="16"/>
      <c r="B15" s="139"/>
      <c r="C15" s="139"/>
      <c r="D15" s="139"/>
      <c r="E15" s="139"/>
      <c r="F15" s="17"/>
      <c r="G15" s="163" t="str">
        <f t="shared" si="0"/>
        <v>  </v>
      </c>
    </row>
    <row r="16" spans="1:7" ht="15.75">
      <c r="A16" s="16"/>
      <c r="B16" s="139"/>
      <c r="C16" s="139"/>
      <c r="D16" s="139"/>
      <c r="E16" s="139"/>
      <c r="F16" s="17"/>
      <c r="G16" s="163" t="str">
        <f t="shared" si="0"/>
        <v>  </v>
      </c>
    </row>
    <row r="17" spans="1:7" ht="15.75">
      <c r="A17" s="16"/>
      <c r="B17" s="139"/>
      <c r="C17" s="139"/>
      <c r="D17" s="139"/>
      <c r="E17" s="139"/>
      <c r="F17" s="17"/>
      <c r="G17" s="163" t="str">
        <f t="shared" si="0"/>
        <v>  </v>
      </c>
    </row>
    <row r="18" spans="1:7" ht="15.75">
      <c r="A18" s="16"/>
      <c r="B18" s="139"/>
      <c r="C18" s="139"/>
      <c r="D18" s="139"/>
      <c r="E18" s="139"/>
      <c r="F18" s="17"/>
      <c r="G18" s="163" t="str">
        <f t="shared" si="0"/>
        <v>  </v>
      </c>
    </row>
    <row r="19" spans="1:7" ht="15.75">
      <c r="A19" s="16"/>
      <c r="B19" s="139"/>
      <c r="C19" s="139"/>
      <c r="D19" s="139"/>
      <c r="E19" s="139"/>
      <c r="F19" s="17"/>
      <c r="G19" s="163" t="str">
        <f t="shared" si="0"/>
        <v>  </v>
      </c>
    </row>
    <row r="20" spans="1:7" ht="15.75">
      <c r="A20" s="16"/>
      <c r="B20" s="139"/>
      <c r="C20" s="139"/>
      <c r="D20" s="139"/>
      <c r="E20" s="139"/>
      <c r="F20" s="17"/>
      <c r="G20" s="163" t="str">
        <f t="shared" si="0"/>
        <v>  </v>
      </c>
    </row>
    <row r="21" spans="1:7" ht="15.75">
      <c r="A21" s="16"/>
      <c r="B21" s="139"/>
      <c r="C21" s="139"/>
      <c r="D21" s="139"/>
      <c r="E21" s="139"/>
      <c r="F21" s="17"/>
      <c r="G21" s="163" t="str">
        <f t="shared" si="0"/>
        <v>  </v>
      </c>
    </row>
    <row r="22" spans="1:7" ht="15.75">
      <c r="A22" s="16"/>
      <c r="B22" s="139"/>
      <c r="C22" s="139"/>
      <c r="D22" s="139"/>
      <c r="E22" s="139"/>
      <c r="F22" s="17"/>
      <c r="G22" s="163" t="str">
        <f t="shared" si="0"/>
        <v>  </v>
      </c>
    </row>
    <row r="23" spans="1:7" ht="15.75">
      <c r="A23" s="16"/>
      <c r="B23" s="139"/>
      <c r="C23" s="139"/>
      <c r="D23" s="139"/>
      <c r="E23" s="139"/>
      <c r="F23" s="17"/>
      <c r="G23" s="163" t="str">
        <f t="shared" si="0"/>
        <v>  </v>
      </c>
    </row>
    <row r="24" spans="1:7" ht="15.75">
      <c r="A24" s="16"/>
      <c r="B24" s="139"/>
      <c r="C24" s="139"/>
      <c r="D24" s="139"/>
      <c r="E24" s="139"/>
      <c r="F24" s="17"/>
      <c r="G24" s="163" t="str">
        <f t="shared" si="0"/>
        <v>  </v>
      </c>
    </row>
    <row r="25" spans="1:7" ht="15.75">
      <c r="A25" s="16"/>
      <c r="B25" s="139"/>
      <c r="C25" s="139"/>
      <c r="D25" s="139"/>
      <c r="E25" s="139"/>
      <c r="F25" s="17"/>
      <c r="G25" s="163" t="str">
        <f t="shared" si="0"/>
        <v>  </v>
      </c>
    </row>
    <row r="26" spans="1:7" ht="15.75">
      <c r="A26" s="16"/>
      <c r="B26" s="139"/>
      <c r="C26" s="139"/>
      <c r="D26" s="139"/>
      <c r="E26" s="139"/>
      <c r="F26" s="17"/>
      <c r="G26" s="163" t="str">
        <f t="shared" si="0"/>
        <v>  </v>
      </c>
    </row>
    <row r="27" spans="1:7" ht="15.75">
      <c r="A27" s="16"/>
      <c r="B27" s="140"/>
      <c r="C27" s="139"/>
      <c r="D27" s="139"/>
      <c r="E27" s="140"/>
      <c r="F27" s="17"/>
      <c r="G27" s="163" t="str">
        <f t="shared" si="0"/>
        <v>  </v>
      </c>
    </row>
    <row r="28" spans="1:7" ht="15.75">
      <c r="A28" s="16"/>
      <c r="B28" s="140"/>
      <c r="C28" s="139"/>
      <c r="D28" s="139"/>
      <c r="E28" s="140"/>
      <c r="F28" s="17"/>
      <c r="G28" s="163" t="str">
        <f t="shared" si="0"/>
        <v>  </v>
      </c>
    </row>
    <row r="29" spans="1:7" ht="15.75">
      <c r="A29" s="16"/>
      <c r="B29" s="140"/>
      <c r="C29" s="139"/>
      <c r="D29" s="139"/>
      <c r="E29" s="140"/>
      <c r="F29" s="17"/>
      <c r="G29" s="163" t="str">
        <f t="shared" si="0"/>
        <v>  </v>
      </c>
    </row>
    <row r="30" spans="1:7" ht="15.75">
      <c r="A30" s="16"/>
      <c r="B30" s="140"/>
      <c r="C30" s="139"/>
      <c r="D30" s="139"/>
      <c r="E30" s="140"/>
      <c r="F30" s="17"/>
      <c r="G30" s="163" t="str">
        <f t="shared" si="0"/>
        <v>  </v>
      </c>
    </row>
    <row r="31" spans="1:7" ht="15.75">
      <c r="A31" s="16"/>
      <c r="B31" s="140"/>
      <c r="C31" s="139"/>
      <c r="D31" s="139"/>
      <c r="E31" s="140"/>
      <c r="F31" s="17"/>
      <c r="G31" s="163" t="str">
        <f t="shared" si="0"/>
        <v>  </v>
      </c>
    </row>
    <row r="32" spans="1:7" ht="15.75">
      <c r="A32" s="16"/>
      <c r="B32" s="140"/>
      <c r="C32" s="139"/>
      <c r="D32" s="139"/>
      <c r="E32" s="140"/>
      <c r="F32" s="17"/>
      <c r="G32" s="163" t="str">
        <f t="shared" si="0"/>
        <v>  </v>
      </c>
    </row>
    <row r="33" spans="1:7" ht="15.75">
      <c r="A33" s="16"/>
      <c r="B33" s="140"/>
      <c r="C33" s="139"/>
      <c r="D33" s="139"/>
      <c r="E33" s="140"/>
      <c r="F33" s="17"/>
      <c r="G33" s="163" t="str">
        <f t="shared" si="0"/>
        <v>  </v>
      </c>
    </row>
    <row r="34" spans="1:7" ht="15.75">
      <c r="A34" s="16"/>
      <c r="B34" s="140"/>
      <c r="C34" s="139"/>
      <c r="D34" s="139"/>
      <c r="E34" s="140"/>
      <c r="F34" s="17"/>
      <c r="G34" s="163" t="str">
        <f t="shared" si="0"/>
        <v>  </v>
      </c>
    </row>
    <row r="35" spans="1:7" ht="15.75">
      <c r="A35" s="16"/>
      <c r="B35" s="140"/>
      <c r="C35" s="139"/>
      <c r="D35" s="139"/>
      <c r="E35" s="140"/>
      <c r="F35" s="17"/>
      <c r="G35" s="163" t="str">
        <f t="shared" si="0"/>
        <v>  </v>
      </c>
    </row>
    <row r="36" spans="1:7" ht="15.75">
      <c r="A36" s="16"/>
      <c r="B36" s="140"/>
      <c r="C36" s="139"/>
      <c r="D36" s="139"/>
      <c r="E36" s="140"/>
      <c r="F36" s="17"/>
      <c r="G36" s="163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3"/>
    </row>
    <row r="38" spans="1:7" ht="15.75">
      <c r="A38" s="179" t="s">
        <v>229</v>
      </c>
      <c r="B38" s="179"/>
      <c r="C38" s="179"/>
      <c r="D38" s="179"/>
      <c r="E38" s="179"/>
      <c r="F38" s="179"/>
      <c r="G38" s="180"/>
    </row>
    <row r="39" spans="1:7" ht="15.75">
      <c r="A39" s="143"/>
      <c r="B39" s="25" t="s">
        <v>37</v>
      </c>
      <c r="C39" s="56"/>
      <c r="D39" s="143"/>
      <c r="E39" s="143"/>
      <c r="F39" s="143"/>
      <c r="G39" s="73"/>
    </row>
    <row r="40" spans="1:7" ht="15.75">
      <c r="A40" s="143"/>
      <c r="B40" s="143"/>
      <c r="C40" s="143"/>
      <c r="D40" s="143"/>
      <c r="E40" s="143"/>
      <c r="F40" s="143"/>
      <c r="G40" s="73"/>
    </row>
    <row r="41" spans="1:6" ht="15.75">
      <c r="A41" s="21"/>
      <c r="B41" s="22"/>
      <c r="C41" s="22"/>
      <c r="D41" s="22"/>
      <c r="E41" s="22"/>
      <c r="F41" s="22"/>
    </row>
    <row r="42" spans="1:6" ht="15.75">
      <c r="A42" s="141"/>
      <c r="B42" s="141"/>
      <c r="C42" s="141"/>
      <c r="D42" s="141"/>
      <c r="E42" s="141"/>
      <c r="F42" s="141"/>
    </row>
    <row r="43" spans="1:6" ht="15.75">
      <c r="A43" s="22"/>
      <c r="B43" s="22"/>
      <c r="C43" s="22"/>
      <c r="D43" s="22"/>
      <c r="E43" s="22"/>
      <c r="F43" s="23"/>
    </row>
    <row r="53" spans="1:6" ht="15.75">
      <c r="A53" s="22"/>
      <c r="B53" s="22"/>
      <c r="C53" s="22"/>
      <c r="D53" s="22"/>
      <c r="E53" s="22"/>
      <c r="F53" s="22"/>
    </row>
    <row r="57" spans="1:6" ht="15.75">
      <c r="A57" s="22"/>
      <c r="B57" s="22"/>
      <c r="C57" s="22"/>
      <c r="D57" s="21"/>
      <c r="E57" s="22"/>
      <c r="F57" s="22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435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28498.75</v>
      </c>
      <c r="C9" s="20">
        <f>B35</f>
        <v>28498.75</v>
      </c>
      <c r="D9" s="20">
        <f>C35</f>
        <v>28498.75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SUM(B12:B18)</f>
        <v>0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28498.75</v>
      </c>
      <c r="C20" s="184">
        <f>C9+C19</f>
        <v>28498.75</v>
      </c>
      <c r="D20" s="184">
        <f>D9+D19</f>
        <v>28498.75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28498.75</v>
      </c>
      <c r="C35" s="185">
        <f>C20-C34</f>
        <v>28498.75</v>
      </c>
      <c r="D35" s="185">
        <f>D20-D34</f>
        <v>28498.75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/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/>
      <c r="C57" s="20">
        <f>B83</f>
        <v>0</v>
      </c>
      <c r="D57" s="20">
        <f>C83</f>
        <v>0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0</v>
      </c>
      <c r="C68" s="184">
        <f>C57+C67</f>
        <v>0</v>
      </c>
      <c r="D68" s="184">
        <f>D57+D67</f>
        <v>0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0</v>
      </c>
      <c r="C83" s="185">
        <f>C68-C82</f>
        <v>0</v>
      </c>
      <c r="D83" s="185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Springhill!C3</f>
        <v>Springhill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7234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7234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1889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82969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167858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20388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22277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3088403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3066126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0.007265520073212908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52.55877220962218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7286.5587722096225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7286.5587722096225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6">
      <selection activeCell="I47" sqref="I47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cert2!A24</f>
        <v>Steward Muddy Creek Cem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2188</v>
      </c>
      <c r="E9" s="20">
        <f>+D36</f>
        <v>2860.3899999999994</v>
      </c>
      <c r="F9" s="20">
        <f>+E36</f>
        <v>1274.3899999999994</v>
      </c>
    </row>
    <row r="10" spans="1:6" ht="15.75">
      <c r="A10" s="199" t="s">
        <v>14</v>
      </c>
      <c r="B10" s="200"/>
      <c r="C10" s="201"/>
      <c r="D10" s="196"/>
      <c r="E10" s="36">
        <v>1968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572</v>
      </c>
      <c r="F12" s="20">
        <f>D51</f>
        <v>344</v>
      </c>
    </row>
    <row r="13" spans="1:6" ht="15.75">
      <c r="A13" s="34" t="s">
        <v>17</v>
      </c>
      <c r="B13" s="35"/>
      <c r="C13" s="201"/>
      <c r="D13" s="196"/>
      <c r="E13" s="36">
        <v>18</v>
      </c>
      <c r="F13" s="20">
        <f>E51</f>
        <v>13</v>
      </c>
    </row>
    <row r="14" spans="1:6" ht="15.75">
      <c r="A14" s="34" t="s">
        <v>86</v>
      </c>
      <c r="B14" s="35"/>
      <c r="C14" s="201"/>
      <c r="D14" s="196"/>
      <c r="E14" s="36">
        <v>23</v>
      </c>
      <c r="F14" s="20">
        <f>F51</f>
        <v>42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3491.89</v>
      </c>
      <c r="E17" s="36" t="s">
        <v>19</v>
      </c>
      <c r="F17" s="36" t="s">
        <v>19</v>
      </c>
    </row>
    <row r="18" spans="1:6" ht="15.75">
      <c r="A18" s="37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3491.89</v>
      </c>
      <c r="E23" s="184">
        <f>SUM(E10:E22)</f>
        <v>2581</v>
      </c>
      <c r="F23" s="184">
        <f>SUM(F10:F22)</f>
        <v>399</v>
      </c>
    </row>
    <row r="24" spans="1:6" ht="15.75">
      <c r="A24" s="42" t="s">
        <v>23</v>
      </c>
      <c r="B24" s="35"/>
      <c r="C24" s="201"/>
      <c r="D24" s="197">
        <f>+D9+D23</f>
        <v>5679.889999999999</v>
      </c>
      <c r="E24" s="184">
        <f>+E9+E23</f>
        <v>5441.389999999999</v>
      </c>
      <c r="F24" s="184">
        <f>+F9+F23</f>
        <v>1673.3899999999994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345</v>
      </c>
      <c r="E26" s="36">
        <v>450</v>
      </c>
      <c r="F26" s="36">
        <v>450</v>
      </c>
    </row>
    <row r="27" spans="1:6" ht="15.75">
      <c r="A27" s="40" t="s">
        <v>263</v>
      </c>
      <c r="B27" s="38"/>
      <c r="C27" s="202"/>
      <c r="D27" s="196">
        <v>2420</v>
      </c>
      <c r="E27" s="36">
        <v>2200</v>
      </c>
      <c r="F27" s="36">
        <v>2200</v>
      </c>
    </row>
    <row r="28" spans="1:6" ht="15.75">
      <c r="A28" s="40" t="s">
        <v>302</v>
      </c>
      <c r="B28" s="38"/>
      <c r="C28" s="202"/>
      <c r="D28" s="196">
        <v>32.5</v>
      </c>
      <c r="E28" s="36"/>
      <c r="F28" s="36"/>
    </row>
    <row r="29" spans="1:6" ht="15.75">
      <c r="A29" s="40" t="s">
        <v>303</v>
      </c>
      <c r="B29" s="38"/>
      <c r="C29" s="202"/>
      <c r="D29" s="196">
        <v>22</v>
      </c>
      <c r="E29" s="36">
        <v>30</v>
      </c>
      <c r="F29" s="36">
        <v>30</v>
      </c>
    </row>
    <row r="30" spans="1:6" ht="15.75">
      <c r="A30" s="37" t="s">
        <v>328</v>
      </c>
      <c r="B30" s="38"/>
      <c r="C30" s="202"/>
      <c r="D30" s="196"/>
      <c r="E30" s="36">
        <v>1400</v>
      </c>
      <c r="F30" s="36">
        <v>1400</v>
      </c>
    </row>
    <row r="31" spans="1:6" ht="15.75">
      <c r="A31" s="37" t="s">
        <v>300</v>
      </c>
      <c r="B31" s="38"/>
      <c r="C31" s="202"/>
      <c r="D31" s="196"/>
      <c r="E31" s="36">
        <v>87</v>
      </c>
      <c r="F31" s="36">
        <v>87</v>
      </c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2819.5</v>
      </c>
      <c r="E35" s="184">
        <f>SUM(E26:E34)</f>
        <v>4167</v>
      </c>
      <c r="F35" s="184">
        <f>SUM(F26:F34)</f>
        <v>4167</v>
      </c>
    </row>
    <row r="36" spans="1:6" ht="15.75">
      <c r="A36" s="34" t="s">
        <v>26</v>
      </c>
      <c r="B36" s="43"/>
      <c r="C36" s="201"/>
      <c r="D36" s="185">
        <f>+D24-D35</f>
        <v>2860.3899999999994</v>
      </c>
      <c r="E36" s="185">
        <f>+E24-E35</f>
        <v>1274.3899999999994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4167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2493.6100000000006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60">
        <f>Comp15!$J$35</f>
        <v>1986.6612403446584</v>
      </c>
      <c r="D41" s="1"/>
      <c r="E41" s="4" t="str">
        <f>CONCATENATE("Amount of ",$F$1-1," Ad Valorem Tax")</f>
        <v>Amount of 2011 Ad Valorem Tax</v>
      </c>
      <c r="F41" s="185">
        <f>SUM(F39:F40)</f>
        <v>2493.6100000000006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1968</v>
      </c>
      <c r="D51" s="127">
        <f>IF(C51&gt;0,ROUND(+C51*D$59,0)," ")</f>
        <v>344</v>
      </c>
      <c r="E51" s="127">
        <f>IF(C51&gt;0,ROUND(+C51*E$60,0)," ")</f>
        <v>13</v>
      </c>
      <c r="F51" s="127">
        <f>IF(C51&gt;0,ROUND(+C51*F$61,0)," ")</f>
        <v>42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1968</v>
      </c>
      <c r="D53" s="191">
        <f>SUM(D51:D52)</f>
        <v>344</v>
      </c>
      <c r="E53" s="191">
        <f>SUM(E51:E52)</f>
        <v>13</v>
      </c>
      <c r="F53" s="191">
        <f>SUM(F51:F52)</f>
        <v>42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344.08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12.97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42.07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0.17483739837398374</v>
      </c>
      <c r="E59" s="93"/>
      <c r="F59" s="93"/>
    </row>
    <row r="60" spans="1:6" ht="13.5" customHeight="1">
      <c r="A60" s="1"/>
      <c r="B60" s="1"/>
      <c r="C60" s="1"/>
      <c r="D60" s="93" t="s">
        <v>36</v>
      </c>
      <c r="E60" s="126">
        <f>IF(C53=0,0,E56/C53)</f>
        <v>0.006590447154471545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0.021377032520325204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2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'St Mud Crk'!C3</f>
        <v>Steward Muddy Creek Cem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1968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1968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17854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86047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83451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2596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29290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49740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5295282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5245542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0.009482337573505273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18.661240344658378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1986.6612403446584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1986.6612403446584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7"/>
  <sheetViews>
    <sheetView zoomScalePageLayoutView="0" workbookViewId="0" topLeftCell="A19">
      <selection activeCell="F34" sqref="F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cert2!A25</f>
        <v>Mayetta Fire #1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12249</v>
      </c>
      <c r="E9" s="20">
        <f>+D54</f>
        <v>9254.00000000003</v>
      </c>
      <c r="F9" s="20">
        <f>+E54</f>
        <v>0.04000000000814907</v>
      </c>
    </row>
    <row r="10" spans="1:6" ht="15.75">
      <c r="A10" s="199" t="s">
        <v>14</v>
      </c>
      <c r="B10" s="200"/>
      <c r="C10" s="201"/>
      <c r="D10" s="196"/>
      <c r="E10" s="36">
        <v>116558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20077</v>
      </c>
      <c r="F12" s="20">
        <f>D69</f>
        <v>19056</v>
      </c>
    </row>
    <row r="13" spans="1:6" ht="15.75">
      <c r="A13" s="34" t="s">
        <v>17</v>
      </c>
      <c r="B13" s="35"/>
      <c r="C13" s="201"/>
      <c r="D13" s="196"/>
      <c r="E13" s="36">
        <v>454</v>
      </c>
      <c r="F13" s="20">
        <f>E69</f>
        <v>436</v>
      </c>
    </row>
    <row r="14" spans="1:6" ht="15.75">
      <c r="A14" s="34" t="s">
        <v>86</v>
      </c>
      <c r="B14" s="35"/>
      <c r="C14" s="201"/>
      <c r="D14" s="196"/>
      <c r="E14" s="36">
        <v>2197</v>
      </c>
      <c r="F14" s="20">
        <f>F69</f>
        <v>1995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313</v>
      </c>
      <c r="B17" s="38"/>
      <c r="C17" s="202"/>
      <c r="D17" s="196">
        <f>4019.41+59272.45+5337.06+51201.36+2009.02+14746.42</f>
        <v>136585.72</v>
      </c>
      <c r="E17" s="36" t="s">
        <v>19</v>
      </c>
      <c r="F17" s="36" t="s">
        <v>19</v>
      </c>
    </row>
    <row r="18" spans="1:6" ht="15.75">
      <c r="A18" s="37" t="s">
        <v>400</v>
      </c>
      <c r="B18" s="38"/>
      <c r="C18" s="202"/>
      <c r="D18" s="196">
        <v>2000</v>
      </c>
      <c r="E18" s="36"/>
      <c r="F18" s="36"/>
    </row>
    <row r="19" spans="1:6" ht="15.75">
      <c r="A19" s="39" t="s">
        <v>401</v>
      </c>
      <c r="B19" s="38"/>
      <c r="C19" s="202"/>
      <c r="D19" s="196">
        <v>540.79</v>
      </c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139126.51</v>
      </c>
      <c r="E23" s="184">
        <f>SUM(E10:E22)</f>
        <v>139286</v>
      </c>
      <c r="F23" s="184">
        <f>SUM(F10:F22)</f>
        <v>21487</v>
      </c>
    </row>
    <row r="24" spans="1:6" ht="15.75">
      <c r="A24" s="42" t="s">
        <v>23</v>
      </c>
      <c r="B24" s="35"/>
      <c r="C24" s="201"/>
      <c r="D24" s="197">
        <f>+D9+D23</f>
        <v>151375.51</v>
      </c>
      <c r="E24" s="184">
        <f>+E9+E23</f>
        <v>148540.00000000003</v>
      </c>
      <c r="F24" s="184">
        <f>+F9+F23</f>
        <v>21487.040000000008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402</v>
      </c>
      <c r="B26" s="38"/>
      <c r="C26" s="202"/>
      <c r="D26" s="196">
        <v>895.98</v>
      </c>
      <c r="E26" s="196">
        <v>1000</v>
      </c>
      <c r="F26" s="196">
        <v>1000</v>
      </c>
    </row>
    <row r="27" spans="1:6" ht="15.75">
      <c r="A27" s="40" t="s">
        <v>324</v>
      </c>
      <c r="B27" s="38"/>
      <c r="C27" s="202"/>
      <c r="D27" s="196">
        <v>3204.5</v>
      </c>
      <c r="E27" s="196">
        <v>3500</v>
      </c>
      <c r="F27" s="196">
        <v>3500</v>
      </c>
    </row>
    <row r="28" spans="1:6" ht="15.75">
      <c r="A28" s="40" t="s">
        <v>403</v>
      </c>
      <c r="B28" s="38"/>
      <c r="C28" s="202"/>
      <c r="D28" s="196">
        <v>1750</v>
      </c>
      <c r="E28" s="196">
        <v>1750</v>
      </c>
      <c r="F28" s="196">
        <v>1750</v>
      </c>
    </row>
    <row r="29" spans="1:6" ht="15.75">
      <c r="A29" s="40" t="s">
        <v>404</v>
      </c>
      <c r="B29" s="38"/>
      <c r="C29" s="202"/>
      <c r="D29" s="196">
        <v>892.01</v>
      </c>
      <c r="E29" s="196">
        <v>900</v>
      </c>
      <c r="F29" s="196">
        <v>900</v>
      </c>
    </row>
    <row r="30" spans="1:6" ht="15.75">
      <c r="A30" s="37" t="s">
        <v>264</v>
      </c>
      <c r="B30" s="38"/>
      <c r="C30" s="202"/>
      <c r="D30" s="196">
        <v>6643</v>
      </c>
      <c r="E30" s="196">
        <v>6700</v>
      </c>
      <c r="F30" s="196">
        <v>6700</v>
      </c>
    </row>
    <row r="31" spans="1:6" ht="15.75">
      <c r="A31" s="37" t="s">
        <v>326</v>
      </c>
      <c r="B31" s="38"/>
      <c r="C31" s="202"/>
      <c r="D31" s="196">
        <v>1236.1</v>
      </c>
      <c r="E31" s="196">
        <v>1300</v>
      </c>
      <c r="F31" s="196">
        <v>1300</v>
      </c>
    </row>
    <row r="32" spans="1:6" ht="15.75">
      <c r="A32" s="37" t="s">
        <v>405</v>
      </c>
      <c r="B32" s="38"/>
      <c r="C32" s="202"/>
      <c r="D32" s="196">
        <v>1801.62</v>
      </c>
      <c r="E32" s="196">
        <v>1900</v>
      </c>
      <c r="F32" s="196">
        <v>1900</v>
      </c>
    </row>
    <row r="33" spans="1:6" ht="15.75">
      <c r="A33" s="37" t="s">
        <v>406</v>
      </c>
      <c r="B33" s="38"/>
      <c r="C33" s="202"/>
      <c r="D33" s="196">
        <v>72717.42</v>
      </c>
      <c r="E33" s="196">
        <v>73000</v>
      </c>
      <c r="F33" s="196">
        <v>67460</v>
      </c>
    </row>
    <row r="34" spans="1:6" ht="15.75">
      <c r="A34" s="37" t="s">
        <v>379</v>
      </c>
      <c r="B34" s="38"/>
      <c r="C34" s="202"/>
      <c r="D34" s="196">
        <v>107</v>
      </c>
      <c r="E34" s="196">
        <v>150</v>
      </c>
      <c r="F34" s="196">
        <v>150</v>
      </c>
    </row>
    <row r="35" spans="1:6" ht="15.75">
      <c r="A35" s="37" t="s">
        <v>407</v>
      </c>
      <c r="B35" s="38"/>
      <c r="C35" s="202"/>
      <c r="D35" s="196">
        <v>3135</v>
      </c>
      <c r="E35" s="196">
        <v>350</v>
      </c>
      <c r="F35" s="196">
        <v>350</v>
      </c>
    </row>
    <row r="36" spans="1:6" ht="15.75">
      <c r="A36" s="37" t="s">
        <v>408</v>
      </c>
      <c r="B36" s="38"/>
      <c r="C36" s="202"/>
      <c r="D36" s="196">
        <v>530.95</v>
      </c>
      <c r="E36" s="196"/>
      <c r="F36" s="196"/>
    </row>
    <row r="37" spans="1:6" ht="15.75">
      <c r="A37" s="37" t="s">
        <v>409</v>
      </c>
      <c r="B37" s="38"/>
      <c r="C37" s="202"/>
      <c r="D37" s="196">
        <v>1838.59</v>
      </c>
      <c r="E37" s="196"/>
      <c r="F37" s="196"/>
    </row>
    <row r="38" spans="1:6" ht="15.75">
      <c r="A38" s="37" t="s">
        <v>410</v>
      </c>
      <c r="B38" s="38"/>
      <c r="C38" s="202"/>
      <c r="D38" s="196">
        <v>705.45</v>
      </c>
      <c r="E38" s="196"/>
      <c r="F38" s="196"/>
    </row>
    <row r="39" spans="1:6" ht="15.75">
      <c r="A39" s="37" t="s">
        <v>411</v>
      </c>
      <c r="B39" s="38"/>
      <c r="C39" s="202"/>
      <c r="D39" s="196">
        <v>1716.77</v>
      </c>
      <c r="E39" s="196"/>
      <c r="F39" s="196"/>
    </row>
    <row r="40" spans="1:6" ht="15.75">
      <c r="A40" s="37" t="s">
        <v>317</v>
      </c>
      <c r="B40" s="38"/>
      <c r="C40" s="202"/>
      <c r="D40" s="196">
        <v>550</v>
      </c>
      <c r="E40" s="196">
        <v>8640</v>
      </c>
      <c r="F40" s="196">
        <v>8640</v>
      </c>
    </row>
    <row r="41" spans="1:6" ht="15.75">
      <c r="A41" s="37" t="s">
        <v>412</v>
      </c>
      <c r="B41" s="38"/>
      <c r="C41" s="202"/>
      <c r="D41" s="196">
        <v>999.96</v>
      </c>
      <c r="E41" s="196">
        <v>999.96</v>
      </c>
      <c r="F41" s="196">
        <v>999.96</v>
      </c>
    </row>
    <row r="42" spans="1:6" ht="15.75">
      <c r="A42" s="37" t="s">
        <v>413</v>
      </c>
      <c r="B42" s="38"/>
      <c r="C42" s="202"/>
      <c r="D42" s="196">
        <v>5829.2</v>
      </c>
      <c r="E42" s="196">
        <v>7000</v>
      </c>
      <c r="F42" s="196">
        <v>6000</v>
      </c>
    </row>
    <row r="43" spans="1:6" ht="15.75">
      <c r="A43" s="37" t="s">
        <v>414</v>
      </c>
      <c r="B43" s="38"/>
      <c r="C43" s="202"/>
      <c r="D43" s="196">
        <v>6420.88</v>
      </c>
      <c r="E43" s="196">
        <v>7000</v>
      </c>
      <c r="F43" s="196">
        <v>6000</v>
      </c>
    </row>
    <row r="44" spans="1:6" ht="15.75">
      <c r="A44" s="37" t="s">
        <v>327</v>
      </c>
      <c r="B44" s="38"/>
      <c r="C44" s="202"/>
      <c r="D44" s="196">
        <v>433.98</v>
      </c>
      <c r="E44" s="196">
        <v>1000</v>
      </c>
      <c r="F44" s="196">
        <v>1000</v>
      </c>
    </row>
    <row r="45" spans="1:6" ht="15.75">
      <c r="A45" s="37" t="s">
        <v>345</v>
      </c>
      <c r="B45" s="38"/>
      <c r="C45" s="202"/>
      <c r="D45" s="196">
        <v>15060.93</v>
      </c>
      <c r="E45" s="196">
        <v>16000</v>
      </c>
      <c r="F45" s="196">
        <v>16000</v>
      </c>
    </row>
    <row r="46" spans="1:6" ht="15.75">
      <c r="A46" s="37" t="s">
        <v>391</v>
      </c>
      <c r="B46" s="38"/>
      <c r="C46" s="202"/>
      <c r="D46" s="196">
        <v>1222.41</v>
      </c>
      <c r="E46" s="196">
        <v>2000</v>
      </c>
      <c r="F46" s="196">
        <v>2000</v>
      </c>
    </row>
    <row r="47" spans="1:6" ht="15.75">
      <c r="A47" s="37" t="s">
        <v>415</v>
      </c>
      <c r="B47" s="38"/>
      <c r="C47" s="202"/>
      <c r="D47" s="196">
        <v>277.42</v>
      </c>
      <c r="E47" s="196">
        <v>500</v>
      </c>
      <c r="F47" s="196">
        <v>500</v>
      </c>
    </row>
    <row r="48" spans="1:6" ht="15.75">
      <c r="A48" s="37" t="s">
        <v>416</v>
      </c>
      <c r="B48" s="38"/>
      <c r="C48" s="202"/>
      <c r="D48" s="196">
        <v>10867</v>
      </c>
      <c r="E48" s="196">
        <v>11000</v>
      </c>
      <c r="F48" s="196">
        <v>11000</v>
      </c>
    </row>
    <row r="49" spans="1:6" ht="15.75">
      <c r="A49" s="37" t="s">
        <v>417</v>
      </c>
      <c r="B49" s="38"/>
      <c r="C49" s="202"/>
      <c r="D49" s="196">
        <v>1705.93</v>
      </c>
      <c r="E49" s="196">
        <v>2000</v>
      </c>
      <c r="F49" s="196">
        <v>2000</v>
      </c>
    </row>
    <row r="50" spans="1:6" ht="15.75">
      <c r="A50" s="37" t="s">
        <v>418</v>
      </c>
      <c r="B50" s="38"/>
      <c r="C50" s="202"/>
      <c r="D50" s="196">
        <v>1081.41</v>
      </c>
      <c r="E50" s="196">
        <v>1250</v>
      </c>
      <c r="F50" s="196">
        <v>1250</v>
      </c>
    </row>
    <row r="51" spans="1:6" ht="15.75">
      <c r="A51" s="37" t="s">
        <v>419</v>
      </c>
      <c r="B51" s="38"/>
      <c r="C51" s="202"/>
      <c r="D51" s="196">
        <v>498</v>
      </c>
      <c r="E51" s="196">
        <v>600</v>
      </c>
      <c r="F51" s="196">
        <v>600</v>
      </c>
    </row>
    <row r="52" spans="1:6" ht="15" customHeight="1">
      <c r="A52" s="37"/>
      <c r="B52" s="38"/>
      <c r="C52" s="202"/>
      <c r="D52" s="196"/>
      <c r="E52" s="36"/>
      <c r="F52" s="36"/>
    </row>
    <row r="53" spans="1:6" ht="15.75">
      <c r="A53" s="42" t="s">
        <v>25</v>
      </c>
      <c r="B53" s="35"/>
      <c r="C53" s="201"/>
      <c r="D53" s="197">
        <f>SUM(D26:D52)</f>
        <v>142121.50999999998</v>
      </c>
      <c r="E53" s="184">
        <f>SUM(E26:E52)</f>
        <v>148539.96000000002</v>
      </c>
      <c r="F53" s="184">
        <f>SUM(F26:F52)</f>
        <v>140999.96000000002</v>
      </c>
    </row>
    <row r="54" spans="1:6" ht="15.75">
      <c r="A54" s="34" t="s">
        <v>26</v>
      </c>
      <c r="B54" s="43"/>
      <c r="C54" s="201"/>
      <c r="D54" s="185">
        <f>+D24-D53</f>
        <v>9254.00000000003</v>
      </c>
      <c r="E54" s="185">
        <f>+E24-E53</f>
        <v>0.04000000000814907</v>
      </c>
      <c r="F54" s="19" t="s">
        <v>6</v>
      </c>
    </row>
    <row r="55" spans="1:7" ht="15.75">
      <c r="A55" s="1"/>
      <c r="B55" s="1"/>
      <c r="C55" s="1"/>
      <c r="D55" s="45"/>
      <c r="E55" s="46" t="s">
        <v>27</v>
      </c>
      <c r="F55" s="16"/>
      <c r="G55" s="194">
        <f>IF(F53/0.95-F53&lt;F55,"Exceeds 5%","")</f>
      </c>
    </row>
    <row r="56" spans="1:6" ht="15.75">
      <c r="A56" s="1"/>
      <c r="B56" s="25"/>
      <c r="C56" s="1"/>
      <c r="D56" s="45"/>
      <c r="E56" s="46" t="s">
        <v>28</v>
      </c>
      <c r="F56" s="20">
        <f>+F53+F55</f>
        <v>140999.96000000002</v>
      </c>
    </row>
    <row r="57" spans="1:6" ht="15.75">
      <c r="A57" s="1"/>
      <c r="B57" s="1"/>
      <c r="C57" s="1"/>
      <c r="D57" s="1"/>
      <c r="E57" s="4" t="s">
        <v>29</v>
      </c>
      <c r="F57" s="185">
        <f>IF(F56-F24&gt;0,F56-F24,0)</f>
        <v>119512.92000000001</v>
      </c>
    </row>
    <row r="58" spans="1:6" ht="15.75">
      <c r="A58" s="307" t="s">
        <v>171</v>
      </c>
      <c r="B58" s="308"/>
      <c r="C58" s="308"/>
      <c r="D58" s="308"/>
      <c r="E58" s="189"/>
      <c r="F58" s="185">
        <f>ROUND(IF($E$58&gt;0,($F$57*$E$58),0),0)</f>
        <v>0</v>
      </c>
    </row>
    <row r="59" spans="1:7" ht="15.75">
      <c r="A59" s="1"/>
      <c r="B59" s="1"/>
      <c r="C59" s="60">
        <f>'#1comp'!J35</f>
        <v>117406.63129428991</v>
      </c>
      <c r="D59" s="1"/>
      <c r="E59" s="4" t="str">
        <f>CONCATENATE("Amount of ",$F$1-1," Ad Valorem Tax")</f>
        <v>Amount of 2011 Ad Valorem Tax</v>
      </c>
      <c r="F59" s="185">
        <f>SUM(F57:F58)</f>
        <v>119512.92000000001</v>
      </c>
      <c r="G59" s="226">
        <f>C59-F59</f>
        <v>-2106.2887057101034</v>
      </c>
    </row>
    <row r="60" spans="1:6" ht="15.75">
      <c r="A60" s="1"/>
      <c r="B60" s="1"/>
      <c r="C60" s="1"/>
      <c r="D60" s="1"/>
      <c r="E60" s="4"/>
      <c r="F60" s="49"/>
    </row>
    <row r="61" spans="1:6" ht="15.75">
      <c r="A61" s="215">
        <f>sum2!I23</f>
        <v>13649574</v>
      </c>
      <c r="B61" s="1"/>
      <c r="C61" s="1"/>
      <c r="D61" s="1"/>
      <c r="E61" s="225">
        <f>sum2!E23</f>
        <v>8.756</v>
      </c>
      <c r="F61" s="223">
        <f>sum2!$H$23</f>
        <v>8.756</v>
      </c>
    </row>
    <row r="62" spans="1:6" ht="15.75">
      <c r="A62" s="1"/>
      <c r="B62" s="1"/>
      <c r="C62" s="1"/>
      <c r="D62" s="1"/>
      <c r="E62" s="4"/>
      <c r="F62" s="49"/>
    </row>
    <row r="63" spans="1:6" ht="15.75">
      <c r="A63" s="1"/>
      <c r="B63" s="1"/>
      <c r="C63" s="1"/>
      <c r="D63" s="1"/>
      <c r="E63" s="4"/>
      <c r="F63" s="49"/>
    </row>
    <row r="64" spans="1:6" ht="15.75">
      <c r="A64" s="1"/>
      <c r="B64" s="1"/>
      <c r="C64" s="1"/>
      <c r="D64" s="1"/>
      <c r="E64" s="4"/>
      <c r="F64" s="49"/>
    </row>
    <row r="65" spans="1:6" ht="15.75">
      <c r="A65" s="1"/>
      <c r="B65" s="27" t="s">
        <v>78</v>
      </c>
      <c r="C65" s="1"/>
      <c r="D65" s="11"/>
      <c r="E65" s="91"/>
      <c r="F65" s="92"/>
    </row>
    <row r="66" spans="1:6" ht="15.75">
      <c r="A66" s="26"/>
      <c r="B66" s="24" t="s">
        <v>19</v>
      </c>
      <c r="C66" s="1"/>
      <c r="D66" s="89"/>
      <c r="E66" s="93" t="str">
        <f>CONCATENATE("Allocation for Year ",$F$1,"")</f>
        <v>Allocation for Year 2012</v>
      </c>
      <c r="F66" s="90"/>
    </row>
    <row r="67" spans="1:6" ht="15.75">
      <c r="A67" s="50" t="s">
        <v>30</v>
      </c>
      <c r="B67" s="51"/>
      <c r="C67" s="162" t="s">
        <v>172</v>
      </c>
      <c r="D67" s="31" t="s">
        <v>79</v>
      </c>
      <c r="E67" s="31" t="s">
        <v>80</v>
      </c>
      <c r="F67" s="31" t="s">
        <v>81</v>
      </c>
    </row>
    <row r="68" spans="1:6" ht="15.75">
      <c r="A68" s="52" t="s">
        <v>31</v>
      </c>
      <c r="B68" s="105"/>
      <c r="C68" s="107" t="str">
        <f>CONCATENATE("for ",$F$1-1,"")</f>
        <v>for 2011</v>
      </c>
      <c r="D68" s="33" t="s">
        <v>32</v>
      </c>
      <c r="E68" s="33" t="s">
        <v>32</v>
      </c>
      <c r="F68" s="33" t="s">
        <v>32</v>
      </c>
    </row>
    <row r="69" spans="1:6" ht="15.75">
      <c r="A69" s="103" t="s">
        <v>33</v>
      </c>
      <c r="B69" s="109"/>
      <c r="C69" s="36">
        <v>116558</v>
      </c>
      <c r="D69" s="127">
        <f>IF(C69&gt;0,ROUND(+C69*D$77,0)," ")</f>
        <v>19056</v>
      </c>
      <c r="E69" s="127">
        <f>IF(C69&gt;0,ROUND(+C69*E$78,0)," ")</f>
        <v>436</v>
      </c>
      <c r="F69" s="127">
        <f>IF(C69&gt;0,ROUND(+C69*F$79,0)," ")</f>
        <v>1995</v>
      </c>
    </row>
    <row r="70" spans="1:6" ht="15.75">
      <c r="A70" s="53"/>
      <c r="B70" s="102"/>
      <c r="C70" s="108"/>
      <c r="D70" s="127" t="str">
        <f>IF(C70&gt;0,ROUND(+C70*D$77,0)," ")</f>
        <v> </v>
      </c>
      <c r="E70" s="127" t="str">
        <f>IF(C70&gt;0,ROUND(+D70*E$78,0)," ")</f>
        <v> </v>
      </c>
      <c r="F70" s="127" t="str">
        <f>IF(C70&gt;0,ROUND(+E70*F$79,0)," ")</f>
        <v> </v>
      </c>
    </row>
    <row r="71" spans="1:6" ht="15.75">
      <c r="A71" s="34" t="s">
        <v>34</v>
      </c>
      <c r="B71" s="43"/>
      <c r="C71" s="190">
        <f>SUM(C69:C70)</f>
        <v>116558</v>
      </c>
      <c r="D71" s="191">
        <f>SUM(D69:D70)</f>
        <v>19056</v>
      </c>
      <c r="E71" s="191">
        <f>SUM(E69:E70)</f>
        <v>436</v>
      </c>
      <c r="F71" s="191">
        <f>SUM(F69:F70)</f>
        <v>1995</v>
      </c>
    </row>
    <row r="72" spans="1:6" ht="15.75">
      <c r="A72" s="28"/>
      <c r="B72" s="28"/>
      <c r="C72" s="49"/>
      <c r="D72" s="124"/>
      <c r="E72" s="124"/>
      <c r="F72" s="124"/>
    </row>
    <row r="73" spans="1:6" ht="15.75">
      <c r="A73" s="28" t="s">
        <v>83</v>
      </c>
      <c r="B73" s="28"/>
      <c r="C73" s="49"/>
      <c r="D73" s="125">
        <v>19056.09</v>
      </c>
      <c r="E73" s="124"/>
      <c r="F73" s="124"/>
    </row>
    <row r="74" spans="1:6" ht="15.75">
      <c r="A74" s="28" t="s">
        <v>84</v>
      </c>
      <c r="B74" s="28"/>
      <c r="C74" s="49"/>
      <c r="D74" s="124"/>
      <c r="E74" s="125">
        <v>435.52</v>
      </c>
      <c r="F74" s="124"/>
    </row>
    <row r="75" spans="1:6" ht="15.75">
      <c r="A75" s="28" t="s">
        <v>85</v>
      </c>
      <c r="B75" s="28"/>
      <c r="C75" s="49"/>
      <c r="D75" s="124"/>
      <c r="E75" s="124"/>
      <c r="F75" s="125">
        <v>1995.07</v>
      </c>
    </row>
    <row r="76" spans="1:6" ht="15.75">
      <c r="A76" s="1"/>
      <c r="B76" s="1"/>
      <c r="C76" s="1"/>
      <c r="D76" s="93"/>
      <c r="E76" s="93"/>
      <c r="F76" s="93"/>
    </row>
    <row r="77" spans="1:6" ht="15.75">
      <c r="A77" s="1"/>
      <c r="B77" s="1"/>
      <c r="C77" s="1" t="s">
        <v>35</v>
      </c>
      <c r="D77" s="126">
        <f>IF(C71=0,0,D73/C71)</f>
        <v>0.16349019372329657</v>
      </c>
      <c r="E77" s="93"/>
      <c r="F77" s="93"/>
    </row>
    <row r="78" spans="1:6" ht="15.75">
      <c r="A78" s="1"/>
      <c r="B78" s="1"/>
      <c r="C78" s="1"/>
      <c r="D78" s="93" t="s">
        <v>36</v>
      </c>
      <c r="E78" s="126">
        <f>IF(C71=0,0,E74/C71)</f>
        <v>0.0037365088625405376</v>
      </c>
      <c r="F78" s="93"/>
    </row>
    <row r="79" spans="1:6" ht="15.75">
      <c r="A79" s="1"/>
      <c r="B79" s="1"/>
      <c r="C79" s="1"/>
      <c r="D79" s="93"/>
      <c r="E79" s="93" t="s">
        <v>82</v>
      </c>
      <c r="F79" s="126">
        <f>IF(C71=0,0,F75/C71)</f>
        <v>0.017116542837042503</v>
      </c>
    </row>
    <row r="80" spans="1:6" ht="15.75">
      <c r="A80" s="1"/>
      <c r="B80" s="1"/>
      <c r="C80" s="1"/>
      <c r="D80" s="1"/>
      <c r="E80" s="1"/>
      <c r="F80" s="1"/>
    </row>
    <row r="81" spans="1:6" ht="15.75">
      <c r="A81" s="11" t="s">
        <v>266</v>
      </c>
      <c r="B81" s="11"/>
      <c r="C81" s="1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1" t="s">
        <v>266</v>
      </c>
      <c r="B84" s="11"/>
      <c r="C84" s="1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25" t="s">
        <v>37</v>
      </c>
      <c r="C87" s="56"/>
      <c r="D87" s="1"/>
      <c r="E87" s="1"/>
      <c r="F87" s="1"/>
    </row>
  </sheetData>
  <sheetProtection/>
  <mergeCells count="1">
    <mergeCell ref="A58:D58"/>
  </mergeCells>
  <printOptions/>
  <pageMargins left="0.75" right="0.75" top="1" bottom="1" header="0.5" footer="0.5"/>
  <pageSetup blackAndWhite="1" fitToHeight="1" fitToWidth="1" horizontalDpi="600" verticalDpi="600" orientation="portrait" scale="49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1" width="9.140625" style="3" customWidth="1"/>
    <col min="12" max="12" width="10.140625" style="3" bestFit="1" customWidth="1"/>
    <col min="13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'Mayetta Fire #1'!C3</f>
        <v>Mayetta Fire #1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2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  <c r="L4" s="3">
        <v>30960</v>
      </c>
    </row>
    <row r="5" spans="1:12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116558</v>
      </c>
      <c r="L5" s="3">
        <v>461583</v>
      </c>
    </row>
    <row r="6" spans="1:12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  <c r="L6" s="3">
        <v>467021</v>
      </c>
    </row>
    <row r="7" spans="1:12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116558</v>
      </c>
      <c r="L7" s="3">
        <v>67701</v>
      </c>
    </row>
    <row r="8" spans="1:12" ht="15.75">
      <c r="A8" s="1"/>
      <c r="B8" s="1"/>
      <c r="C8" s="1"/>
      <c r="D8" s="1"/>
      <c r="E8" s="60"/>
      <c r="F8" s="60"/>
      <c r="G8" s="60"/>
      <c r="H8" s="63"/>
      <c r="I8" s="63"/>
      <c r="J8" s="63"/>
      <c r="L8" s="3">
        <v>13649574</v>
      </c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f>L4</f>
        <v>30960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f>L5</f>
        <v>461583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f>L6</f>
        <v>467021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f>L7</f>
        <v>67701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98661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f>L8</f>
        <v>13649574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13550913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0.00728076403412818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848.6312942899124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117406.63129428991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117406.63129428991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65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9"/>
  <sheetViews>
    <sheetView zoomScalePageLayoutView="0" workbookViewId="0" topLeftCell="A13">
      <selection activeCell="I43" sqref="I43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cert2!A26</f>
        <v>Jackson County Rural #2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26080.55</v>
      </c>
      <c r="E9" s="20">
        <f>+D36</f>
        <v>16866.899999999965</v>
      </c>
      <c r="F9" s="20">
        <f>+E36</f>
        <v>10635.899999999965</v>
      </c>
    </row>
    <row r="10" spans="1:6" ht="15.75">
      <c r="A10" s="199" t="s">
        <v>14</v>
      </c>
      <c r="B10" s="200"/>
      <c r="C10" s="201"/>
      <c r="D10" s="196"/>
      <c r="E10" s="36">
        <v>23275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2499</v>
      </c>
      <c r="F12" s="20">
        <f>D51</f>
        <v>2390</v>
      </c>
    </row>
    <row r="13" spans="1:6" ht="15.75">
      <c r="A13" s="34" t="s">
        <v>17</v>
      </c>
      <c r="B13" s="35"/>
      <c r="C13" s="201"/>
      <c r="D13" s="196"/>
      <c r="E13" s="36">
        <v>46</v>
      </c>
      <c r="F13" s="20">
        <f>E51</f>
        <v>54</v>
      </c>
    </row>
    <row r="14" spans="1:6" ht="15.75">
      <c r="A14" s="34" t="s">
        <v>86</v>
      </c>
      <c r="B14" s="35"/>
      <c r="C14" s="201"/>
      <c r="D14" s="196"/>
      <c r="E14" s="36">
        <v>557</v>
      </c>
      <c r="F14" s="20">
        <f>F51</f>
        <v>663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313</v>
      </c>
      <c r="B17" s="38"/>
      <c r="C17" s="202"/>
      <c r="D17" s="196">
        <v>24543.47</v>
      </c>
      <c r="E17" s="36" t="s">
        <v>19</v>
      </c>
      <c r="F17" s="36" t="s">
        <v>19</v>
      </c>
    </row>
    <row r="18" spans="1:6" ht="15.75">
      <c r="A18" s="39" t="s">
        <v>314</v>
      </c>
      <c r="B18" s="38"/>
      <c r="C18" s="202"/>
      <c r="D18" s="196">
        <f>20710+9263+228000+2180</f>
        <v>260153</v>
      </c>
      <c r="E18" s="36"/>
      <c r="F18" s="36"/>
    </row>
    <row r="19" spans="1:6" ht="15.75">
      <c r="A19" s="39" t="s">
        <v>315</v>
      </c>
      <c r="B19" s="38"/>
      <c r="C19" s="202"/>
      <c r="D19" s="196">
        <v>250</v>
      </c>
      <c r="E19" s="36"/>
      <c r="F19" s="36"/>
    </row>
    <row r="20" spans="1:6" ht="15.75">
      <c r="A20" s="37" t="s">
        <v>316</v>
      </c>
      <c r="B20" s="38"/>
      <c r="C20" s="202"/>
      <c r="D20" s="196">
        <v>1215</v>
      </c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286161.47</v>
      </c>
      <c r="E23" s="184">
        <f>SUM(E10:E22)</f>
        <v>26377</v>
      </c>
      <c r="F23" s="184">
        <f>SUM(F10:F22)</f>
        <v>3107</v>
      </c>
    </row>
    <row r="24" spans="1:6" ht="15.75">
      <c r="A24" s="42" t="s">
        <v>23</v>
      </c>
      <c r="B24" s="35"/>
      <c r="C24" s="201"/>
      <c r="D24" s="197">
        <f>+D9+D23</f>
        <v>312242.01999999996</v>
      </c>
      <c r="E24" s="184">
        <f>+E9+E23</f>
        <v>43243.899999999965</v>
      </c>
      <c r="F24" s="184">
        <f>+F9+F23</f>
        <v>13742.899999999965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317</v>
      </c>
      <c r="B26" s="38"/>
      <c r="C26" s="202"/>
      <c r="D26" s="196">
        <v>10438.35</v>
      </c>
      <c r="E26" s="36">
        <v>12000</v>
      </c>
      <c r="F26" s="36">
        <v>12000</v>
      </c>
    </row>
    <row r="27" spans="1:6" ht="15.75">
      <c r="A27" s="40" t="s">
        <v>282</v>
      </c>
      <c r="B27" s="38"/>
      <c r="C27" s="202"/>
      <c r="D27" s="196">
        <v>855.56</v>
      </c>
      <c r="E27" s="36">
        <v>4508</v>
      </c>
      <c r="F27" s="36">
        <v>4508</v>
      </c>
    </row>
    <row r="28" spans="1:6" ht="15.75">
      <c r="A28" s="40" t="s">
        <v>318</v>
      </c>
      <c r="B28" s="38"/>
      <c r="C28" s="202"/>
      <c r="D28" s="196">
        <v>275867</v>
      </c>
      <c r="E28" s="36">
        <v>6100</v>
      </c>
      <c r="F28" s="36">
        <v>6100</v>
      </c>
    </row>
    <row r="29" spans="1:6" ht="15.75">
      <c r="A29" s="40" t="s">
        <v>319</v>
      </c>
      <c r="B29" s="38"/>
      <c r="C29" s="202"/>
      <c r="D29" s="196">
        <v>2384.21</v>
      </c>
      <c r="E29" s="36">
        <v>3000</v>
      </c>
      <c r="F29" s="36">
        <v>3000</v>
      </c>
    </row>
    <row r="30" spans="1:6" ht="15.75">
      <c r="A30" s="37" t="s">
        <v>264</v>
      </c>
      <c r="B30" s="38"/>
      <c r="C30" s="202"/>
      <c r="D30" s="196">
        <v>5830</v>
      </c>
      <c r="E30" s="36">
        <v>7000</v>
      </c>
      <c r="F30" s="36">
        <v>7000</v>
      </c>
    </row>
    <row r="31" spans="1:6" ht="15.75">
      <c r="A31" s="37" t="s">
        <v>320</v>
      </c>
      <c r="B31" s="38"/>
      <c r="C31" s="202"/>
      <c r="D31" s="196"/>
      <c r="E31" s="36"/>
      <c r="F31" s="36">
        <v>4540</v>
      </c>
    </row>
    <row r="32" spans="1:6" ht="15.75">
      <c r="A32" s="37" t="s">
        <v>300</v>
      </c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7" ht="15.75">
      <c r="A35" s="42" t="s">
        <v>25</v>
      </c>
      <c r="B35" s="35"/>
      <c r="C35" s="201"/>
      <c r="D35" s="197">
        <f>SUM(D26:D34)</f>
        <v>295375.12</v>
      </c>
      <c r="E35" s="184">
        <f>SUM(E26:E34)</f>
        <v>32608</v>
      </c>
      <c r="F35" s="184">
        <f>SUM(F26:F34)</f>
        <v>37148</v>
      </c>
      <c r="G35" s="224"/>
    </row>
    <row r="36" spans="1:6" ht="15.75">
      <c r="A36" s="34" t="s">
        <v>26</v>
      </c>
      <c r="B36" s="43"/>
      <c r="C36" s="201"/>
      <c r="D36" s="185">
        <f>+D24-D35</f>
        <v>16866.899999999965</v>
      </c>
      <c r="E36" s="185">
        <f>+E24-E35</f>
        <v>10635.899999999965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37148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23405.100000000035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8" ht="15.75">
      <c r="A41" s="1"/>
      <c r="B41" s="1"/>
      <c r="C41" s="60">
        <f>'#2Comp'!J35</f>
        <v>23405.23484856009</v>
      </c>
      <c r="D41" s="1"/>
      <c r="E41" s="4" t="str">
        <f>CONCATENATE("Amount of ",$F$1-1," Ad Valorem Tax")</f>
        <v>Amount of 2011 Ad Valorem Tax</v>
      </c>
      <c r="F41" s="185">
        <f>SUM(F39:F40)</f>
        <v>23405.100000000035</v>
      </c>
      <c r="H41" s="224"/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223">
        <f>sum2!$H$24</f>
        <v>4.055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23275</v>
      </c>
      <c r="D51" s="127">
        <f>IF(C51&gt;0,ROUND(+C51*D$59,0)," ")</f>
        <v>2390</v>
      </c>
      <c r="E51" s="127">
        <f>IF(C51&gt;0,ROUND(+C51*E$60,0)," ")</f>
        <v>54</v>
      </c>
      <c r="F51" s="127">
        <f>IF(C51&gt;0,ROUND(+C51*F$61,0)," ")</f>
        <v>663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23275</v>
      </c>
      <c r="D53" s="191">
        <f>SUM(D51:D52)</f>
        <v>2390</v>
      </c>
      <c r="E53" s="191">
        <f>SUM(E51:E52)</f>
        <v>54</v>
      </c>
      <c r="F53" s="191">
        <f>SUM(F51:F52)</f>
        <v>663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f>2249.19+141.11</f>
        <v>2390.3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53.78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f>624.96+37.64</f>
        <v>662.6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0.1026981740064447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0.0023106337271750804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0.02846831364124597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1" t="s">
        <v>266</v>
      </c>
      <c r="B63" s="1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1" t="s">
        <v>266</v>
      </c>
      <c r="B65" s="1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8">
      <selection activeCell="J41" sqref="A1:J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'SoldierFire #2'!C3</f>
        <v>Jackson County Rural #2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23275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23275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5183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73374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78396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26931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32114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f>4882026+889361</f>
        <v>5771387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5739273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0.005595482215256183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130.23484856008767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23405.23484856009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23405.23484856009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 you must")</f>
        <v>If the 2012 budget includes tax levies exceeding the total on line 14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7">
      <selection activeCell="B67" sqref="B67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321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24564.72</v>
      </c>
      <c r="C9" s="20">
        <f>B35</f>
        <v>22280.81</v>
      </c>
      <c r="D9" s="20">
        <f>C35</f>
        <v>22280.81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>
        <v>116.09</v>
      </c>
      <c r="C18" s="36"/>
      <c r="D18" s="36"/>
    </row>
    <row r="19" spans="1:4" ht="15.75">
      <c r="A19" s="122" t="s">
        <v>22</v>
      </c>
      <c r="B19" s="184">
        <f>SUM(B12:B18)</f>
        <v>116.09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24680.81</v>
      </c>
      <c r="C20" s="184">
        <f>C9+C19</f>
        <v>22280.81</v>
      </c>
      <c r="D20" s="184">
        <f>D9+D19</f>
        <v>22280.81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322</v>
      </c>
      <c r="B22" s="36">
        <v>1215</v>
      </c>
      <c r="C22" s="36"/>
      <c r="D22" s="36"/>
    </row>
    <row r="23" spans="1:4" ht="15.75">
      <c r="A23" s="53" t="s">
        <v>323</v>
      </c>
      <c r="B23" s="36">
        <v>1185</v>
      </c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2400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22280.81</v>
      </c>
      <c r="C35" s="185">
        <f>C20-C34</f>
        <v>22280.81</v>
      </c>
      <c r="D35" s="185">
        <f>D20-D34</f>
        <v>22280.81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329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167165</v>
      </c>
      <c r="C57" s="20">
        <f>B83</f>
        <v>187978.83000000002</v>
      </c>
      <c r="D57" s="20">
        <f>C83</f>
        <v>187978.83000000002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 t="s">
        <v>420</v>
      </c>
      <c r="B59" s="36">
        <v>15060.93</v>
      </c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>
        <v>5752.9</v>
      </c>
      <c r="C66" s="36"/>
      <c r="D66" s="36"/>
    </row>
    <row r="67" spans="1:4" ht="15.75">
      <c r="A67" s="122" t="s">
        <v>22</v>
      </c>
      <c r="B67" s="184">
        <f>SUM(B59:B66)</f>
        <v>20813.83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187978.83000000002</v>
      </c>
      <c r="C68" s="184">
        <f>C57+C67</f>
        <v>187978.83000000002</v>
      </c>
      <c r="D68" s="184">
        <f>D57+D67</f>
        <v>187978.83000000002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187978.83000000002</v>
      </c>
      <c r="C83" s="185">
        <f>C68-C82</f>
        <v>187978.83000000002</v>
      </c>
      <c r="D83" s="185">
        <f>D68-D82</f>
        <v>187978.83000000002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 sheet="1" objects="1" scenarios="1"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8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cert2!A27</f>
        <v>Douglas #3 General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4721.61</v>
      </c>
      <c r="E9" s="20">
        <f>+D51</f>
        <v>5962.759999999995</v>
      </c>
      <c r="F9" s="20">
        <f>+E51</f>
        <v>-0.1900000000023283</v>
      </c>
    </row>
    <row r="10" spans="1:6" ht="15.75">
      <c r="A10" s="199" t="s">
        <v>14</v>
      </c>
      <c r="B10" s="200"/>
      <c r="C10" s="201"/>
      <c r="D10" s="196"/>
      <c r="E10" s="36">
        <v>92475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5852</v>
      </c>
      <c r="F12" s="20">
        <f>D66</f>
        <v>15214</v>
      </c>
    </row>
    <row r="13" spans="1:6" ht="15.75">
      <c r="A13" s="34" t="s">
        <v>17</v>
      </c>
      <c r="B13" s="35"/>
      <c r="C13" s="201"/>
      <c r="D13" s="196"/>
      <c r="E13" s="36">
        <v>428.63</v>
      </c>
      <c r="F13" s="20">
        <f>E66</f>
        <v>470</v>
      </c>
    </row>
    <row r="14" spans="1:6" ht="15.75">
      <c r="A14" s="34" t="s">
        <v>86</v>
      </c>
      <c r="B14" s="35"/>
      <c r="C14" s="201"/>
      <c r="D14" s="196"/>
      <c r="E14" s="36">
        <v>891</v>
      </c>
      <c r="F14" s="20">
        <f>F66</f>
        <v>1020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313</v>
      </c>
      <c r="B17" s="38"/>
      <c r="C17" s="202"/>
      <c r="D17" s="196">
        <v>105378.84</v>
      </c>
      <c r="E17" s="36" t="s">
        <v>19</v>
      </c>
      <c r="F17" s="36" t="s">
        <v>19</v>
      </c>
    </row>
    <row r="18" spans="1:6" ht="15.75">
      <c r="A18" s="39" t="s">
        <v>369</v>
      </c>
      <c r="B18" s="38"/>
      <c r="C18" s="202"/>
      <c r="D18" s="196">
        <v>100</v>
      </c>
      <c r="E18" s="36"/>
      <c r="F18" s="36"/>
    </row>
    <row r="19" spans="1:6" ht="15.75">
      <c r="A19" s="39" t="s">
        <v>265</v>
      </c>
      <c r="B19" s="38"/>
      <c r="C19" s="202"/>
      <c r="D19" s="196">
        <v>100</v>
      </c>
      <c r="E19" s="36"/>
      <c r="F19" s="36"/>
    </row>
    <row r="20" spans="1:6" ht="15.75">
      <c r="A20" s="37" t="s">
        <v>341</v>
      </c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130.49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105709.33</v>
      </c>
      <c r="E23" s="184">
        <f>SUM(E10:E22)</f>
        <v>99646.63</v>
      </c>
      <c r="F23" s="184">
        <f>SUM(F10:F22)</f>
        <v>16704</v>
      </c>
    </row>
    <row r="24" spans="1:6" ht="15.75">
      <c r="A24" s="42" t="s">
        <v>23</v>
      </c>
      <c r="B24" s="35"/>
      <c r="C24" s="201"/>
      <c r="D24" s="197">
        <f>+D9+D23</f>
        <v>110430.94</v>
      </c>
      <c r="E24" s="184">
        <f>+E9+E23</f>
        <v>105609.39</v>
      </c>
      <c r="F24" s="184">
        <f>+F9+F23</f>
        <v>16703.809999999998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370</v>
      </c>
      <c r="B26" s="38"/>
      <c r="C26" s="202"/>
      <c r="D26" s="196">
        <v>250</v>
      </c>
      <c r="E26" s="196">
        <v>250</v>
      </c>
      <c r="F26" s="196">
        <v>250</v>
      </c>
    </row>
    <row r="27" spans="1:6" ht="15.75">
      <c r="A27" s="40" t="s">
        <v>385</v>
      </c>
      <c r="B27" s="38"/>
      <c r="C27" s="202"/>
      <c r="D27" s="196">
        <v>600</v>
      </c>
      <c r="E27" s="196">
        <v>600</v>
      </c>
      <c r="F27" s="196">
        <v>600</v>
      </c>
    </row>
    <row r="28" spans="1:6" ht="15.75">
      <c r="A28" s="40" t="s">
        <v>336</v>
      </c>
      <c r="B28" s="38"/>
      <c r="C28" s="202"/>
      <c r="D28" s="196">
        <v>3302.12</v>
      </c>
      <c r="E28" s="196">
        <v>3302.12</v>
      </c>
      <c r="F28" s="196">
        <v>3302.12</v>
      </c>
    </row>
    <row r="29" spans="1:6" ht="15.75">
      <c r="A29" s="40" t="s">
        <v>371</v>
      </c>
      <c r="B29" s="38"/>
      <c r="C29" s="202"/>
      <c r="D29" s="196">
        <v>16197.3</v>
      </c>
      <c r="E29" s="196">
        <v>16197.3</v>
      </c>
      <c r="F29" s="196">
        <v>16197.3</v>
      </c>
    </row>
    <row r="30" spans="1:6" ht="15.75">
      <c r="A30" s="40" t="s">
        <v>344</v>
      </c>
      <c r="B30" s="38"/>
      <c r="C30" s="202"/>
      <c r="D30" s="196">
        <v>140</v>
      </c>
      <c r="E30" s="196">
        <v>140</v>
      </c>
      <c r="F30" s="196">
        <v>140</v>
      </c>
    </row>
    <row r="31" spans="1:6" ht="15.75">
      <c r="A31" s="40" t="s">
        <v>372</v>
      </c>
      <c r="B31" s="38"/>
      <c r="C31" s="202"/>
      <c r="D31" s="196">
        <v>600</v>
      </c>
      <c r="E31" s="196">
        <v>600</v>
      </c>
      <c r="F31" s="196">
        <v>600</v>
      </c>
    </row>
    <row r="32" spans="1:6" ht="15.75">
      <c r="A32" s="40" t="s">
        <v>373</v>
      </c>
      <c r="B32" s="38"/>
      <c r="C32" s="202"/>
      <c r="D32" s="196">
        <v>6137.98</v>
      </c>
      <c r="E32" s="196">
        <v>6137.98</v>
      </c>
      <c r="F32" s="196">
        <v>6137.98</v>
      </c>
    </row>
    <row r="33" spans="1:6" ht="15.75">
      <c r="A33" s="40" t="s">
        <v>374</v>
      </c>
      <c r="B33" s="38"/>
      <c r="C33" s="202"/>
      <c r="D33" s="196">
        <v>5150.66</v>
      </c>
      <c r="E33" s="196">
        <v>5150.66</v>
      </c>
      <c r="F33" s="196">
        <v>5150.66</v>
      </c>
    </row>
    <row r="34" spans="1:6" ht="15.75">
      <c r="A34" s="40" t="s">
        <v>375</v>
      </c>
      <c r="B34" s="38"/>
      <c r="C34" s="202"/>
      <c r="D34" s="196">
        <v>26092</v>
      </c>
      <c r="E34" s="196">
        <v>26092</v>
      </c>
      <c r="F34" s="196">
        <v>26092</v>
      </c>
    </row>
    <row r="35" spans="1:6" ht="15.75">
      <c r="A35" s="37" t="s">
        <v>325</v>
      </c>
      <c r="B35" s="38"/>
      <c r="C35" s="202"/>
      <c r="D35" s="196">
        <v>22924.6</v>
      </c>
      <c r="E35" s="196">
        <v>24066</v>
      </c>
      <c r="F35" s="196">
        <v>28733</v>
      </c>
    </row>
    <row r="36" spans="1:6" ht="15.75">
      <c r="A36" s="37" t="s">
        <v>376</v>
      </c>
      <c r="B36" s="38"/>
      <c r="C36" s="202"/>
      <c r="D36" s="196">
        <v>1200</v>
      </c>
      <c r="E36" s="196">
        <v>1200</v>
      </c>
      <c r="F36" s="196">
        <v>1200</v>
      </c>
    </row>
    <row r="37" spans="1:6" ht="15.75">
      <c r="A37" s="37" t="s">
        <v>377</v>
      </c>
      <c r="B37" s="38"/>
      <c r="C37" s="202"/>
      <c r="D37" s="196">
        <v>11116.22</v>
      </c>
      <c r="E37" s="196">
        <v>11116.22</v>
      </c>
      <c r="F37" s="196">
        <v>11116.22</v>
      </c>
    </row>
    <row r="38" spans="1:6" ht="15.75">
      <c r="A38" s="37" t="s">
        <v>264</v>
      </c>
      <c r="B38" s="38"/>
      <c r="C38" s="202"/>
      <c r="D38" s="196">
        <v>5614</v>
      </c>
      <c r="E38" s="196">
        <v>5614</v>
      </c>
      <c r="F38" s="196">
        <v>5614</v>
      </c>
    </row>
    <row r="39" spans="1:6" ht="15.75">
      <c r="A39" s="37" t="s">
        <v>378</v>
      </c>
      <c r="B39" s="38"/>
      <c r="C39" s="202"/>
      <c r="D39" s="196">
        <v>600</v>
      </c>
      <c r="E39" s="196">
        <v>600</v>
      </c>
      <c r="F39" s="196">
        <v>600</v>
      </c>
    </row>
    <row r="40" spans="1:6" ht="15.75">
      <c r="A40" s="37" t="s">
        <v>263</v>
      </c>
      <c r="B40" s="38"/>
      <c r="C40" s="202"/>
      <c r="D40" s="196">
        <v>1000</v>
      </c>
      <c r="E40" s="196">
        <v>1000</v>
      </c>
      <c r="F40" s="196">
        <v>1000</v>
      </c>
    </row>
    <row r="41" spans="1:6" ht="15.75">
      <c r="A41" s="37" t="s">
        <v>379</v>
      </c>
      <c r="B41" s="38"/>
      <c r="C41" s="202"/>
      <c r="D41" s="196">
        <v>-35.15</v>
      </c>
      <c r="E41" s="196">
        <v>-35.15</v>
      </c>
      <c r="F41" s="196">
        <v>100</v>
      </c>
    </row>
    <row r="42" spans="1:6" ht="15.75">
      <c r="A42" s="37" t="s">
        <v>380</v>
      </c>
      <c r="B42" s="38"/>
      <c r="C42" s="202"/>
      <c r="D42" s="196">
        <v>650</v>
      </c>
      <c r="E42" s="196">
        <v>650</v>
      </c>
      <c r="F42" s="196">
        <v>650</v>
      </c>
    </row>
    <row r="43" spans="1:6" ht="15.75">
      <c r="A43" s="37" t="s">
        <v>381</v>
      </c>
      <c r="B43" s="38"/>
      <c r="C43" s="202"/>
      <c r="D43" s="196">
        <v>14</v>
      </c>
      <c r="E43" s="196">
        <v>14</v>
      </c>
      <c r="F43" s="196">
        <v>14</v>
      </c>
    </row>
    <row r="44" spans="1:6" ht="15.75">
      <c r="A44" s="37" t="s">
        <v>339</v>
      </c>
      <c r="B44" s="38"/>
      <c r="C44" s="202"/>
      <c r="D44" s="196">
        <v>563.55</v>
      </c>
      <c r="E44" s="196">
        <v>563.55</v>
      </c>
      <c r="F44" s="196">
        <v>563.55</v>
      </c>
    </row>
    <row r="45" spans="1:6" ht="15.75">
      <c r="A45" s="37" t="s">
        <v>327</v>
      </c>
      <c r="B45" s="38"/>
      <c r="C45" s="202"/>
      <c r="D45" s="196">
        <v>957.62</v>
      </c>
      <c r="E45" s="196">
        <v>957.62</v>
      </c>
      <c r="F45" s="196">
        <v>957.62</v>
      </c>
    </row>
    <row r="46" spans="1:6" ht="15.75">
      <c r="A46" s="37" t="s">
        <v>382</v>
      </c>
      <c r="B46" s="38"/>
      <c r="C46" s="202"/>
      <c r="D46" s="196">
        <v>735.88</v>
      </c>
      <c r="E46" s="196">
        <v>735.88</v>
      </c>
      <c r="F46" s="196">
        <v>735.88</v>
      </c>
    </row>
    <row r="47" spans="1:6" ht="15.75">
      <c r="A47" s="37" t="s">
        <v>383</v>
      </c>
      <c r="B47" s="38"/>
      <c r="C47" s="202"/>
      <c r="D47" s="196">
        <v>657.4</v>
      </c>
      <c r="E47" s="196">
        <v>657.4</v>
      </c>
      <c r="F47" s="196">
        <v>657.4</v>
      </c>
    </row>
    <row r="48" spans="1:6" ht="15.75">
      <c r="A48" s="37" t="s">
        <v>384</v>
      </c>
      <c r="B48" s="38"/>
      <c r="C48" s="202"/>
      <c r="E48" s="36"/>
      <c r="F48" s="36"/>
    </row>
    <row r="49" spans="1:6" ht="15.75">
      <c r="A49" s="37"/>
      <c r="B49" s="38"/>
      <c r="C49" s="202"/>
      <c r="D49" s="196"/>
      <c r="E49" s="36"/>
      <c r="F49" s="36"/>
    </row>
    <row r="50" spans="1:7" ht="15.75">
      <c r="A50" s="42" t="s">
        <v>25</v>
      </c>
      <c r="B50" s="35"/>
      <c r="C50" s="201"/>
      <c r="D50" s="197">
        <f>SUM(D26:D49)</f>
        <v>104468.18000000001</v>
      </c>
      <c r="E50" s="184">
        <f>SUM(E26:E49)</f>
        <v>105609.58</v>
      </c>
      <c r="F50" s="184">
        <f>SUM(F26:F49)</f>
        <v>110411.73</v>
      </c>
      <c r="G50" s="224"/>
    </row>
    <row r="51" spans="1:6" ht="15.75">
      <c r="A51" s="34" t="s">
        <v>26</v>
      </c>
      <c r="B51" s="43"/>
      <c r="C51" s="205"/>
      <c r="D51" s="185">
        <f>+D24-D50</f>
        <v>5962.759999999995</v>
      </c>
      <c r="E51" s="185">
        <f>+E24-E50</f>
        <v>-0.1900000000023283</v>
      </c>
      <c r="F51" s="19" t="s">
        <v>6</v>
      </c>
    </row>
    <row r="52" spans="1:7" ht="15.75">
      <c r="A52" s="1"/>
      <c r="B52" s="1"/>
      <c r="C52" s="1"/>
      <c r="D52" s="45"/>
      <c r="E52" s="46" t="s">
        <v>27</v>
      </c>
      <c r="F52" s="16"/>
      <c r="G52" s="194">
        <f>IF(F50/0.95-F50&lt;F52,"Exceeds 5%","")</f>
      </c>
    </row>
    <row r="53" spans="1:6" ht="15.75">
      <c r="A53" s="1"/>
      <c r="B53" s="25"/>
      <c r="C53" s="1"/>
      <c r="D53" s="45"/>
      <c r="E53" s="46" t="s">
        <v>28</v>
      </c>
      <c r="F53" s="20">
        <f>+F50+F52</f>
        <v>110411.73</v>
      </c>
    </row>
    <row r="54" spans="1:6" ht="15.75">
      <c r="A54" s="1"/>
      <c r="B54" s="1"/>
      <c r="C54" s="1"/>
      <c r="D54" s="1"/>
      <c r="E54" s="4" t="s">
        <v>29</v>
      </c>
      <c r="F54" s="185">
        <f>IF(F53-F24&gt;0,F53-F24,0)</f>
        <v>93707.92</v>
      </c>
    </row>
    <row r="55" spans="1:6" ht="15.75">
      <c r="A55" s="307" t="s">
        <v>171</v>
      </c>
      <c r="B55" s="308"/>
      <c r="C55" s="308"/>
      <c r="D55" s="308"/>
      <c r="E55" s="189"/>
      <c r="F55" s="185">
        <f>ROUND(IF($E$55&gt;0,($F$54*$E$55),0),0)</f>
        <v>0</v>
      </c>
    </row>
    <row r="56" spans="1:7" ht="15.75">
      <c r="A56" s="1"/>
      <c r="B56" s="1"/>
      <c r="C56" s="60">
        <f>Comp18!J35</f>
        <v>93707.68897195405</v>
      </c>
      <c r="D56" s="1"/>
      <c r="E56" s="4" t="str">
        <f>CONCATENATE("Amount of ",$F$1-1," Ad Valorem Tax")</f>
        <v>Amount of 2011 Ad Valorem Tax</v>
      </c>
      <c r="F56" s="185">
        <f>SUM(F54:F55)</f>
        <v>93707.92</v>
      </c>
      <c r="G56" s="224">
        <f>C56-F56</f>
        <v>-0.23102804594964255</v>
      </c>
    </row>
    <row r="57" spans="1:6" ht="15.75">
      <c r="A57" s="1"/>
      <c r="B57" s="1"/>
      <c r="C57" s="1"/>
      <c r="D57" s="1"/>
      <c r="E57" s="4"/>
      <c r="F57" s="49"/>
    </row>
    <row r="58" spans="1:6" ht="15.75">
      <c r="A58" s="215">
        <f>sum2!I25</f>
        <v>16570605</v>
      </c>
      <c r="B58" s="1"/>
      <c r="C58" s="1"/>
      <c r="D58" s="1"/>
      <c r="E58" s="225">
        <f>sum2!E25</f>
        <v>5.752</v>
      </c>
      <c r="F58" s="223">
        <f>sum2!H25</f>
        <v>5.655</v>
      </c>
    </row>
    <row r="59" spans="1:6" ht="15.75">
      <c r="A59" s="1"/>
      <c r="B59" s="1"/>
      <c r="C59" s="1"/>
      <c r="D59" s="1"/>
      <c r="E59" s="4"/>
      <c r="F59" s="49"/>
    </row>
    <row r="60" spans="1:6" ht="15.75">
      <c r="A60" s="1"/>
      <c r="B60" s="1"/>
      <c r="C60" s="1"/>
      <c r="D60" s="1"/>
      <c r="E60" s="4"/>
      <c r="F60" s="49"/>
    </row>
    <row r="61" spans="1:6" ht="15.75">
      <c r="A61" s="1"/>
      <c r="B61" s="1"/>
      <c r="C61" s="1"/>
      <c r="D61" s="1"/>
      <c r="E61" s="4"/>
      <c r="F61" s="49"/>
    </row>
    <row r="62" spans="1:6" ht="15.75">
      <c r="A62" s="1"/>
      <c r="B62" s="27" t="s">
        <v>78</v>
      </c>
      <c r="C62" s="1"/>
      <c r="D62" s="11"/>
      <c r="E62" s="91"/>
      <c r="F62" s="92"/>
    </row>
    <row r="63" spans="1:6" ht="15.75">
      <c r="A63" s="26"/>
      <c r="B63" s="24" t="s">
        <v>19</v>
      </c>
      <c r="C63" s="1"/>
      <c r="D63" s="89"/>
      <c r="E63" s="93" t="str">
        <f>CONCATENATE("Allocation for Year ",$F$1,"")</f>
        <v>Allocation for Year 2012</v>
      </c>
      <c r="F63" s="90"/>
    </row>
    <row r="64" spans="1:6" ht="15.75">
      <c r="A64" s="50" t="s">
        <v>30</v>
      </c>
      <c r="B64" s="51"/>
      <c r="C64" s="162" t="s">
        <v>172</v>
      </c>
      <c r="D64" s="31" t="s">
        <v>79</v>
      </c>
      <c r="E64" s="31" t="s">
        <v>80</v>
      </c>
      <c r="F64" s="31" t="s">
        <v>81</v>
      </c>
    </row>
    <row r="65" spans="1:6" ht="15.75">
      <c r="A65" s="52" t="s">
        <v>31</v>
      </c>
      <c r="B65" s="105"/>
      <c r="C65" s="107" t="str">
        <f>CONCATENATE("for ",$F$1-1,"")</f>
        <v>for 2011</v>
      </c>
      <c r="D65" s="33" t="s">
        <v>32</v>
      </c>
      <c r="E65" s="33" t="s">
        <v>32</v>
      </c>
      <c r="F65" s="33" t="s">
        <v>32</v>
      </c>
    </row>
    <row r="66" spans="1:6" ht="15.75">
      <c r="A66" s="103" t="s">
        <v>33</v>
      </c>
      <c r="B66" s="109"/>
      <c r="C66" s="36">
        <v>92475</v>
      </c>
      <c r="D66" s="127">
        <f>IF(C66&gt;0,ROUND(+C66*D$74,0)," ")</f>
        <v>15214</v>
      </c>
      <c r="E66" s="127">
        <f>IF(C66&gt;0,ROUND(+C66*E$75,0)," ")</f>
        <v>470</v>
      </c>
      <c r="F66" s="127">
        <f>IF(C66&gt;0,ROUND(+C66*F$76,0)," ")</f>
        <v>1020</v>
      </c>
    </row>
    <row r="67" spans="1:6" ht="15.75">
      <c r="A67" s="53"/>
      <c r="B67" s="102"/>
      <c r="C67" s="108"/>
      <c r="D67" s="127" t="str">
        <f>IF(C67&gt;0,ROUND(+C67*D$74,0)," ")</f>
        <v> </v>
      </c>
      <c r="E67" s="127" t="str">
        <f>IF(C67&gt;0,ROUND(+D67*E$75,0)," ")</f>
        <v> </v>
      </c>
      <c r="F67" s="127" t="str">
        <f>IF(C67&gt;0,ROUND(+E67*F$76,0)," ")</f>
        <v> </v>
      </c>
    </row>
    <row r="68" spans="1:6" ht="15.75">
      <c r="A68" s="34" t="s">
        <v>34</v>
      </c>
      <c r="B68" s="43"/>
      <c r="C68" s="190">
        <f>SUM(C66:C67)</f>
        <v>92475</v>
      </c>
      <c r="D68" s="191">
        <f>SUM(D66:D67)</f>
        <v>15214</v>
      </c>
      <c r="E68" s="191">
        <f>SUM(E66:E67)</f>
        <v>470</v>
      </c>
      <c r="F68" s="191">
        <f>SUM(F66:F67)</f>
        <v>1020</v>
      </c>
    </row>
    <row r="69" spans="1:6" ht="15.75">
      <c r="A69" s="28"/>
      <c r="B69" s="28"/>
      <c r="C69" s="49"/>
      <c r="D69" s="124"/>
      <c r="E69" s="124"/>
      <c r="F69" s="124"/>
    </row>
    <row r="70" spans="1:6" ht="15.75">
      <c r="A70" s="28" t="s">
        <v>83</v>
      </c>
      <c r="B70" s="28"/>
      <c r="C70" s="49"/>
      <c r="D70" s="125">
        <v>15214.37</v>
      </c>
      <c r="E70" s="124"/>
      <c r="F70" s="124"/>
    </row>
    <row r="71" spans="1:6" ht="15.75">
      <c r="A71" s="28" t="s">
        <v>84</v>
      </c>
      <c r="B71" s="28"/>
      <c r="C71" s="49"/>
      <c r="D71" s="124"/>
      <c r="E71" s="125">
        <v>470.23</v>
      </c>
      <c r="F71" s="124"/>
    </row>
    <row r="72" spans="1:6" ht="15.75">
      <c r="A72" s="28" t="s">
        <v>85</v>
      </c>
      <c r="B72" s="28"/>
      <c r="C72" s="49"/>
      <c r="D72" s="124"/>
      <c r="E72" s="124"/>
      <c r="F72" s="125">
        <v>1019.82</v>
      </c>
    </row>
    <row r="73" spans="1:6" ht="15.75">
      <c r="A73" s="1"/>
      <c r="B73" s="1"/>
      <c r="C73" s="1"/>
      <c r="D73" s="93"/>
      <c r="E73" s="93"/>
      <c r="F73" s="93"/>
    </row>
    <row r="74" spans="1:6" ht="15.75">
      <c r="A74" s="1"/>
      <c r="B74" s="1"/>
      <c r="C74" s="1" t="s">
        <v>35</v>
      </c>
      <c r="D74" s="126">
        <f>IF(C68=0,0,D70/C68)</f>
        <v>0.16452414165990809</v>
      </c>
      <c r="E74" s="93"/>
      <c r="F74" s="93"/>
    </row>
    <row r="75" spans="1:6" ht="15.75">
      <c r="A75" s="1"/>
      <c r="B75" s="1"/>
      <c r="C75" s="1"/>
      <c r="D75" s="93" t="s">
        <v>36</v>
      </c>
      <c r="E75" s="126">
        <f>IF(C68=0,0,E71/C68)</f>
        <v>0.005084941876182752</v>
      </c>
      <c r="F75" s="93"/>
    </row>
    <row r="76" spans="1:6" ht="15.75">
      <c r="A76" s="1"/>
      <c r="B76" s="1"/>
      <c r="C76" s="1"/>
      <c r="D76" s="93"/>
      <c r="E76" s="93" t="s">
        <v>82</v>
      </c>
      <c r="F76" s="126">
        <f>IF(C68=0,0,F72/C68)</f>
        <v>0.011028061638280616</v>
      </c>
    </row>
    <row r="77" spans="1:6" ht="15.75">
      <c r="A77" s="11" t="s">
        <v>266</v>
      </c>
      <c r="B77" s="11"/>
      <c r="C77" s="1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1" t="s">
        <v>266</v>
      </c>
      <c r="B79" s="11"/>
      <c r="C79" s="1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1" t="s">
        <v>266</v>
      </c>
      <c r="B81" s="11"/>
      <c r="C81" s="1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25" t="s">
        <v>37</v>
      </c>
      <c r="C84" s="56"/>
      <c r="D84" s="1"/>
      <c r="E84" s="1"/>
      <c r="F84" s="1"/>
    </row>
  </sheetData>
  <sheetProtection/>
  <mergeCells count="1">
    <mergeCell ref="A55:D55"/>
  </mergeCells>
  <printOptions/>
  <pageMargins left="0.75" right="0.75" top="1" bottom="1" header="0.5" footer="0.5"/>
  <pageSetup blackAndWhite="1" fitToHeight="1" fitToWidth="1" horizontalDpi="600" verticalDpi="600" orientation="portrait" scale="50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9"/>
  <sheetViews>
    <sheetView tabSelected="1" zoomScalePageLayoutView="0" workbookViewId="0" topLeftCell="A23">
      <selection activeCell="I32" sqref="I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68" t="str">
        <f>input!E3</f>
        <v>Jackson County</v>
      </c>
      <c r="D2" s="169"/>
      <c r="E2" s="1"/>
      <c r="F2" s="1"/>
    </row>
    <row r="3" spans="1:6" ht="15.75">
      <c r="A3" s="25" t="s">
        <v>8</v>
      </c>
      <c r="B3" s="25"/>
      <c r="C3" s="168" t="str">
        <f>cert2!A10</f>
        <v>Adrian Cemetery</v>
      </c>
      <c r="D3" s="16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2267</v>
      </c>
      <c r="E9" s="20">
        <f>+D36</f>
        <v>2215.43</v>
      </c>
      <c r="F9" s="20">
        <f>+E36</f>
        <v>1740.4300000000003</v>
      </c>
    </row>
    <row r="10" spans="1:6" ht="15.75">
      <c r="A10" s="199" t="s">
        <v>14</v>
      </c>
      <c r="B10" s="200"/>
      <c r="C10" s="201"/>
      <c r="D10" s="196"/>
      <c r="E10" s="36">
        <v>4479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336</v>
      </c>
      <c r="F12" s="20">
        <f>D51</f>
        <v>485</v>
      </c>
    </row>
    <row r="13" spans="1:6" ht="15.75">
      <c r="A13" s="34" t="s">
        <v>17</v>
      </c>
      <c r="B13" s="35"/>
      <c r="C13" s="201"/>
      <c r="D13" s="196"/>
      <c r="E13" s="36">
        <v>6</v>
      </c>
      <c r="F13" s="20">
        <f>E51</f>
        <v>8</v>
      </c>
    </row>
    <row r="14" spans="1:6" ht="15.75">
      <c r="A14" s="34" t="s">
        <v>86</v>
      </c>
      <c r="B14" s="35"/>
      <c r="C14" s="201"/>
      <c r="D14" s="196"/>
      <c r="E14" s="36">
        <v>54</v>
      </c>
      <c r="F14" s="20">
        <f>F51</f>
        <v>54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245</v>
      </c>
      <c r="B17" s="38"/>
      <c r="C17" s="202"/>
      <c r="D17" s="196">
        <v>3399.84</v>
      </c>
      <c r="E17" s="36" t="s">
        <v>19</v>
      </c>
      <c r="F17" s="36"/>
    </row>
    <row r="18" spans="1:6" ht="15.75">
      <c r="A18" s="37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3399.84</v>
      </c>
      <c r="E23" s="184">
        <f>SUM(E10:E22)</f>
        <v>4875</v>
      </c>
      <c r="F23" s="184">
        <f>SUM(F10:F22)</f>
        <v>547</v>
      </c>
    </row>
    <row r="24" spans="1:6" ht="15.75">
      <c r="A24" s="42" t="s">
        <v>23</v>
      </c>
      <c r="B24" s="35"/>
      <c r="C24" s="201"/>
      <c r="D24" s="197">
        <f>+D9+D23</f>
        <v>5666.84</v>
      </c>
      <c r="E24" s="184">
        <f>+E9+E23</f>
        <v>7090.43</v>
      </c>
      <c r="F24" s="184">
        <f>+F9+F23</f>
        <v>2287.4300000000003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246</v>
      </c>
      <c r="B26" s="38"/>
      <c r="C26" s="202"/>
      <c r="D26" s="196">
        <v>2715</v>
      </c>
      <c r="E26" s="36">
        <v>3100</v>
      </c>
      <c r="F26" s="36">
        <v>3100</v>
      </c>
    </row>
    <row r="27" spans="1:6" ht="15.75">
      <c r="A27" s="40" t="s">
        <v>247</v>
      </c>
      <c r="B27" s="38"/>
      <c r="C27" s="202"/>
      <c r="D27" s="196">
        <v>42.8</v>
      </c>
      <c r="E27" s="36"/>
      <c r="F27" s="36">
        <v>50</v>
      </c>
    </row>
    <row r="28" spans="1:6" ht="15.75">
      <c r="A28" s="40" t="s">
        <v>248</v>
      </c>
      <c r="B28" s="38"/>
      <c r="C28" s="202"/>
      <c r="D28" s="196">
        <v>215.01</v>
      </c>
      <c r="E28" s="36"/>
      <c r="F28" s="36"/>
    </row>
    <row r="29" spans="1:6" ht="15.75">
      <c r="A29" s="40" t="s">
        <v>249</v>
      </c>
      <c r="B29" s="38"/>
      <c r="C29" s="202"/>
      <c r="D29" s="196">
        <v>478.6</v>
      </c>
      <c r="E29" s="36"/>
      <c r="F29" s="36"/>
    </row>
    <row r="30" spans="1:6" ht="15.75">
      <c r="A30" s="37" t="s">
        <v>250</v>
      </c>
      <c r="B30" s="38"/>
      <c r="C30" s="202"/>
      <c r="D30" s="196"/>
      <c r="E30" s="36">
        <v>1000</v>
      </c>
      <c r="F30" s="36">
        <v>1000</v>
      </c>
    </row>
    <row r="31" spans="1:6" ht="15.75">
      <c r="A31" s="37" t="s">
        <v>251</v>
      </c>
      <c r="B31" s="38"/>
      <c r="C31" s="202"/>
      <c r="D31" s="196"/>
      <c r="E31" s="36">
        <v>1250</v>
      </c>
      <c r="F31" s="36">
        <v>1200</v>
      </c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3451.4100000000003</v>
      </c>
      <c r="E35" s="184">
        <f>SUM(E26:E34)</f>
        <v>5350</v>
      </c>
      <c r="F35" s="184">
        <f>SUM(F26:F34)</f>
        <v>5350</v>
      </c>
    </row>
    <row r="36" spans="1:6" ht="15.75">
      <c r="A36" s="34" t="s">
        <v>26</v>
      </c>
      <c r="B36" s="35"/>
      <c r="C36" s="201"/>
      <c r="D36" s="190">
        <f>+D24-D35</f>
        <v>2215.43</v>
      </c>
      <c r="E36" s="185">
        <f>+E24-E35</f>
        <v>1740.4300000000003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/>
    </row>
    <row r="38" spans="1:6" ht="15.75">
      <c r="A38" s="1"/>
      <c r="B38" s="25"/>
      <c r="C38" s="1"/>
      <c r="D38" s="45"/>
      <c r="E38" s="46" t="s">
        <v>28</v>
      </c>
      <c r="F38" s="164">
        <f>+F35+F37</f>
        <v>5350</v>
      </c>
    </row>
    <row r="39" spans="1:6" ht="15.75">
      <c r="A39" s="1"/>
      <c r="B39" s="1"/>
      <c r="C39" s="1"/>
      <c r="D39" s="1"/>
      <c r="E39" s="4" t="s">
        <v>29</v>
      </c>
      <c r="F39" s="193">
        <f>IF(F38-F24&gt;0,F38-F24,0)</f>
        <v>3062.5699999999997</v>
      </c>
    </row>
    <row r="40" spans="1:6" ht="16.5" thickBot="1">
      <c r="A40" s="307" t="s">
        <v>171</v>
      </c>
      <c r="B40" s="308"/>
      <c r="C40" s="308"/>
      <c r="D40" s="308"/>
      <c r="E40" s="189">
        <v>0.03</v>
      </c>
      <c r="F40" s="193">
        <f>ROUND(IF($E$40&gt;0,($F$39*$E$40),0),0)</f>
        <v>92</v>
      </c>
    </row>
    <row r="41" spans="1:6" ht="16.5" thickBot="1">
      <c r="A41" s="211" t="s">
        <v>252</v>
      </c>
      <c r="B41" s="212">
        <f>ADComp1!$J$35</f>
        <v>4661</v>
      </c>
      <c r="C41" s="1"/>
      <c r="D41" s="1"/>
      <c r="E41" s="4" t="str">
        <f>CONCATENATE("Amount of ",$F$1-1," Ad Valorem Tax")</f>
        <v>Amount of 2011 Ad Valorem Tax</v>
      </c>
      <c r="F41" s="193">
        <f>SUM(F39:F40)</f>
        <v>3154.5699999999997</v>
      </c>
    </row>
    <row r="42" spans="1:6" ht="15.75">
      <c r="A42" s="1"/>
      <c r="B42" s="210" t="s">
        <v>253</v>
      </c>
      <c r="C42" s="207">
        <v>2010</v>
      </c>
      <c r="D42" s="207">
        <v>2011</v>
      </c>
      <c r="E42" s="208">
        <v>2012</v>
      </c>
      <c r="F42" s="49"/>
    </row>
    <row r="43" spans="1:6" ht="16.5" thickBot="1">
      <c r="A43" s="1"/>
      <c r="B43" s="209" t="s">
        <v>254</v>
      </c>
      <c r="C43" s="213">
        <f>sum2!C8</f>
        <v>2.322</v>
      </c>
      <c r="D43" s="213">
        <f>sum2!E8</f>
        <v>3.341</v>
      </c>
      <c r="E43" s="214">
        <f>sum2!H8</f>
        <v>2.226</v>
      </c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4479</v>
      </c>
      <c r="D51" s="127">
        <f>IF(C51&gt;0,ROUND(+C51*D$59,0)," ")</f>
        <v>485</v>
      </c>
      <c r="E51" s="127">
        <f>IF(C51&gt;0,ROUND(+C51*E$60,0)," ")</f>
        <v>8</v>
      </c>
      <c r="F51" s="127">
        <f>IF(C51&gt;0,ROUND(+C51*F$61,0)," ")</f>
        <v>54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4479</v>
      </c>
      <c r="D53" s="191">
        <f>SUM(D51:D52)</f>
        <v>485</v>
      </c>
      <c r="E53" s="191">
        <f>SUM(E51:E52)</f>
        <v>8</v>
      </c>
      <c r="F53" s="191">
        <f>SUM(F51:F52)</f>
        <v>54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484.72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7.7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53.62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0.10822058495199822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0.001719133735208752</v>
      </c>
      <c r="F60" s="93"/>
    </row>
    <row r="61" spans="1:6" ht="16.5" thickBot="1">
      <c r="A61" s="206"/>
      <c r="B61" s="206"/>
      <c r="C61" s="206"/>
      <c r="D61" s="93"/>
      <c r="E61" s="93" t="s">
        <v>82</v>
      </c>
      <c r="F61" s="126">
        <f>IF(C53=0,0,F57/C53)</f>
        <v>0.011971422192453672</v>
      </c>
    </row>
    <row r="62" spans="1:6" ht="15.75">
      <c r="A62" s="1" t="s">
        <v>255</v>
      </c>
      <c r="B62" s="1"/>
      <c r="C62" s="1"/>
      <c r="D62" s="1"/>
      <c r="E62" s="1"/>
      <c r="F62" s="1"/>
    </row>
    <row r="63" spans="1:6" ht="15.75" hidden="1">
      <c r="A63" s="1"/>
      <c r="B63" s="1"/>
      <c r="C63" s="1"/>
      <c r="D63" s="1"/>
      <c r="E63" s="1"/>
      <c r="F63" s="1"/>
    </row>
    <row r="64" spans="1:6" ht="15.75" hidden="1">
      <c r="A64" s="1"/>
      <c r="B64" s="1"/>
      <c r="C64" s="1"/>
      <c r="D64" s="1"/>
      <c r="E64" s="1"/>
      <c r="F64" s="1"/>
    </row>
    <row r="65" spans="1:6" ht="15.75" hidden="1">
      <c r="A65" s="1"/>
      <c r="B65" s="1"/>
      <c r="C65" s="1"/>
      <c r="D65" s="1"/>
      <c r="E65" s="1"/>
      <c r="F65" s="1"/>
    </row>
    <row r="66" spans="1:6" ht="15.75" hidden="1">
      <c r="A66" s="1"/>
      <c r="B66" s="1"/>
      <c r="C66" s="1"/>
      <c r="D66" s="1"/>
      <c r="E66" s="1"/>
      <c r="F66" s="1"/>
    </row>
    <row r="67" spans="1:6" ht="15.75" hidden="1">
      <c r="A67" s="1"/>
      <c r="B67" s="1"/>
      <c r="C67" s="1"/>
      <c r="D67" s="1"/>
      <c r="E67" s="1"/>
      <c r="F67" s="1"/>
    </row>
    <row r="68" spans="1:6" ht="15.75" hidden="1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'Douglas #3'!C3</f>
        <v>Douglas #3 General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92475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92475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152742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433027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496701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65238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217980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16570605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16352625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0.013329969958951544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1232.688971954044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93707.68897195405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93707.68897195405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8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cert2!A28</f>
        <v>Douglas #3 1st Responders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1235</v>
      </c>
      <c r="E9" s="20">
        <f>+D53</f>
        <v>649.3700000000026</v>
      </c>
      <c r="F9" s="20">
        <f>+E53</f>
        <v>-0.22999999999592546</v>
      </c>
    </row>
    <row r="10" spans="1:6" ht="15.75">
      <c r="A10" s="199" t="s">
        <v>14</v>
      </c>
      <c r="B10" s="200"/>
      <c r="C10" s="201"/>
      <c r="D10" s="196"/>
      <c r="E10" s="36">
        <v>35489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5852</v>
      </c>
      <c r="F12" s="20">
        <f>D68</f>
        <v>5838</v>
      </c>
    </row>
    <row r="13" spans="1:6" ht="15.75">
      <c r="A13" s="34" t="s">
        <v>17</v>
      </c>
      <c r="B13" s="35"/>
      <c r="C13" s="201"/>
      <c r="D13" s="196"/>
      <c r="E13" s="36">
        <v>158</v>
      </c>
      <c r="F13" s="20">
        <f>E68</f>
        <v>180</v>
      </c>
    </row>
    <row r="14" spans="1:6" ht="15.75">
      <c r="A14" s="34" t="s">
        <v>86</v>
      </c>
      <c r="B14" s="35"/>
      <c r="C14" s="201"/>
      <c r="D14" s="196"/>
      <c r="E14" s="36">
        <v>347</v>
      </c>
      <c r="F14" s="20">
        <f>F68</f>
        <v>376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>
        <v>39190.29</v>
      </c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>
        <v>46.05</v>
      </c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39236.340000000004</v>
      </c>
      <c r="E23" s="184">
        <f>SUM(E10:E22)</f>
        <v>41846</v>
      </c>
      <c r="F23" s="184">
        <f>SUM(F10:F22)</f>
        <v>6394</v>
      </c>
    </row>
    <row r="24" spans="1:6" ht="15.75">
      <c r="A24" s="42" t="s">
        <v>23</v>
      </c>
      <c r="B24" s="35"/>
      <c r="C24" s="201"/>
      <c r="D24" s="197">
        <f>+D9+D23</f>
        <v>40471.340000000004</v>
      </c>
      <c r="E24" s="184">
        <f>+E9+E23</f>
        <v>42495.37</v>
      </c>
      <c r="F24" s="184">
        <f>+F9+F23</f>
        <v>6393.770000000004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370</v>
      </c>
      <c r="B26" s="38"/>
      <c r="C26" s="202"/>
      <c r="D26" s="196">
        <v>350</v>
      </c>
      <c r="E26" s="196">
        <v>350</v>
      </c>
      <c r="F26" s="196">
        <v>350</v>
      </c>
    </row>
    <row r="27" spans="1:6" ht="15.75">
      <c r="A27" s="40" t="s">
        <v>386</v>
      </c>
      <c r="B27" s="38"/>
      <c r="C27" s="202"/>
      <c r="D27" s="196">
        <v>65</v>
      </c>
      <c r="E27" s="196">
        <v>65</v>
      </c>
      <c r="F27" s="196">
        <v>65</v>
      </c>
    </row>
    <row r="28" spans="1:6" ht="15.75">
      <c r="A28" s="40" t="s">
        <v>336</v>
      </c>
      <c r="B28" s="38"/>
      <c r="C28" s="202"/>
      <c r="D28" s="196">
        <v>1101.57</v>
      </c>
      <c r="E28" s="196">
        <v>1101.57</v>
      </c>
      <c r="F28" s="196">
        <v>1101.57</v>
      </c>
    </row>
    <row r="29" spans="1:6" ht="15.75">
      <c r="A29" s="40" t="s">
        <v>387</v>
      </c>
      <c r="B29" s="38"/>
      <c r="C29" s="202"/>
      <c r="D29" s="196">
        <v>427.5</v>
      </c>
      <c r="E29" s="196">
        <v>427.5</v>
      </c>
      <c r="F29" s="196">
        <v>427.5</v>
      </c>
    </row>
    <row r="30" spans="1:6" ht="15.75">
      <c r="A30" s="40" t="s">
        <v>373</v>
      </c>
      <c r="B30" s="38"/>
      <c r="C30" s="202"/>
      <c r="D30" s="196">
        <v>1989.43</v>
      </c>
      <c r="E30" s="196">
        <v>1989.43</v>
      </c>
      <c r="F30" s="196">
        <v>1989.43</v>
      </c>
    </row>
    <row r="31" spans="1:6" ht="15.75">
      <c r="A31" s="40" t="s">
        <v>374</v>
      </c>
      <c r="B31" s="38"/>
      <c r="C31" s="202"/>
      <c r="D31" s="196">
        <v>90.95</v>
      </c>
      <c r="E31" s="196">
        <v>90.95</v>
      </c>
      <c r="F31" s="196">
        <v>90.95</v>
      </c>
    </row>
    <row r="32" spans="1:6" ht="15.75">
      <c r="A32" s="40" t="s">
        <v>375</v>
      </c>
      <c r="B32" s="38"/>
      <c r="C32" s="202"/>
      <c r="D32" s="196">
        <v>9972</v>
      </c>
      <c r="E32" s="196">
        <v>9972</v>
      </c>
      <c r="F32" s="196">
        <v>9972</v>
      </c>
    </row>
    <row r="33" spans="1:6" ht="15.75">
      <c r="A33" s="37" t="s">
        <v>325</v>
      </c>
      <c r="B33" s="38"/>
      <c r="C33" s="202"/>
      <c r="D33" s="196">
        <v>5484.37</v>
      </c>
      <c r="E33" s="196">
        <v>8158</v>
      </c>
      <c r="F33" s="196">
        <v>8018</v>
      </c>
    </row>
    <row r="34" spans="1:6" ht="15.75">
      <c r="A34" s="37" t="s">
        <v>264</v>
      </c>
      <c r="B34" s="38"/>
      <c r="C34" s="202"/>
      <c r="D34" s="196">
        <v>3000</v>
      </c>
      <c r="E34" s="196">
        <v>3000</v>
      </c>
      <c r="F34" s="196">
        <v>3000</v>
      </c>
    </row>
    <row r="35" spans="1:6" ht="15.75">
      <c r="A35" s="37" t="s">
        <v>388</v>
      </c>
      <c r="B35" s="38"/>
      <c r="C35" s="202"/>
      <c r="D35" s="196">
        <v>360</v>
      </c>
      <c r="E35" s="196">
        <v>360</v>
      </c>
      <c r="F35" s="196">
        <v>360</v>
      </c>
    </row>
    <row r="36" spans="1:6" ht="15.75">
      <c r="A36" s="37" t="s">
        <v>379</v>
      </c>
      <c r="B36" s="38"/>
      <c r="C36" s="202"/>
      <c r="D36" s="196">
        <v>624.5</v>
      </c>
      <c r="E36" s="196">
        <v>624.5</v>
      </c>
      <c r="F36" s="196">
        <v>624.5</v>
      </c>
    </row>
    <row r="37" spans="1:6" ht="15.75">
      <c r="A37" s="37" t="s">
        <v>389</v>
      </c>
      <c r="B37" s="38"/>
      <c r="C37" s="202"/>
      <c r="D37" s="196">
        <v>300</v>
      </c>
      <c r="E37" s="196">
        <v>300</v>
      </c>
      <c r="F37" s="196">
        <v>300</v>
      </c>
    </row>
    <row r="38" spans="1:6" ht="15.75">
      <c r="A38" s="37" t="s">
        <v>380</v>
      </c>
      <c r="B38" s="38"/>
      <c r="C38" s="202"/>
      <c r="D38" s="196">
        <v>1473.55</v>
      </c>
      <c r="E38" s="196">
        <v>1473.55</v>
      </c>
      <c r="F38" s="196">
        <v>1473.55</v>
      </c>
    </row>
    <row r="39" spans="1:6" ht="15.75">
      <c r="A39" s="37" t="s">
        <v>381</v>
      </c>
      <c r="B39" s="38"/>
      <c r="C39" s="202"/>
      <c r="D39" s="196">
        <v>100</v>
      </c>
      <c r="E39" s="196">
        <v>100</v>
      </c>
      <c r="F39" s="196">
        <v>100</v>
      </c>
    </row>
    <row r="40" spans="1:6" ht="15.75">
      <c r="A40" s="37" t="s">
        <v>339</v>
      </c>
      <c r="B40" s="38"/>
      <c r="C40" s="202"/>
      <c r="D40" s="196">
        <v>1296.68</v>
      </c>
      <c r="E40" s="196">
        <v>1296.68</v>
      </c>
      <c r="F40" s="196">
        <v>1296.68</v>
      </c>
    </row>
    <row r="41" spans="1:6" ht="15.75">
      <c r="A41" s="37" t="s">
        <v>390</v>
      </c>
      <c r="B41" s="38"/>
      <c r="C41" s="202"/>
      <c r="D41" s="196">
        <v>100</v>
      </c>
      <c r="E41" s="196">
        <v>100</v>
      </c>
      <c r="F41" s="196">
        <v>100</v>
      </c>
    </row>
    <row r="42" spans="1:6" ht="15.75">
      <c r="A42" s="37" t="s">
        <v>327</v>
      </c>
      <c r="B42" s="38"/>
      <c r="C42" s="202"/>
      <c r="D42" s="196">
        <v>2282</v>
      </c>
      <c r="E42" s="196">
        <v>2282</v>
      </c>
      <c r="F42" s="196">
        <v>2282</v>
      </c>
    </row>
    <row r="43" spans="1:6" ht="15.75">
      <c r="A43" s="37" t="s">
        <v>382</v>
      </c>
      <c r="B43" s="38"/>
      <c r="C43" s="202"/>
      <c r="D43" s="196">
        <v>28.02</v>
      </c>
      <c r="E43" s="196">
        <v>28.02</v>
      </c>
      <c r="F43" s="196">
        <v>28.02</v>
      </c>
    </row>
    <row r="44" spans="1:6" ht="15.75">
      <c r="A44" s="37" t="s">
        <v>391</v>
      </c>
      <c r="B44" s="38"/>
      <c r="C44" s="202"/>
      <c r="D44" s="196">
        <v>4235.09</v>
      </c>
      <c r="E44" s="196">
        <v>4235.09</v>
      </c>
      <c r="F44" s="196">
        <v>4235.09</v>
      </c>
    </row>
    <row r="45" spans="1:6" ht="15.75">
      <c r="A45" s="37" t="s">
        <v>392</v>
      </c>
      <c r="B45" s="38"/>
      <c r="C45" s="202"/>
      <c r="D45" s="196">
        <v>3746.12</v>
      </c>
      <c r="E45" s="196">
        <v>3746.12</v>
      </c>
      <c r="F45" s="196">
        <v>3746.12</v>
      </c>
    </row>
    <row r="46" spans="1:6" ht="15.75">
      <c r="A46" s="37" t="s">
        <v>393</v>
      </c>
      <c r="B46" s="38"/>
      <c r="C46" s="202"/>
      <c r="D46" s="196">
        <v>2507.45</v>
      </c>
      <c r="E46" s="196">
        <v>2507.45</v>
      </c>
      <c r="F46" s="196">
        <v>2507.45</v>
      </c>
    </row>
    <row r="47" spans="1:6" ht="15.75">
      <c r="A47" s="37" t="s">
        <v>394</v>
      </c>
      <c r="B47" s="38"/>
      <c r="C47" s="202"/>
      <c r="D47" s="196">
        <v>287.74</v>
      </c>
      <c r="E47" s="196">
        <v>287.74</v>
      </c>
      <c r="F47" s="196">
        <v>287.74</v>
      </c>
    </row>
    <row r="48" spans="1:6" ht="15.75">
      <c r="A48" s="37" t="s">
        <v>383</v>
      </c>
      <c r="B48" s="38"/>
      <c r="C48" s="202"/>
      <c r="D48" s="196"/>
      <c r="E48" s="36"/>
      <c r="F48" s="36"/>
    </row>
    <row r="49" spans="1:6" ht="15.75">
      <c r="A49" s="37" t="s">
        <v>384</v>
      </c>
      <c r="B49" s="38"/>
      <c r="C49" s="202"/>
      <c r="D49" s="196"/>
      <c r="E49" s="36"/>
      <c r="F49" s="36"/>
    </row>
    <row r="50" spans="1:6" ht="15.75">
      <c r="A50" s="37" t="s">
        <v>300</v>
      </c>
      <c r="B50" s="38"/>
      <c r="C50" s="202"/>
      <c r="D50" s="196"/>
      <c r="E50" s="36"/>
      <c r="F50" s="36"/>
    </row>
    <row r="51" spans="1:6" ht="15.75">
      <c r="A51" s="37"/>
      <c r="B51" s="38"/>
      <c r="C51" s="202"/>
      <c r="D51" s="196"/>
      <c r="E51" s="36"/>
      <c r="F51" s="36"/>
    </row>
    <row r="52" spans="1:6" ht="15.75">
      <c r="A52" s="42" t="s">
        <v>25</v>
      </c>
      <c r="B52" s="35"/>
      <c r="C52" s="201"/>
      <c r="D52" s="197">
        <f>SUM(D26:D51)</f>
        <v>39821.97</v>
      </c>
      <c r="E52" s="184">
        <f>SUM(E26:E51)</f>
        <v>42495.6</v>
      </c>
      <c r="F52" s="184">
        <f>SUM(F26:F51)</f>
        <v>42355.6</v>
      </c>
    </row>
    <row r="53" spans="1:6" ht="15.75">
      <c r="A53" s="34" t="s">
        <v>26</v>
      </c>
      <c r="B53" s="43"/>
      <c r="C53" s="201"/>
      <c r="D53" s="185">
        <f>+D24-D52</f>
        <v>649.3700000000026</v>
      </c>
      <c r="E53" s="185">
        <f>+E24-E52</f>
        <v>-0.22999999999592546</v>
      </c>
      <c r="F53" s="19" t="s">
        <v>6</v>
      </c>
    </row>
    <row r="54" spans="1:7" ht="15.75">
      <c r="A54" s="1"/>
      <c r="B54" s="1"/>
      <c r="C54" s="1"/>
      <c r="D54" s="45"/>
      <c r="E54" s="46" t="s">
        <v>27</v>
      </c>
      <c r="F54" s="16"/>
      <c r="G54" s="194">
        <f>IF(F52/0.95-F52&lt;F54,"Exceeds 5%","")</f>
      </c>
    </row>
    <row r="55" spans="1:6" ht="15.75">
      <c r="A55" s="1"/>
      <c r="B55" s="25"/>
      <c r="C55" s="1"/>
      <c r="D55" s="45"/>
      <c r="E55" s="46" t="s">
        <v>28</v>
      </c>
      <c r="F55" s="20">
        <f>+F52+F54</f>
        <v>42355.6</v>
      </c>
    </row>
    <row r="56" spans="1:6" ht="15.75">
      <c r="A56" s="1"/>
      <c r="B56" s="1"/>
      <c r="C56" s="1"/>
      <c r="D56" s="1"/>
      <c r="E56" s="4" t="s">
        <v>29</v>
      </c>
      <c r="F56" s="20">
        <f>IF(F55-F24&gt;0,F55-F24,0)</f>
        <v>35961.829999999994</v>
      </c>
    </row>
    <row r="57" spans="1:6" ht="15.75">
      <c r="A57" s="307" t="s">
        <v>171</v>
      </c>
      <c r="B57" s="308"/>
      <c r="C57" s="308"/>
      <c r="D57" s="308"/>
      <c r="E57" s="189"/>
      <c r="F57" s="20">
        <f>ROUND(IF($E$57&gt;0,($F$56*$E$57),0),0)</f>
        <v>0</v>
      </c>
    </row>
    <row r="58" spans="1:7" ht="15.75">
      <c r="A58" s="1"/>
      <c r="B58" s="1"/>
      <c r="C58" s="60">
        <f>Comp19!J35</f>
        <v>35962.067303873235</v>
      </c>
      <c r="D58" s="1"/>
      <c r="E58" s="4" t="str">
        <f>CONCATENATE("Amount of ",$F$1-1," Ad Valorem Tax")</f>
        <v>Amount of 2011 Ad Valorem Tax</v>
      </c>
      <c r="F58" s="185">
        <f>SUM(F56:F57)</f>
        <v>35961.829999999994</v>
      </c>
      <c r="G58" s="226">
        <f>C58-F58</f>
        <v>0.23730387324030744</v>
      </c>
    </row>
    <row r="59" spans="1:6" ht="15.75">
      <c r="A59" s="1"/>
      <c r="B59" s="1"/>
      <c r="C59" s="1"/>
      <c r="D59" s="1"/>
      <c r="E59" s="4"/>
      <c r="F59" s="49"/>
    </row>
    <row r="60" spans="1:6" ht="15.75">
      <c r="A60" s="1">
        <f>sum2!I26</f>
        <v>16570605</v>
      </c>
      <c r="B60" s="1"/>
      <c r="C60" s="1"/>
      <c r="D60" s="1"/>
      <c r="E60" s="225">
        <f>sum2!E26</f>
        <v>2.207</v>
      </c>
      <c r="F60" s="223">
        <f>sum2!H26</f>
        <v>2.17</v>
      </c>
    </row>
    <row r="61" spans="1:6" ht="15.75">
      <c r="A61" s="1"/>
      <c r="B61" s="1"/>
      <c r="C61" s="1"/>
      <c r="D61" s="1"/>
      <c r="E61" s="4"/>
      <c r="F61" s="49"/>
    </row>
    <row r="62" spans="1:6" ht="15.75">
      <c r="A62" s="1"/>
      <c r="B62" s="1"/>
      <c r="C62" s="1"/>
      <c r="D62" s="1"/>
      <c r="E62" s="4"/>
      <c r="F62" s="49"/>
    </row>
    <row r="63" spans="1:6" ht="15.75">
      <c r="A63" s="1"/>
      <c r="B63" s="1"/>
      <c r="C63" s="1"/>
      <c r="D63" s="1"/>
      <c r="E63" s="4"/>
      <c r="F63" s="49"/>
    </row>
    <row r="64" spans="1:6" ht="15.75">
      <c r="A64" s="1"/>
      <c r="B64" s="27" t="s">
        <v>78</v>
      </c>
      <c r="C64" s="1"/>
      <c r="D64" s="11"/>
      <c r="E64" s="91"/>
      <c r="F64" s="92"/>
    </row>
    <row r="65" spans="1:6" ht="15.75">
      <c r="A65" s="26"/>
      <c r="B65" s="24" t="s">
        <v>19</v>
      </c>
      <c r="C65" s="1"/>
      <c r="D65" s="89"/>
      <c r="E65" s="93" t="str">
        <f>CONCATENATE("Allocation for Year ",$F$1,"")</f>
        <v>Allocation for Year 2012</v>
      </c>
      <c r="F65" s="90"/>
    </row>
    <row r="66" spans="1:6" ht="15.75">
      <c r="A66" s="50" t="s">
        <v>30</v>
      </c>
      <c r="B66" s="51"/>
      <c r="C66" s="162" t="s">
        <v>172</v>
      </c>
      <c r="D66" s="31" t="s">
        <v>79</v>
      </c>
      <c r="E66" s="31" t="s">
        <v>80</v>
      </c>
      <c r="F66" s="31" t="s">
        <v>81</v>
      </c>
    </row>
    <row r="67" spans="1:6" ht="15.75">
      <c r="A67" s="52" t="s">
        <v>31</v>
      </c>
      <c r="B67" s="105"/>
      <c r="C67" s="107" t="str">
        <f>CONCATENATE("for ",$F$1-1,"")</f>
        <v>for 2011</v>
      </c>
      <c r="D67" s="33" t="s">
        <v>32</v>
      </c>
      <c r="E67" s="33" t="s">
        <v>32</v>
      </c>
      <c r="F67" s="33" t="s">
        <v>32</v>
      </c>
    </row>
    <row r="68" spans="1:6" ht="15.75">
      <c r="A68" s="103" t="s">
        <v>33</v>
      </c>
      <c r="B68" s="109"/>
      <c r="C68" s="36">
        <v>35489</v>
      </c>
      <c r="D68" s="127">
        <f>IF(C68&gt;0,ROUND(+C68*D$76,0)," ")</f>
        <v>5838</v>
      </c>
      <c r="E68" s="127">
        <f>IF(C68&gt;0,ROUND(+C68*E$77,0)," ")</f>
        <v>180</v>
      </c>
      <c r="F68" s="127">
        <f>IF(C68&gt;0,ROUND(+C68*F$78,0)," ")</f>
        <v>376</v>
      </c>
    </row>
    <row r="69" spans="1:6" ht="15.75">
      <c r="A69" s="53"/>
      <c r="B69" s="102"/>
      <c r="C69" s="108"/>
      <c r="D69" s="127" t="str">
        <f>IF(C69&gt;0,ROUND(+C69*D$76,0)," ")</f>
        <v> </v>
      </c>
      <c r="E69" s="127" t="str">
        <f>IF(C69&gt;0,ROUND(+D69*E$77,0)," ")</f>
        <v> </v>
      </c>
      <c r="F69" s="127" t="str">
        <f>IF(C69&gt;0,ROUND(+E69*F$78,0)," ")</f>
        <v> </v>
      </c>
    </row>
    <row r="70" spans="1:6" ht="15.75">
      <c r="A70" s="34" t="s">
        <v>34</v>
      </c>
      <c r="B70" s="43"/>
      <c r="C70" s="190">
        <f>SUM(C68:C69)</f>
        <v>35489</v>
      </c>
      <c r="D70" s="191">
        <f>SUM(D68:D69)</f>
        <v>5838</v>
      </c>
      <c r="E70" s="191">
        <f>SUM(E68:E69)</f>
        <v>180</v>
      </c>
      <c r="F70" s="191">
        <f>SUM(F68:F69)</f>
        <v>376</v>
      </c>
    </row>
    <row r="71" spans="1:6" ht="15.75">
      <c r="A71" s="28"/>
      <c r="B71" s="28"/>
      <c r="C71" s="49"/>
      <c r="D71" s="124"/>
      <c r="E71" s="124"/>
      <c r="F71" s="124"/>
    </row>
    <row r="72" spans="1:6" ht="15.75">
      <c r="A72" s="28" t="s">
        <v>83</v>
      </c>
      <c r="B72" s="28"/>
      <c r="C72" s="49"/>
      <c r="D72" s="125">
        <v>5837.64</v>
      </c>
      <c r="E72" s="124"/>
      <c r="F72" s="124"/>
    </row>
    <row r="73" spans="1:6" ht="15.75">
      <c r="A73" s="28" t="s">
        <v>84</v>
      </c>
      <c r="B73" s="28"/>
      <c r="C73" s="49"/>
      <c r="D73" s="124"/>
      <c r="E73" s="125">
        <v>180.42</v>
      </c>
      <c r="F73" s="124"/>
    </row>
    <row r="74" spans="1:6" ht="15.75">
      <c r="A74" s="28" t="s">
        <v>85</v>
      </c>
      <c r="B74" s="28"/>
      <c r="C74" s="49"/>
      <c r="D74" s="124"/>
      <c r="E74" s="124"/>
      <c r="F74" s="125">
        <v>375.69</v>
      </c>
    </row>
    <row r="75" spans="1:6" ht="15.75">
      <c r="A75" s="1"/>
      <c r="B75" s="1"/>
      <c r="C75" s="1"/>
      <c r="D75" s="93"/>
      <c r="E75" s="93"/>
      <c r="F75" s="93"/>
    </row>
    <row r="76" spans="1:6" ht="15.75">
      <c r="A76" s="1"/>
      <c r="B76" s="1"/>
      <c r="C76" s="1" t="s">
        <v>35</v>
      </c>
      <c r="D76" s="126">
        <f>IF(C70=0,0,D72/C70)</f>
        <v>0.16449153258756236</v>
      </c>
      <c r="E76" s="93"/>
      <c r="F76" s="93"/>
    </row>
    <row r="77" spans="1:6" ht="15.75">
      <c r="A77" s="1"/>
      <c r="B77" s="1"/>
      <c r="C77" s="1"/>
      <c r="D77" s="93" t="s">
        <v>36</v>
      </c>
      <c r="E77" s="126">
        <f>IF(C70=0,0,E73/C70)</f>
        <v>0.005083828792020062</v>
      </c>
      <c r="F77" s="93"/>
    </row>
    <row r="78" spans="1:6" ht="15.75">
      <c r="A78" s="1"/>
      <c r="B78" s="1"/>
      <c r="C78" s="1"/>
      <c r="D78" s="93"/>
      <c r="E78" s="93" t="s">
        <v>82</v>
      </c>
      <c r="F78" s="126">
        <f>IF(C70=0,0,F74/C70)</f>
        <v>0.010586097100510018</v>
      </c>
    </row>
    <row r="79" spans="1:6" ht="15.75">
      <c r="A79" s="11" t="s">
        <v>266</v>
      </c>
      <c r="B79" s="11"/>
      <c r="C79" s="11"/>
      <c r="D79" s="1"/>
      <c r="E79" s="1"/>
      <c r="F79" s="1"/>
    </row>
    <row r="80" spans="1:6" ht="15.75">
      <c r="A80" s="70"/>
      <c r="B80" s="70"/>
      <c r="C80" s="70"/>
      <c r="D80" s="1"/>
      <c r="E80" s="1"/>
      <c r="F80" s="1"/>
    </row>
    <row r="81" spans="1:6" ht="15.75">
      <c r="A81" s="11" t="s">
        <v>266</v>
      </c>
      <c r="B81" s="11"/>
      <c r="C81" s="1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1" t="s">
        <v>266</v>
      </c>
      <c r="B83" s="11"/>
      <c r="C83" s="1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25" t="s">
        <v>37</v>
      </c>
      <c r="C86" s="56"/>
      <c r="D86" s="1"/>
      <c r="E86" s="1"/>
      <c r="F86" s="1"/>
    </row>
  </sheetData>
  <sheetProtection/>
  <mergeCells count="1">
    <mergeCell ref="A57:D57"/>
  </mergeCells>
  <printOptions/>
  <pageMargins left="0.75" right="0.75" top="1" bottom="1" header="0.5" footer="0.5"/>
  <pageSetup blackAndWhite="1" fitToHeight="1" fitToWidth="1" horizontalDpi="600" verticalDpi="600" orientation="portrait" scale="49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41"/>
  <sheetViews>
    <sheetView zoomScalePageLayoutView="0" workbookViewId="0" topLeftCell="A14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'#3 1st Resp'!C3</f>
        <v>Douglas #3 1st Responders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35489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35489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152742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433027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496701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65238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217980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16570605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16352625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0.013329969958951544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473.0673038732313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35962.067303873235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35962.067303873235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D85"/>
  <sheetViews>
    <sheetView zoomScalePageLayoutView="0" workbookViewId="0" topLeftCell="A38">
      <selection activeCell="A60" sqref="A60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337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57699</v>
      </c>
      <c r="C9" s="20">
        <f>B35</f>
        <v>84673.72</v>
      </c>
      <c r="D9" s="20">
        <f>C35</f>
        <v>84673.72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 t="s">
        <v>257</v>
      </c>
      <c r="B11" s="106">
        <v>26092</v>
      </c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>
        <v>882.72</v>
      </c>
      <c r="C18" s="36"/>
      <c r="D18" s="36"/>
    </row>
    <row r="19" spans="1:4" ht="15.75">
      <c r="A19" s="122" t="s">
        <v>22</v>
      </c>
      <c r="B19" s="184">
        <f>SUM(B11:B18)</f>
        <v>26974.72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84673.72</v>
      </c>
      <c r="C20" s="184">
        <f>C9+C19</f>
        <v>84673.72</v>
      </c>
      <c r="D20" s="184">
        <f>D9+D19</f>
        <v>84673.72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84673.72</v>
      </c>
      <c r="C35" s="185">
        <f>C20-C34</f>
        <v>84673.72</v>
      </c>
      <c r="D35" s="185">
        <f>D20-D34</f>
        <v>84673.72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338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/>
      <c r="C57" s="20">
        <f>B83</f>
        <v>9972</v>
      </c>
      <c r="D57" s="20">
        <f>C83</f>
        <v>9972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 t="s">
        <v>257</v>
      </c>
      <c r="B59" s="36">
        <v>9972</v>
      </c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9972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9972</v>
      </c>
      <c r="C68" s="184">
        <f>C57+C67</f>
        <v>9972</v>
      </c>
      <c r="D68" s="184">
        <f>D57+D67</f>
        <v>9972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9972</v>
      </c>
      <c r="C83" s="185">
        <f>C68-C82</f>
        <v>9972</v>
      </c>
      <c r="D83" s="185">
        <f>D68-D82</f>
        <v>9972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24">
      <selection activeCell="D28" sqref="D2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cert2!A29</f>
        <v>Holton Rural #4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116725.64</v>
      </c>
      <c r="E9" s="20">
        <f>+D43</f>
        <v>164990.88</v>
      </c>
      <c r="F9" s="20">
        <f>+E43</f>
        <v>176668.88</v>
      </c>
    </row>
    <row r="10" spans="1:6" ht="15.75">
      <c r="A10" s="199" t="s">
        <v>14</v>
      </c>
      <c r="B10" s="200"/>
      <c r="C10" s="201"/>
      <c r="D10" s="196"/>
      <c r="E10" s="36">
        <v>117387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18067</v>
      </c>
      <c r="F12" s="20">
        <f>D58</f>
        <v>18209</v>
      </c>
    </row>
    <row r="13" spans="1:6" ht="15.75">
      <c r="A13" s="34" t="s">
        <v>17</v>
      </c>
      <c r="B13" s="35"/>
      <c r="C13" s="201"/>
      <c r="D13" s="196"/>
      <c r="E13" s="36">
        <v>285</v>
      </c>
      <c r="F13" s="20">
        <f>E58</f>
        <v>354</v>
      </c>
    </row>
    <row r="14" spans="1:6" ht="15.75">
      <c r="A14" s="34" t="s">
        <v>86</v>
      </c>
      <c r="B14" s="35"/>
      <c r="C14" s="201"/>
      <c r="D14" s="196"/>
      <c r="E14" s="36">
        <v>2472</v>
      </c>
      <c r="F14" s="20">
        <f>F58</f>
        <v>2397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293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>
        <v>141106.91</v>
      </c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141106.91</v>
      </c>
      <c r="E23" s="184">
        <f>SUM(E10:E22)</f>
        <v>138211</v>
      </c>
      <c r="F23" s="184">
        <f>SUM(F10:F22)</f>
        <v>20960</v>
      </c>
    </row>
    <row r="24" spans="1:6" ht="15.75">
      <c r="A24" s="42" t="s">
        <v>23</v>
      </c>
      <c r="B24" s="35"/>
      <c r="C24" s="201"/>
      <c r="D24" s="197">
        <f>+D9+D23</f>
        <v>257832.55</v>
      </c>
      <c r="E24" s="184">
        <f>+E9+E23</f>
        <v>303201.88</v>
      </c>
      <c r="F24" s="184">
        <f>+F9+F23</f>
        <v>197628.88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340</v>
      </c>
      <c r="B26" s="38"/>
      <c r="C26" s="202"/>
      <c r="D26" s="237">
        <v>4706.92</v>
      </c>
      <c r="E26" s="36"/>
      <c r="F26" s="36"/>
    </row>
    <row r="27" spans="1:6" ht="15.75">
      <c r="A27" s="40" t="s">
        <v>317</v>
      </c>
      <c r="B27" s="38"/>
      <c r="C27" s="202"/>
      <c r="D27" s="237">
        <v>11870.06</v>
      </c>
      <c r="E27" s="239">
        <v>6000</v>
      </c>
      <c r="F27" s="36">
        <v>6000</v>
      </c>
    </row>
    <row r="28" spans="1:6" ht="15.75">
      <c r="A28" s="40" t="s">
        <v>341</v>
      </c>
      <c r="B28" s="38"/>
      <c r="C28" s="202"/>
      <c r="D28" s="237">
        <v>375.78</v>
      </c>
      <c r="E28" s="239"/>
      <c r="F28" s="36"/>
    </row>
    <row r="29" spans="1:6" ht="15.75">
      <c r="A29" s="40" t="s">
        <v>466</v>
      </c>
      <c r="B29" s="38"/>
      <c r="C29" s="202"/>
      <c r="D29" s="237">
        <f>1692.48+52.05</f>
        <v>1744.53</v>
      </c>
      <c r="E29" s="239">
        <v>1500</v>
      </c>
      <c r="F29" s="36">
        <v>1500</v>
      </c>
    </row>
    <row r="30" spans="1:6" ht="15.75">
      <c r="A30" s="40" t="s">
        <v>300</v>
      </c>
      <c r="B30" s="38"/>
      <c r="C30" s="202"/>
      <c r="D30" s="237">
        <v>4170.78</v>
      </c>
      <c r="E30" s="239">
        <v>2030</v>
      </c>
      <c r="F30" s="36">
        <v>2030</v>
      </c>
    </row>
    <row r="31" spans="1:6" ht="15.75">
      <c r="A31" s="40" t="s">
        <v>342</v>
      </c>
      <c r="B31" s="38"/>
      <c r="C31" s="202"/>
      <c r="D31" s="196"/>
      <c r="E31" s="239">
        <v>6642</v>
      </c>
      <c r="F31" s="36">
        <v>6642</v>
      </c>
    </row>
    <row r="32" spans="1:6" ht="15.75">
      <c r="A32" s="40" t="s">
        <v>264</v>
      </c>
      <c r="B32" s="38"/>
      <c r="C32" s="202"/>
      <c r="D32" s="237">
        <v>9092.34</v>
      </c>
      <c r="E32" s="239">
        <v>11500</v>
      </c>
      <c r="F32" s="36">
        <v>11500</v>
      </c>
    </row>
    <row r="33" spans="1:6" ht="15.75">
      <c r="A33" s="40" t="s">
        <v>335</v>
      </c>
      <c r="B33" s="38"/>
      <c r="C33" s="202"/>
      <c r="D33" s="237">
        <v>8173.3</v>
      </c>
      <c r="E33" s="239"/>
      <c r="F33" s="36"/>
    </row>
    <row r="34" spans="1:6" ht="15.75">
      <c r="A34" s="40" t="s">
        <v>325</v>
      </c>
      <c r="B34" s="38"/>
      <c r="C34" s="202"/>
      <c r="D34" s="237">
        <v>12250.52</v>
      </c>
      <c r="E34" s="239">
        <v>50000</v>
      </c>
      <c r="F34" s="36">
        <v>50000</v>
      </c>
    </row>
    <row r="35" spans="1:6" ht="15.75">
      <c r="A35" s="37" t="s">
        <v>327</v>
      </c>
      <c r="B35" s="38"/>
      <c r="C35" s="202"/>
      <c r="D35" s="237">
        <v>50</v>
      </c>
      <c r="E35" s="239">
        <v>3000</v>
      </c>
      <c r="F35" s="36">
        <v>3000</v>
      </c>
    </row>
    <row r="36" spans="1:6" ht="15.75">
      <c r="A36" s="37" t="s">
        <v>282</v>
      </c>
      <c r="B36" s="38"/>
      <c r="C36" s="202"/>
      <c r="D36" s="237">
        <v>1876.24</v>
      </c>
      <c r="E36" s="239"/>
      <c r="F36" s="36"/>
    </row>
    <row r="37" spans="1:6" ht="15.75">
      <c r="A37" s="37" t="s">
        <v>343</v>
      </c>
      <c r="B37" s="38"/>
      <c r="C37" s="202"/>
      <c r="D37" s="237">
        <v>6095.13</v>
      </c>
      <c r="E37" s="239"/>
      <c r="F37" s="36"/>
    </row>
    <row r="38" spans="1:6" ht="15.75">
      <c r="A38" s="37" t="s">
        <v>344</v>
      </c>
      <c r="B38" s="38"/>
      <c r="C38" s="202"/>
      <c r="D38" s="196"/>
      <c r="E38" s="239">
        <v>6361</v>
      </c>
      <c r="F38" s="36">
        <v>6361</v>
      </c>
    </row>
    <row r="39" spans="1:6" ht="15.75">
      <c r="A39" s="37" t="s">
        <v>339</v>
      </c>
      <c r="B39" s="38"/>
      <c r="C39" s="202"/>
      <c r="D39" s="196">
        <f>576.81+1165.96+633.3+60</f>
        <v>2436.0699999999997</v>
      </c>
      <c r="E39" s="239">
        <v>9500</v>
      </c>
      <c r="F39" s="36">
        <v>9500</v>
      </c>
    </row>
    <row r="40" spans="1:6" ht="15.75">
      <c r="A40" s="37" t="s">
        <v>345</v>
      </c>
      <c r="B40" s="38"/>
      <c r="C40" s="202"/>
      <c r="D40" s="196">
        <v>30000</v>
      </c>
      <c r="E40" s="36">
        <v>30000</v>
      </c>
      <c r="F40" s="36">
        <v>49170</v>
      </c>
    </row>
    <row r="41" spans="1:6" ht="15.75">
      <c r="A41" s="37" t="s">
        <v>346</v>
      </c>
      <c r="B41" s="38"/>
      <c r="C41" s="202"/>
      <c r="D41" s="196"/>
      <c r="E41" s="36"/>
      <c r="F41" s="36">
        <v>170481</v>
      </c>
    </row>
    <row r="42" spans="1:6" ht="15.75">
      <c r="A42" s="42"/>
      <c r="B42" s="35"/>
      <c r="C42" s="201"/>
      <c r="D42" s="197">
        <f>SUM(D26:D41)</f>
        <v>92841.66999999998</v>
      </c>
      <c r="E42" s="184">
        <f>SUM(E26:E41)</f>
        <v>126533</v>
      </c>
      <c r="F42" s="184">
        <f>SUM(F26:F41)</f>
        <v>316184</v>
      </c>
    </row>
    <row r="43" spans="1:6" ht="15.75">
      <c r="A43" s="34" t="s">
        <v>26</v>
      </c>
      <c r="B43" s="43"/>
      <c r="C43" s="205"/>
      <c r="D43" s="185">
        <f>+D24-D42</f>
        <v>164990.88</v>
      </c>
      <c r="E43" s="185">
        <f>+E24-E42</f>
        <v>176668.88</v>
      </c>
      <c r="F43" s="19" t="s">
        <v>6</v>
      </c>
    </row>
    <row r="44" spans="1:7" ht="15.75">
      <c r="A44" s="1"/>
      <c r="B44" s="1"/>
      <c r="C44" s="1"/>
      <c r="D44" s="45"/>
      <c r="E44" s="46" t="s">
        <v>27</v>
      </c>
      <c r="F44" s="16"/>
      <c r="G44" s="194">
        <f>IF(F42/0.95-F42&lt;F44,"Exceeds 5%","")</f>
      </c>
    </row>
    <row r="45" spans="1:6" ht="15.75">
      <c r="A45" s="1"/>
      <c r="B45" s="25"/>
      <c r="C45" s="1"/>
      <c r="D45" s="45"/>
      <c r="E45" s="46" t="s">
        <v>28</v>
      </c>
      <c r="F45" s="20">
        <f>+F42+F44</f>
        <v>316184</v>
      </c>
    </row>
    <row r="46" spans="1:6" ht="15.75">
      <c r="A46" s="1"/>
      <c r="B46" s="1"/>
      <c r="C46" s="1"/>
      <c r="D46" s="1"/>
      <c r="E46" s="4" t="s">
        <v>29</v>
      </c>
      <c r="F46" s="20">
        <f>IF(F45-F24&gt;0,F45-F24,0)</f>
        <v>118555.12</v>
      </c>
    </row>
    <row r="47" spans="1:6" ht="15.75">
      <c r="A47" s="307" t="s">
        <v>171</v>
      </c>
      <c r="B47" s="308"/>
      <c r="C47" s="308"/>
      <c r="D47" s="308"/>
      <c r="E47" s="189"/>
      <c r="F47" s="20">
        <f>ROUND(IF($E$47&gt;0,($F$46*$E$47),0),0)</f>
        <v>0</v>
      </c>
    </row>
    <row r="48" spans="1:6" ht="15.75">
      <c r="A48" s="1"/>
      <c r="B48" s="1"/>
      <c r="C48" s="60">
        <f>'#4 comp'!J35</f>
        <v>118555.10729722613</v>
      </c>
      <c r="D48" s="1"/>
      <c r="E48" s="4" t="str">
        <f>CONCATENATE("Amount of ",$F$1-1," Ad Valorem Tax")</f>
        <v>Amount of 2011 Ad Valorem Tax</v>
      </c>
      <c r="F48" s="20">
        <f>SUM(F46:F47)</f>
        <v>118555.12</v>
      </c>
    </row>
    <row r="49" spans="1:6" ht="15.75">
      <c r="A49" s="1"/>
      <c r="B49" s="1"/>
      <c r="C49" s="1"/>
      <c r="D49" s="1"/>
      <c r="E49" s="4"/>
      <c r="F49" s="49"/>
    </row>
    <row r="50" spans="1:6" ht="15.75">
      <c r="A50" s="1"/>
      <c r="B50" s="1"/>
      <c r="C50" s="1"/>
      <c r="D50" s="1"/>
      <c r="E50" s="4"/>
      <c r="F50" s="49"/>
    </row>
    <row r="51" spans="1:6" ht="15.75">
      <c r="A51" s="1"/>
      <c r="B51" s="1"/>
      <c r="C51" s="1"/>
      <c r="D51" s="1"/>
      <c r="E51" s="4"/>
      <c r="F51" s="49"/>
    </row>
    <row r="52" spans="1:6" ht="15.75">
      <c r="A52" s="1"/>
      <c r="B52" s="1"/>
      <c r="C52" s="1"/>
      <c r="D52" s="1"/>
      <c r="E52" s="4"/>
      <c r="F52" s="49"/>
    </row>
    <row r="53" spans="1:6" ht="15.75">
      <c r="A53" s="1"/>
      <c r="B53" s="1"/>
      <c r="C53" s="1"/>
      <c r="D53" s="1"/>
      <c r="E53" s="4"/>
      <c r="F53" s="49"/>
    </row>
    <row r="54" spans="1:6" ht="15.75">
      <c r="A54" s="1"/>
      <c r="B54" s="27" t="s">
        <v>78</v>
      </c>
      <c r="C54" s="1"/>
      <c r="D54" s="11"/>
      <c r="E54" s="91"/>
      <c r="F54" s="92"/>
    </row>
    <row r="55" spans="1:6" ht="15.75">
      <c r="A55" s="26"/>
      <c r="B55" s="24" t="s">
        <v>19</v>
      </c>
      <c r="C55" s="1"/>
      <c r="D55" s="89"/>
      <c r="E55" s="93" t="str">
        <f>CONCATENATE("Allocation for Year ",$F$1,"")</f>
        <v>Allocation for Year 2012</v>
      </c>
      <c r="F55" s="90"/>
    </row>
    <row r="56" spans="1:6" ht="15.75">
      <c r="A56" s="50" t="s">
        <v>30</v>
      </c>
      <c r="B56" s="51"/>
      <c r="C56" s="162" t="s">
        <v>172</v>
      </c>
      <c r="D56" s="31" t="s">
        <v>79</v>
      </c>
      <c r="E56" s="31" t="s">
        <v>80</v>
      </c>
      <c r="F56" s="31" t="s">
        <v>81</v>
      </c>
    </row>
    <row r="57" spans="1:6" ht="15.75">
      <c r="A57" s="52" t="s">
        <v>31</v>
      </c>
      <c r="B57" s="105"/>
      <c r="C57" s="107" t="str">
        <f>CONCATENATE("for ",$F$1-1,"")</f>
        <v>for 2011</v>
      </c>
      <c r="D57" s="33" t="s">
        <v>32</v>
      </c>
      <c r="E57" s="33" t="s">
        <v>32</v>
      </c>
      <c r="F57" s="33" t="s">
        <v>32</v>
      </c>
    </row>
    <row r="58" spans="1:6" ht="15.75">
      <c r="A58" s="103" t="s">
        <v>33</v>
      </c>
      <c r="B58" s="109"/>
      <c r="C58" s="36">
        <v>117387</v>
      </c>
      <c r="D58" s="127">
        <f>IF(C58&gt;0,ROUND(+C58*D$66,0)," ")</f>
        <v>18209</v>
      </c>
      <c r="E58" s="127">
        <f>IF(C58&gt;0,ROUND(+C58*E$67,0)," ")</f>
        <v>354</v>
      </c>
      <c r="F58" s="127">
        <f>IF(C58&gt;0,ROUND(+C58*F$68,0)," ")</f>
        <v>2397</v>
      </c>
    </row>
    <row r="59" spans="1:6" ht="15.75">
      <c r="A59" s="53"/>
      <c r="B59" s="102"/>
      <c r="C59" s="108"/>
      <c r="D59" s="127" t="str">
        <f>IF(C59&gt;0,ROUND(+C59*D$66,0)," ")</f>
        <v> </v>
      </c>
      <c r="E59" s="127" t="str">
        <f>IF(C59&gt;0,ROUND(+D59*E$67,0)," ")</f>
        <v> </v>
      </c>
      <c r="F59" s="127" t="str">
        <f>IF(C59&gt;0,ROUND(+E59*F$68,0)," ")</f>
        <v> </v>
      </c>
    </row>
    <row r="60" spans="1:6" ht="15.75">
      <c r="A60" s="34" t="s">
        <v>34</v>
      </c>
      <c r="B60" s="43"/>
      <c r="C60" s="190">
        <f>SUM(C58:C59)</f>
        <v>117387</v>
      </c>
      <c r="D60" s="191">
        <f>SUM(D58:D59)</f>
        <v>18209</v>
      </c>
      <c r="E60" s="191">
        <f>SUM(E58:E59)</f>
        <v>354</v>
      </c>
      <c r="F60" s="191">
        <f>SUM(F58:F59)</f>
        <v>2397</v>
      </c>
    </row>
    <row r="61" spans="1:6" ht="15.75">
      <c r="A61" s="28"/>
      <c r="B61" s="28"/>
      <c r="C61" s="49"/>
      <c r="D61" s="124"/>
      <c r="E61" s="124"/>
      <c r="F61" s="124"/>
    </row>
    <row r="62" spans="1:6" ht="15.75">
      <c r="A62" s="28" t="s">
        <v>83</v>
      </c>
      <c r="B62" s="28"/>
      <c r="C62" s="49"/>
      <c r="D62" s="125">
        <v>18209.15</v>
      </c>
      <c r="E62" s="124"/>
      <c r="F62" s="124"/>
    </row>
    <row r="63" spans="1:6" ht="15.75">
      <c r="A63" s="28" t="s">
        <v>84</v>
      </c>
      <c r="B63" s="28"/>
      <c r="C63" s="49"/>
      <c r="D63" s="124"/>
      <c r="E63" s="125">
        <v>353.98</v>
      </c>
      <c r="F63" s="124"/>
    </row>
    <row r="64" spans="1:6" ht="15.75">
      <c r="A64" s="28" t="s">
        <v>85</v>
      </c>
      <c r="B64" s="28"/>
      <c r="C64" s="49"/>
      <c r="D64" s="124"/>
      <c r="E64" s="124"/>
      <c r="F64" s="125">
        <v>2396.87</v>
      </c>
    </row>
    <row r="65" spans="1:6" ht="15.75">
      <c r="A65" s="1"/>
      <c r="B65" s="1"/>
      <c r="C65" s="1"/>
      <c r="D65" s="93"/>
      <c r="E65" s="93"/>
      <c r="F65" s="93"/>
    </row>
    <row r="66" spans="1:6" ht="15.75">
      <c r="A66" s="1"/>
      <c r="B66" s="1"/>
      <c r="C66" s="1" t="s">
        <v>35</v>
      </c>
      <c r="D66" s="126">
        <f>IF(C60=0,0,D62/C60)</f>
        <v>0.1551206692393536</v>
      </c>
      <c r="E66" s="93"/>
      <c r="F66" s="93"/>
    </row>
    <row r="67" spans="1:6" ht="15.75">
      <c r="A67" s="1"/>
      <c r="B67" s="1"/>
      <c r="C67" s="1"/>
      <c r="D67" s="93" t="s">
        <v>36</v>
      </c>
      <c r="E67" s="126">
        <f>IF(C60=0,0,E63/C60)</f>
        <v>0.0030154957533628087</v>
      </c>
      <c r="F67" s="93"/>
    </row>
    <row r="68" spans="1:6" ht="15.75">
      <c r="A68" s="1"/>
      <c r="B68" s="1"/>
      <c r="C68" s="1"/>
      <c r="D68" s="93"/>
      <c r="E68" s="93" t="s">
        <v>82</v>
      </c>
      <c r="F68" s="126">
        <f>IF(C60=0,0,F64/C60)</f>
        <v>0.020418530160920715</v>
      </c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1" t="s">
        <v>266</v>
      </c>
      <c r="B71" s="11"/>
      <c r="C71" s="1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25" t="s">
        <v>37</v>
      </c>
      <c r="C76" s="56"/>
      <c r="D76" s="1"/>
      <c r="E76" s="1"/>
      <c r="F76" s="1"/>
    </row>
  </sheetData>
  <sheetProtection/>
  <mergeCells count="1">
    <mergeCell ref="A47:D47"/>
  </mergeCells>
  <printOptions/>
  <pageMargins left="0.75" right="0.75" top="1" bottom="1" header="0.5" footer="0.5"/>
  <pageSetup blackAndWhite="1" fitToHeight="1" fitToWidth="1" horizontalDpi="600" verticalDpi="600" orientation="portrait" scale="55" r:id="rId3"/>
  <headerFooter alignWithMargins="0">
    <oddHeader>&amp;RState of Kansas
County Special District</oddHeader>
    <oddFooter>&amp;Lrevised 8/06/07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'Holton #4'!C3</f>
        <v>Holton Rural #4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117387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117387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116399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910335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1071379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116596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232995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23647440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23414445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0.009950908509682804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1168.1072972261354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118555.10729722613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118555.10729722613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333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59562</v>
      </c>
      <c r="C9" s="20">
        <f>B35</f>
        <v>90353</v>
      </c>
      <c r="D9" s="20">
        <f>C35</f>
        <v>120353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>
        <v>791</v>
      </c>
      <c r="C11" s="106"/>
      <c r="D11" s="106"/>
    </row>
    <row r="12" spans="1:4" ht="15.75">
      <c r="A12" s="53" t="s">
        <v>345</v>
      </c>
      <c r="B12" s="36">
        <v>30000</v>
      </c>
      <c r="C12" s="36">
        <v>30000</v>
      </c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SUM(B11:B18)</f>
        <v>30791</v>
      </c>
      <c r="C19" s="184">
        <f>SUM(C12:C18)</f>
        <v>30000</v>
      </c>
      <c r="D19" s="184">
        <f>SUM(D12:D18)</f>
        <v>0</v>
      </c>
    </row>
    <row r="20" spans="1:4" ht="15.75">
      <c r="A20" s="122" t="s">
        <v>23</v>
      </c>
      <c r="B20" s="184">
        <f>B9+B19</f>
        <v>90353</v>
      </c>
      <c r="C20" s="184">
        <f>C9+C19</f>
        <v>120353</v>
      </c>
      <c r="D20" s="184">
        <f>D9+D19</f>
        <v>120353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90353</v>
      </c>
      <c r="C35" s="185">
        <f>C20-C34</f>
        <v>120353</v>
      </c>
      <c r="D35" s="185">
        <f>D20-D34</f>
        <v>120353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334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18689.31</v>
      </c>
      <c r="C57" s="20">
        <f>B83</f>
        <v>26878.83</v>
      </c>
      <c r="D57" s="20">
        <f>C83</f>
        <v>26878.83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 t="s">
        <v>257</v>
      </c>
      <c r="B59" s="36">
        <v>8096.08</v>
      </c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>
        <v>93.44</v>
      </c>
      <c r="C66" s="36"/>
      <c r="D66" s="36"/>
    </row>
    <row r="67" spans="1:4" ht="15.75">
      <c r="A67" s="122" t="s">
        <v>22</v>
      </c>
      <c r="B67" s="184">
        <f>SUM(B59:B66)</f>
        <v>8189.5199999999995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26878.83</v>
      </c>
      <c r="C68" s="184">
        <f>C57+C67</f>
        <v>26878.83</v>
      </c>
      <c r="D68" s="184">
        <f>D57+D67</f>
        <v>26878.83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26878.83</v>
      </c>
      <c r="C83" s="185">
        <f>C68-C82</f>
        <v>26878.83</v>
      </c>
      <c r="D83" s="185">
        <f>D68-D82</f>
        <v>26878.83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cellComments="asDisplayed" fitToHeight="2" fitToWidth="1" horizontalDpi="600" verticalDpi="600" orientation="portrait" scale="91" r:id="rId3"/>
  <headerFooter alignWithMargins="0">
    <oddHeader>&amp;RState of Kansas
County Special District</oddHeader>
    <oddFooter>&amp;Lrevised 8/06/07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26">
      <selection activeCell="J26" sqref="J2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8" width="9.140625" style="3" customWidth="1"/>
    <col min="9" max="9" width="12.7109375" style="3" bestFit="1" customWidth="1"/>
    <col min="10" max="10" width="12.140625" style="3" customWidth="1"/>
    <col min="11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cert2!A30</f>
        <v>Delia Rural #5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9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  <c r="I8" s="235"/>
    </row>
    <row r="9" spans="1:10" ht="15.75">
      <c r="A9" s="34" t="s">
        <v>13</v>
      </c>
      <c r="B9" s="35"/>
      <c r="C9" s="201"/>
      <c r="D9" s="196">
        <v>0</v>
      </c>
      <c r="E9" s="20">
        <f>+D46</f>
        <v>4083.2700000000077</v>
      </c>
      <c r="F9" s="20">
        <f>+E46</f>
        <v>4200.270000000004</v>
      </c>
      <c r="I9" s="235">
        <v>9611.63</v>
      </c>
      <c r="J9" s="3" t="s">
        <v>451</v>
      </c>
    </row>
    <row r="10" spans="1:11" ht="15.75">
      <c r="A10" s="199" t="s">
        <v>14</v>
      </c>
      <c r="B10" s="200"/>
      <c r="C10" s="201"/>
      <c r="D10" s="196"/>
      <c r="E10" s="36">
        <v>28520</v>
      </c>
      <c r="F10" s="19" t="s">
        <v>6</v>
      </c>
      <c r="J10" s="235">
        <v>53.5</v>
      </c>
      <c r="K10" s="3" t="s">
        <v>449</v>
      </c>
    </row>
    <row r="11" spans="1:11" ht="15.75">
      <c r="A11" s="34" t="s">
        <v>15</v>
      </c>
      <c r="B11" s="35"/>
      <c r="C11" s="201"/>
      <c r="D11" s="196"/>
      <c r="E11" s="36"/>
      <c r="F11" s="36"/>
      <c r="J11" s="235">
        <v>800</v>
      </c>
      <c r="K11" s="3" t="s">
        <v>449</v>
      </c>
    </row>
    <row r="12" spans="1:11" ht="15.75">
      <c r="A12" s="34" t="s">
        <v>16</v>
      </c>
      <c r="B12" s="35"/>
      <c r="C12" s="201"/>
      <c r="D12" s="196"/>
      <c r="E12" s="36">
        <v>4204</v>
      </c>
      <c r="F12" s="20">
        <f>D61</f>
        <v>3412</v>
      </c>
      <c r="J12" s="235">
        <v>610</v>
      </c>
      <c r="K12" s="3" t="s">
        <v>449</v>
      </c>
    </row>
    <row r="13" spans="1:11" ht="15.75">
      <c r="A13" s="34" t="s">
        <v>17</v>
      </c>
      <c r="B13" s="35"/>
      <c r="C13" s="201"/>
      <c r="D13" s="196"/>
      <c r="E13" s="36">
        <v>76</v>
      </c>
      <c r="F13" s="20">
        <f>E61</f>
        <v>53</v>
      </c>
      <c r="J13" s="235">
        <v>50</v>
      </c>
      <c r="K13" s="3" t="s">
        <v>449</v>
      </c>
    </row>
    <row r="14" spans="1:11" ht="15.75">
      <c r="A14" s="34" t="s">
        <v>86</v>
      </c>
      <c r="B14" s="35"/>
      <c r="C14" s="201"/>
      <c r="D14" s="196"/>
      <c r="E14" s="36">
        <v>496</v>
      </c>
      <c r="F14" s="20">
        <f>F61</f>
        <v>486</v>
      </c>
      <c r="J14" s="235">
        <v>53.5</v>
      </c>
      <c r="K14" s="3" t="s">
        <v>449</v>
      </c>
    </row>
    <row r="15" spans="1:11" ht="15.75">
      <c r="A15" s="34" t="s">
        <v>18</v>
      </c>
      <c r="B15" s="35"/>
      <c r="C15" s="201"/>
      <c r="D15" s="196"/>
      <c r="E15" s="36" t="s">
        <v>19</v>
      </c>
      <c r="F15" s="15"/>
      <c r="I15" s="238">
        <v>-1567</v>
      </c>
      <c r="J15" s="236">
        <f>SUM(J10:J14)</f>
        <v>1567</v>
      </c>
      <c r="K15" s="3" t="s">
        <v>450</v>
      </c>
    </row>
    <row r="16" spans="1:9" ht="15.75">
      <c r="A16" s="34" t="s">
        <v>207</v>
      </c>
      <c r="B16" s="35"/>
      <c r="C16" s="201"/>
      <c r="D16" s="196"/>
      <c r="E16" s="36"/>
      <c r="F16" s="15"/>
      <c r="I16" s="235">
        <f>SUM(I9:I15)</f>
        <v>8044.629999999999</v>
      </c>
    </row>
    <row r="17" spans="1:10" ht="15.75">
      <c r="A17" s="37" t="s">
        <v>447</v>
      </c>
      <c r="B17" s="38"/>
      <c r="C17" s="202"/>
      <c r="D17" s="237">
        <v>34382.51</v>
      </c>
      <c r="E17" s="36" t="s">
        <v>19</v>
      </c>
      <c r="F17" s="36" t="s">
        <v>19</v>
      </c>
      <c r="I17" s="235">
        <v>8096.08</v>
      </c>
      <c r="J17" s="3">
        <v>2009</v>
      </c>
    </row>
    <row r="18" spans="1:9" ht="15.75">
      <c r="A18" s="39"/>
      <c r="B18" s="38"/>
      <c r="C18" s="202"/>
      <c r="D18" s="196"/>
      <c r="E18" s="36"/>
      <c r="F18" s="36"/>
      <c r="I18" s="235">
        <f>I16-I17</f>
        <v>-51.45000000000073</v>
      </c>
    </row>
    <row r="19" spans="1:9" ht="15.75">
      <c r="A19" s="39"/>
      <c r="B19" s="38"/>
      <c r="C19" s="202"/>
      <c r="D19" s="196"/>
      <c r="E19" s="36"/>
      <c r="F19" s="36"/>
      <c r="I19" s="235"/>
    </row>
    <row r="20" spans="1:9" ht="15.75">
      <c r="A20" s="37" t="s">
        <v>448</v>
      </c>
      <c r="B20" s="38"/>
      <c r="C20" s="202"/>
      <c r="D20" s="196">
        <v>3</v>
      </c>
      <c r="E20" s="36"/>
      <c r="F20" s="36"/>
      <c r="I20" s="235"/>
    </row>
    <row r="21" spans="1:9" ht="15.75">
      <c r="A21" s="40"/>
      <c r="B21" s="41"/>
      <c r="C21" s="202"/>
      <c r="D21" s="196"/>
      <c r="E21" s="36"/>
      <c r="F21" s="36"/>
      <c r="I21" s="235"/>
    </row>
    <row r="22" spans="1:6" ht="15.75">
      <c r="A22" s="40" t="s">
        <v>21</v>
      </c>
      <c r="B22" s="41"/>
      <c r="C22" s="202"/>
      <c r="D22" s="237">
        <v>26.48</v>
      </c>
      <c r="E22" s="36"/>
      <c r="F22" s="36"/>
    </row>
    <row r="23" spans="1:9" ht="15.75">
      <c r="A23" s="42" t="s">
        <v>22</v>
      </c>
      <c r="B23" s="35"/>
      <c r="C23" s="201"/>
      <c r="D23" s="197">
        <f>SUM(D10:D22)</f>
        <v>34411.990000000005</v>
      </c>
      <c r="E23" s="184">
        <f>SUM(E10:E22)</f>
        <v>33296</v>
      </c>
      <c r="F23" s="184">
        <f>SUM(F10:F22)</f>
        <v>3951</v>
      </c>
      <c r="I23" s="3">
        <v>4083.21</v>
      </c>
    </row>
    <row r="24" spans="1:9" ht="15.75">
      <c r="A24" s="42" t="s">
        <v>23</v>
      </c>
      <c r="B24" s="35"/>
      <c r="C24" s="201"/>
      <c r="D24" s="197">
        <f>+D9+D23</f>
        <v>34411.990000000005</v>
      </c>
      <c r="E24" s="184">
        <f>+E9+E23</f>
        <v>37379.270000000004</v>
      </c>
      <c r="F24" s="184">
        <f>+F9+F23</f>
        <v>8151.270000000004</v>
      </c>
      <c r="I24" s="224">
        <f>E9</f>
        <v>4083.2700000000077</v>
      </c>
    </row>
    <row r="25" spans="1:9" ht="15.75">
      <c r="A25" s="34" t="s">
        <v>24</v>
      </c>
      <c r="B25" s="35"/>
      <c r="C25" s="201"/>
      <c r="D25" s="104"/>
      <c r="E25" s="20"/>
      <c r="F25" s="20"/>
      <c r="I25" s="224">
        <f>I23-I24</f>
        <v>-0.060000000007676135</v>
      </c>
    </row>
    <row r="26" spans="1:6" ht="15.75">
      <c r="A26" s="40" t="s">
        <v>347</v>
      </c>
      <c r="B26" s="38"/>
      <c r="C26" s="202"/>
      <c r="D26" s="237">
        <v>3981.14</v>
      </c>
      <c r="E26" s="36">
        <v>4700</v>
      </c>
      <c r="F26" s="36">
        <v>4700</v>
      </c>
    </row>
    <row r="27" spans="1:6" ht="15.75">
      <c r="A27" s="40" t="s">
        <v>264</v>
      </c>
      <c r="B27" s="38"/>
      <c r="C27" s="202"/>
      <c r="D27" s="237">
        <v>3481</v>
      </c>
      <c r="E27" s="36">
        <v>4150</v>
      </c>
      <c r="F27" s="36">
        <v>3800</v>
      </c>
    </row>
    <row r="28" spans="1:6" ht="15.75">
      <c r="A28" s="40" t="s">
        <v>327</v>
      </c>
      <c r="B28" s="38"/>
      <c r="C28" s="202"/>
      <c r="D28" s="237">
        <v>442.37</v>
      </c>
      <c r="E28" s="36">
        <v>3000</v>
      </c>
      <c r="F28" s="36">
        <v>3000</v>
      </c>
    </row>
    <row r="29" spans="1:6" ht="15.75">
      <c r="A29" s="40" t="s">
        <v>300</v>
      </c>
      <c r="B29" s="38"/>
      <c r="C29" s="202"/>
      <c r="D29" s="237">
        <v>1309.7</v>
      </c>
      <c r="E29" s="36">
        <v>2325</v>
      </c>
      <c r="F29" s="36">
        <v>2325</v>
      </c>
    </row>
    <row r="30" spans="1:6" ht="15.75">
      <c r="A30" s="40" t="s">
        <v>325</v>
      </c>
      <c r="B30" s="38"/>
      <c r="C30" s="202"/>
      <c r="D30" s="237">
        <v>7092.92</v>
      </c>
      <c r="E30" s="36">
        <v>3483</v>
      </c>
      <c r="F30" s="36">
        <v>3483</v>
      </c>
    </row>
    <row r="31" spans="1:6" ht="15.75">
      <c r="A31" s="40" t="s">
        <v>348</v>
      </c>
      <c r="B31" s="38"/>
      <c r="C31" s="202"/>
      <c r="D31" s="237">
        <v>641.5</v>
      </c>
      <c r="E31" s="36">
        <v>2700</v>
      </c>
      <c r="F31" s="36">
        <v>2700</v>
      </c>
    </row>
    <row r="32" spans="1:6" ht="15.75">
      <c r="A32" s="40" t="s">
        <v>349</v>
      </c>
      <c r="B32" s="38"/>
      <c r="C32" s="202"/>
      <c r="D32" s="196"/>
      <c r="E32" s="36">
        <v>715</v>
      </c>
      <c r="F32" s="36">
        <v>715</v>
      </c>
    </row>
    <row r="33" spans="1:6" ht="15.75">
      <c r="A33" s="40" t="s">
        <v>350</v>
      </c>
      <c r="B33" s="38"/>
      <c r="C33" s="202"/>
      <c r="D33" s="196"/>
      <c r="E33" s="36"/>
      <c r="F33" s="36">
        <v>350</v>
      </c>
    </row>
    <row r="34" spans="1:6" ht="15.75">
      <c r="A34" s="40" t="s">
        <v>351</v>
      </c>
      <c r="B34" s="38"/>
      <c r="C34" s="202"/>
      <c r="D34" s="196"/>
      <c r="E34" s="36">
        <v>1255</v>
      </c>
      <c r="F34" s="36">
        <v>1255</v>
      </c>
    </row>
    <row r="35" spans="1:6" ht="15.75">
      <c r="A35" s="40" t="s">
        <v>335</v>
      </c>
      <c r="B35" s="38"/>
      <c r="C35" s="202"/>
      <c r="D35" s="237">
        <v>11382.95</v>
      </c>
      <c r="E35" s="36">
        <v>6025</v>
      </c>
      <c r="F35" s="36">
        <v>5025</v>
      </c>
    </row>
    <row r="36" spans="1:6" ht="15.75">
      <c r="A36" s="40" t="s">
        <v>352</v>
      </c>
      <c r="B36" s="38"/>
      <c r="C36" s="202"/>
      <c r="D36" s="196"/>
      <c r="E36" s="36">
        <v>1000</v>
      </c>
      <c r="F36" s="36">
        <v>1000</v>
      </c>
    </row>
    <row r="37" spans="1:6" ht="15.75">
      <c r="A37" s="40" t="s">
        <v>353</v>
      </c>
      <c r="B37" s="38"/>
      <c r="C37" s="202"/>
      <c r="D37" s="237">
        <v>1732</v>
      </c>
      <c r="E37" s="36">
        <v>2876</v>
      </c>
      <c r="F37" s="36">
        <v>2876</v>
      </c>
    </row>
    <row r="38" spans="1:6" ht="15.75">
      <c r="A38" s="40" t="s">
        <v>339</v>
      </c>
      <c r="B38" s="38"/>
      <c r="C38" s="202"/>
      <c r="D38" s="237">
        <v>265.14</v>
      </c>
      <c r="E38" s="36">
        <v>950</v>
      </c>
      <c r="F38" s="36">
        <v>1950</v>
      </c>
    </row>
    <row r="39" spans="1:6" ht="15.75">
      <c r="A39" s="40" t="s">
        <v>354</v>
      </c>
      <c r="B39" s="38"/>
      <c r="C39" s="202"/>
      <c r="D39" s="196"/>
      <c r="E39" s="36"/>
      <c r="F39" s="36"/>
    </row>
    <row r="40" spans="1:6" ht="15.75">
      <c r="A40" s="37" t="s">
        <v>320</v>
      </c>
      <c r="B40" s="38"/>
      <c r="C40" s="202"/>
      <c r="D40" s="196"/>
      <c r="E40" s="36"/>
      <c r="F40" s="36"/>
    </row>
    <row r="41" spans="1:6" ht="15.75">
      <c r="A41" s="37"/>
      <c r="B41" s="38"/>
      <c r="C41" s="202"/>
      <c r="D41" s="196"/>
      <c r="E41" s="36"/>
      <c r="F41" s="36"/>
    </row>
    <row r="42" spans="1:6" ht="15.75">
      <c r="A42" s="37"/>
      <c r="B42" s="38"/>
      <c r="C42" s="202"/>
      <c r="D42" s="196"/>
      <c r="E42" s="36"/>
      <c r="F42" s="36"/>
    </row>
    <row r="43" spans="1:6" ht="15.75">
      <c r="A43" s="37"/>
      <c r="B43" s="38"/>
      <c r="C43" s="202"/>
      <c r="D43" s="196"/>
      <c r="E43" s="36"/>
      <c r="F43" s="36"/>
    </row>
    <row r="44" spans="1:6" ht="15.75">
      <c r="A44" s="37"/>
      <c r="B44" s="38"/>
      <c r="C44" s="202"/>
      <c r="D44" s="196"/>
      <c r="E44" s="36"/>
      <c r="F44" s="36"/>
    </row>
    <row r="45" spans="1:6" ht="15.75">
      <c r="A45" s="42" t="s">
        <v>25</v>
      </c>
      <c r="B45" s="35"/>
      <c r="C45" s="201"/>
      <c r="D45" s="197">
        <f>SUM(D26:D44)</f>
        <v>30328.719999999998</v>
      </c>
      <c r="E45" s="184">
        <f>SUM(E26:E44)</f>
        <v>33179</v>
      </c>
      <c r="F45" s="184">
        <f>SUM(F26:F44)</f>
        <v>33179</v>
      </c>
    </row>
    <row r="46" spans="1:6" ht="15.75">
      <c r="A46" s="34" t="s">
        <v>26</v>
      </c>
      <c r="B46" s="43"/>
      <c r="C46" s="205"/>
      <c r="D46" s="185">
        <f>+D24-D45</f>
        <v>4083.2700000000077</v>
      </c>
      <c r="E46" s="185">
        <f>+E24-E45</f>
        <v>4200.270000000004</v>
      </c>
      <c r="F46" s="19" t="s">
        <v>6</v>
      </c>
    </row>
    <row r="47" spans="1:7" ht="15.75">
      <c r="A47" s="1"/>
      <c r="B47" s="1"/>
      <c r="C47" s="1"/>
      <c r="D47" s="45"/>
      <c r="E47" s="46" t="s">
        <v>27</v>
      </c>
      <c r="F47" s="16"/>
      <c r="G47" s="194">
        <f>IF(F45/0.95-F45&lt;F47,"Exceeds 5%","")</f>
      </c>
    </row>
    <row r="48" spans="1:6" ht="15.75">
      <c r="A48" s="1"/>
      <c r="B48" s="25"/>
      <c r="C48" s="1"/>
      <c r="D48" s="45"/>
      <c r="E48" s="46" t="s">
        <v>28</v>
      </c>
      <c r="F48" s="20">
        <f>+F45+F47</f>
        <v>33179</v>
      </c>
    </row>
    <row r="49" spans="1:6" ht="15.75">
      <c r="A49" s="1"/>
      <c r="B49" s="1"/>
      <c r="C49" s="1"/>
      <c r="D49" s="1"/>
      <c r="E49" s="4" t="s">
        <v>29</v>
      </c>
      <c r="F49" s="185">
        <f>IF(F48-F24&gt;0,F48-F24,0)</f>
        <v>25027.729999999996</v>
      </c>
    </row>
    <row r="50" spans="1:6" ht="15.75">
      <c r="A50" s="307" t="s">
        <v>171</v>
      </c>
      <c r="B50" s="308"/>
      <c r="C50" s="308"/>
      <c r="D50" s="308"/>
      <c r="E50" s="189"/>
      <c r="F50" s="185">
        <f>ROUND(IF($E$50&gt;0,($F$49*$E$50),0),0)</f>
        <v>0</v>
      </c>
    </row>
    <row r="51" spans="1:7" ht="15.75">
      <c r="A51" s="1"/>
      <c r="B51" s="1"/>
      <c r="C51" s="60">
        <f>'#5 Comp'!J35</f>
        <v>28053.98706740017</v>
      </c>
      <c r="D51" s="1"/>
      <c r="E51" s="4" t="str">
        <f>CONCATENATE("Amount of ",$F$1-1," Ad Valorem Tax")</f>
        <v>Amount of 2011 Ad Valorem Tax</v>
      </c>
      <c r="F51" s="185">
        <f>SUM(F49:F50)</f>
        <v>25027.729999999996</v>
      </c>
      <c r="G51" s="226">
        <f>C51-F51</f>
        <v>3026.2570674001727</v>
      </c>
    </row>
    <row r="52" spans="1:6" ht="15.75">
      <c r="A52" s="1"/>
      <c r="B52" s="1"/>
      <c r="C52" s="1"/>
      <c r="D52" s="1"/>
      <c r="E52" s="4"/>
      <c r="F52" s="49"/>
    </row>
    <row r="53" spans="1:6" ht="15.75">
      <c r="A53" s="215">
        <f>sum2!I28</f>
        <v>5975478</v>
      </c>
      <c r="B53" s="1"/>
      <c r="C53" s="1"/>
      <c r="D53" s="1">
        <f>sum2!C28</f>
        <v>6.041</v>
      </c>
      <c r="E53" s="225">
        <f>sum2!E28</f>
        <v>5</v>
      </c>
      <c r="F53" s="223">
        <f>sum2!H28</f>
        <v>4.188</v>
      </c>
    </row>
    <row r="54" spans="1:6" ht="15.75">
      <c r="A54" s="1"/>
      <c r="B54" s="1"/>
      <c r="C54" s="1"/>
      <c r="D54" s="1"/>
      <c r="E54" s="4"/>
      <c r="F54" s="49"/>
    </row>
    <row r="55" spans="1:6" ht="15.75">
      <c r="A55" s="1"/>
      <c r="B55" s="1"/>
      <c r="C55" s="1"/>
      <c r="D55" s="1"/>
      <c r="E55" s="4"/>
      <c r="F55" s="49"/>
    </row>
    <row r="56" spans="1:6" ht="15.75">
      <c r="A56" s="1"/>
      <c r="B56" s="1"/>
      <c r="C56" s="1"/>
      <c r="D56" s="1"/>
      <c r="E56" s="4"/>
      <c r="F56" s="49"/>
    </row>
    <row r="57" spans="1:6" ht="15.75">
      <c r="A57" s="1"/>
      <c r="B57" s="27" t="s">
        <v>78</v>
      </c>
      <c r="C57" s="1"/>
      <c r="D57" s="11"/>
      <c r="E57" s="91"/>
      <c r="F57" s="92"/>
    </row>
    <row r="58" spans="1:6" ht="15.75">
      <c r="A58" s="26"/>
      <c r="B58" s="24" t="s">
        <v>19</v>
      </c>
      <c r="C58" s="1"/>
      <c r="D58" s="89"/>
      <c r="E58" s="93" t="str">
        <f>CONCATENATE("Allocation for Year ",$F$1,"")</f>
        <v>Allocation for Year 2012</v>
      </c>
      <c r="F58" s="90"/>
    </row>
    <row r="59" spans="1:6" ht="15.75">
      <c r="A59" s="50" t="s">
        <v>30</v>
      </c>
      <c r="B59" s="51"/>
      <c r="C59" s="162" t="s">
        <v>172</v>
      </c>
      <c r="D59" s="31" t="s">
        <v>79</v>
      </c>
      <c r="E59" s="31" t="s">
        <v>80</v>
      </c>
      <c r="F59" s="31" t="s">
        <v>81</v>
      </c>
    </row>
    <row r="60" spans="1:6" ht="15.75">
      <c r="A60" s="52" t="s">
        <v>31</v>
      </c>
      <c r="B60" s="105"/>
      <c r="C60" s="107" t="str">
        <f>CONCATENATE("for ",$F$1-1,"")</f>
        <v>for 2011</v>
      </c>
      <c r="D60" s="33" t="s">
        <v>32</v>
      </c>
      <c r="E60" s="33" t="s">
        <v>32</v>
      </c>
      <c r="F60" s="33" t="s">
        <v>32</v>
      </c>
    </row>
    <row r="61" spans="1:6" ht="15.75">
      <c r="A61" s="103" t="s">
        <v>33</v>
      </c>
      <c r="B61" s="109"/>
      <c r="C61" s="36">
        <v>27730</v>
      </c>
      <c r="D61" s="127">
        <f>IF(C61&gt;0,ROUND(+C61*D$69,0)," ")</f>
        <v>3412</v>
      </c>
      <c r="E61" s="127">
        <f>IF(C61&gt;0,ROUND(+C61*E$70,0)," ")</f>
        <v>53</v>
      </c>
      <c r="F61" s="127">
        <f>IF(C61&gt;0,ROUND(+C61*F$71,0)," ")</f>
        <v>486</v>
      </c>
    </row>
    <row r="62" spans="1:6" ht="15.75">
      <c r="A62" s="53"/>
      <c r="B62" s="102"/>
      <c r="C62" s="108"/>
      <c r="D62" s="127" t="str">
        <f>IF(C62&gt;0,ROUND(+C62*D$69,0)," ")</f>
        <v> </v>
      </c>
      <c r="E62" s="127" t="str">
        <f>IF(C62&gt;0,ROUND(+D62*E$70,0)," ")</f>
        <v> </v>
      </c>
      <c r="F62" s="127" t="str">
        <f>IF(C62&gt;0,ROUND(+E62*F$71,0)," ")</f>
        <v> </v>
      </c>
    </row>
    <row r="63" spans="1:6" ht="15.75">
      <c r="A63" s="34" t="s">
        <v>34</v>
      </c>
      <c r="B63" s="43"/>
      <c r="C63" s="190">
        <f>SUM(C61:C62)</f>
        <v>27730</v>
      </c>
      <c r="D63" s="191">
        <f>SUM(D61:D62)</f>
        <v>3412</v>
      </c>
      <c r="E63" s="191">
        <f>SUM(E61:E62)</f>
        <v>53</v>
      </c>
      <c r="F63" s="191">
        <f>SUM(F61:F62)</f>
        <v>486</v>
      </c>
    </row>
    <row r="64" spans="1:6" ht="15.75">
      <c r="A64" s="28"/>
      <c r="B64" s="28"/>
      <c r="C64" s="49"/>
      <c r="D64" s="124"/>
      <c r="E64" s="124"/>
      <c r="F64" s="124"/>
    </row>
    <row r="65" spans="1:6" ht="15.75">
      <c r="A65" s="28" t="s">
        <v>83</v>
      </c>
      <c r="B65" s="28"/>
      <c r="C65" s="49"/>
      <c r="D65" s="125">
        <v>3411.98</v>
      </c>
      <c r="E65" s="124"/>
      <c r="F65" s="124"/>
    </row>
    <row r="66" spans="1:6" ht="15.75">
      <c r="A66" s="28" t="s">
        <v>84</v>
      </c>
      <c r="B66" s="28"/>
      <c r="C66" s="49"/>
      <c r="D66" s="124"/>
      <c r="E66" s="125">
        <v>52.64</v>
      </c>
      <c r="F66" s="124"/>
    </row>
    <row r="67" spans="1:6" ht="15.75">
      <c r="A67" s="28" t="s">
        <v>85</v>
      </c>
      <c r="B67" s="28"/>
      <c r="C67" s="49"/>
      <c r="D67" s="124"/>
      <c r="E67" s="124"/>
      <c r="F67" s="125">
        <v>485.68</v>
      </c>
    </row>
    <row r="68" spans="1:6" ht="15.75">
      <c r="A68" s="1"/>
      <c r="B68" s="1"/>
      <c r="C68" s="1"/>
      <c r="D68" s="93"/>
      <c r="E68" s="93"/>
      <c r="F68" s="93"/>
    </row>
    <row r="69" spans="1:6" ht="15.75">
      <c r="A69" s="1"/>
      <c r="B69" s="1"/>
      <c r="C69" s="1" t="s">
        <v>35</v>
      </c>
      <c r="D69" s="126">
        <f>IF(C63=0,0,D65/C63)</f>
        <v>0.12304291381175622</v>
      </c>
      <c r="E69" s="93"/>
      <c r="F69" s="93"/>
    </row>
    <row r="70" spans="1:6" ht="15.75">
      <c r="A70" s="1"/>
      <c r="B70" s="1"/>
      <c r="C70" s="1"/>
      <c r="D70" s="93" t="s">
        <v>36</v>
      </c>
      <c r="E70" s="126">
        <f>IF(C63=0,0,E66/C63)</f>
        <v>0.0018983050847457628</v>
      </c>
      <c r="F70" s="93"/>
    </row>
    <row r="71" spans="1:6" ht="15.75">
      <c r="A71" s="11" t="s">
        <v>266</v>
      </c>
      <c r="B71" s="11"/>
      <c r="C71" s="11"/>
      <c r="D71" s="93"/>
      <c r="E71" s="93" t="s">
        <v>82</v>
      </c>
      <c r="F71" s="126">
        <f>IF(C63=0,0,F67/C63)</f>
        <v>0.01751460512080779</v>
      </c>
    </row>
    <row r="72" spans="1:6" ht="15.75">
      <c r="A72" s="1"/>
      <c r="B72" s="1"/>
      <c r="C72" s="1"/>
      <c r="D72" s="1"/>
      <c r="E72" s="1"/>
      <c r="F72" s="1"/>
    </row>
    <row r="73" spans="1:6" ht="15.75">
      <c r="A73" s="11" t="s">
        <v>266</v>
      </c>
      <c r="B73" s="11"/>
      <c r="C73" s="1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1" t="s">
        <v>266</v>
      </c>
      <c r="B75" s="11"/>
      <c r="C75" s="1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25" t="s">
        <v>37</v>
      </c>
      <c r="C79" s="56"/>
      <c r="D79" s="1"/>
      <c r="E79" s="1"/>
      <c r="F79" s="1"/>
    </row>
  </sheetData>
  <sheetProtection/>
  <mergeCells count="1">
    <mergeCell ref="A50:D50"/>
  </mergeCells>
  <printOptions/>
  <pageMargins left="0.75" right="0.75" top="1" bottom="1" header="0.5" footer="0.5"/>
  <pageSetup blackAndWhite="1" fitToHeight="1" fitToWidth="1" horizontalDpi="600" verticalDpi="600" orientation="portrait" scale="53" r:id="rId3"/>
  <headerFooter alignWithMargins="0">
    <oddHeader>&amp;RState of Kansas
County Special District</oddHeader>
    <oddFooter>&amp;Lrevised 8/06/07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'Delia #5'!C3</f>
        <v>Delia Rural #5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27730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27730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47699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94875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99106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21310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69009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5975478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5906469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0.011683630270471241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323.9870674001675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28053.98706740017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28053.98706740017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cert2!A31</f>
        <v>Netawaka City/Township #6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132.52</v>
      </c>
      <c r="E9" s="20">
        <f>+D37</f>
        <v>45.98000000001048</v>
      </c>
      <c r="F9" s="20">
        <f>+E37</f>
        <v>-0.01999999998952262</v>
      </c>
    </row>
    <row r="10" spans="1:6" ht="15.75">
      <c r="A10" s="199" t="s">
        <v>14</v>
      </c>
      <c r="B10" s="200"/>
      <c r="C10" s="201"/>
      <c r="D10" s="196"/>
      <c r="E10" s="36">
        <v>14890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2461</v>
      </c>
      <c r="F12" s="20">
        <f>D52</f>
        <v>2124</v>
      </c>
    </row>
    <row r="13" spans="1:6" ht="15.75">
      <c r="A13" s="34" t="s">
        <v>17</v>
      </c>
      <c r="B13" s="35"/>
      <c r="C13" s="201"/>
      <c r="D13" s="196"/>
      <c r="E13" s="36">
        <v>35</v>
      </c>
      <c r="F13" s="20">
        <f>E52</f>
        <v>20</v>
      </c>
    </row>
    <row r="14" spans="1:6" ht="15.75">
      <c r="A14" s="34" t="s">
        <v>86</v>
      </c>
      <c r="B14" s="35"/>
      <c r="C14" s="201"/>
      <c r="D14" s="196"/>
      <c r="E14" s="36">
        <v>507</v>
      </c>
      <c r="F14" s="20">
        <f>F52</f>
        <v>557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438</v>
      </c>
      <c r="B17" s="38"/>
      <c r="C17" s="202"/>
      <c r="D17" s="196">
        <f>9853.19+6688.11+194.88+1800.09+463.2</f>
        <v>18999.47</v>
      </c>
      <c r="E17" s="36" t="s">
        <v>19</v>
      </c>
      <c r="F17" s="36" t="s">
        <v>19</v>
      </c>
    </row>
    <row r="18" spans="1:6" ht="15.75">
      <c r="A18" s="39" t="s">
        <v>440</v>
      </c>
      <c r="B18" s="38"/>
      <c r="C18" s="202"/>
      <c r="D18" s="196">
        <v>3000</v>
      </c>
      <c r="E18" s="36"/>
      <c r="F18" s="36"/>
    </row>
    <row r="19" spans="1:6" ht="15.75">
      <c r="A19" s="39" t="s">
        <v>314</v>
      </c>
      <c r="B19" s="38"/>
      <c r="C19" s="202"/>
      <c r="D19" s="196">
        <v>20332</v>
      </c>
      <c r="E19" s="36"/>
      <c r="F19" s="36"/>
    </row>
    <row r="20" spans="1:6" ht="15.75">
      <c r="A20" s="37" t="s">
        <v>314</v>
      </c>
      <c r="B20" s="38"/>
      <c r="C20" s="202"/>
      <c r="D20" s="196">
        <v>14706</v>
      </c>
      <c r="E20" s="36"/>
      <c r="F20" s="36"/>
    </row>
    <row r="21" spans="1:6" ht="15.75">
      <c r="A21" s="40" t="s">
        <v>442</v>
      </c>
      <c r="B21" s="41"/>
      <c r="C21" s="202"/>
      <c r="D21" s="196">
        <v>13073</v>
      </c>
      <c r="E21" s="36">
        <f>6000+2032</f>
        <v>8032</v>
      </c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70110.47</v>
      </c>
      <c r="E23" s="184">
        <f>SUM(E10:E22)</f>
        <v>25925</v>
      </c>
      <c r="F23" s="184">
        <f>SUM(F10:F22)</f>
        <v>2701</v>
      </c>
    </row>
    <row r="24" spans="1:6" ht="15.75">
      <c r="A24" s="42" t="s">
        <v>23</v>
      </c>
      <c r="B24" s="35"/>
      <c r="C24" s="201"/>
      <c r="D24" s="197">
        <f>+D9+D23</f>
        <v>70242.99</v>
      </c>
      <c r="E24" s="184">
        <f>+E9+E23</f>
        <v>25970.98000000001</v>
      </c>
      <c r="F24" s="184">
        <f>+F9+F23</f>
        <v>2700.9800000000105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360</v>
      </c>
      <c r="B26" s="38"/>
      <c r="C26" s="202"/>
      <c r="D26" s="196">
        <v>813.98</v>
      </c>
      <c r="E26" s="36">
        <v>2951</v>
      </c>
      <c r="F26" s="36">
        <v>3000</v>
      </c>
    </row>
    <row r="27" spans="1:6" ht="15.75">
      <c r="A27" s="40" t="s">
        <v>355</v>
      </c>
      <c r="B27" s="38"/>
      <c r="C27" s="202"/>
      <c r="D27" s="196">
        <v>2500</v>
      </c>
      <c r="E27" s="36">
        <v>2500</v>
      </c>
      <c r="F27" s="36">
        <v>2500</v>
      </c>
    </row>
    <row r="28" spans="1:6" ht="15.75">
      <c r="A28" s="40" t="s">
        <v>264</v>
      </c>
      <c r="B28" s="38"/>
      <c r="C28" s="202"/>
      <c r="D28" s="196">
        <v>2763</v>
      </c>
      <c r="E28" s="36">
        <v>2500</v>
      </c>
      <c r="F28" s="36">
        <v>2200</v>
      </c>
    </row>
    <row r="29" spans="1:6" ht="15.75">
      <c r="A29" s="40" t="s">
        <v>319</v>
      </c>
      <c r="B29" s="38"/>
      <c r="C29" s="202"/>
      <c r="D29" s="196">
        <v>2776.61</v>
      </c>
      <c r="E29" s="36">
        <v>3100</v>
      </c>
      <c r="F29" s="36">
        <v>3100</v>
      </c>
    </row>
    <row r="30" spans="1:6" ht="15.75">
      <c r="A30" s="40" t="s">
        <v>443</v>
      </c>
      <c r="B30" s="38"/>
      <c r="C30" s="202"/>
      <c r="D30" s="196">
        <v>13073</v>
      </c>
      <c r="E30" s="36">
        <v>8032</v>
      </c>
      <c r="F30" s="36"/>
    </row>
    <row r="31" spans="1:6" ht="15.75">
      <c r="A31" s="37" t="s">
        <v>356</v>
      </c>
      <c r="B31" s="38"/>
      <c r="C31" s="202"/>
      <c r="D31" s="196">
        <v>3829.98</v>
      </c>
      <c r="E31" s="36">
        <v>1000</v>
      </c>
      <c r="F31" s="36">
        <v>1000</v>
      </c>
    </row>
    <row r="32" spans="1:6" ht="15.75">
      <c r="A32" s="37" t="s">
        <v>357</v>
      </c>
      <c r="B32" s="38"/>
      <c r="C32" s="202"/>
      <c r="D32" s="196">
        <v>2500</v>
      </c>
      <c r="E32" s="36"/>
      <c r="F32" s="36">
        <v>117</v>
      </c>
    </row>
    <row r="33" spans="1:6" ht="15.75">
      <c r="A33" s="37" t="s">
        <v>358</v>
      </c>
      <c r="B33" s="38"/>
      <c r="C33" s="202"/>
      <c r="D33" s="196"/>
      <c r="E33" s="36">
        <v>4688</v>
      </c>
      <c r="F33" s="36">
        <v>4688</v>
      </c>
    </row>
    <row r="34" spans="1:6" ht="15.75">
      <c r="A34" s="37" t="s">
        <v>359</v>
      </c>
      <c r="B34" s="38"/>
      <c r="C34" s="202"/>
      <c r="D34" s="196">
        <v>4688.16</v>
      </c>
      <c r="E34" s="36">
        <v>1200</v>
      </c>
      <c r="F34" s="36">
        <v>1200</v>
      </c>
    </row>
    <row r="35" spans="1:6" ht="15.75">
      <c r="A35" s="37" t="s">
        <v>441</v>
      </c>
      <c r="B35" s="38"/>
      <c r="C35" s="202"/>
      <c r="D35" s="196">
        <f>21705.5+15546.78</f>
        <v>37252.28</v>
      </c>
      <c r="E35" s="36"/>
      <c r="F35" s="36"/>
    </row>
    <row r="36" spans="1:6" ht="15.75">
      <c r="A36" s="42" t="s">
        <v>25</v>
      </c>
      <c r="B36" s="35"/>
      <c r="C36" s="201"/>
      <c r="D36" s="197">
        <f>SUM(D26:D35)</f>
        <v>70197.01</v>
      </c>
      <c r="E36" s="184">
        <f>SUM(E26:E35)</f>
        <v>25971</v>
      </c>
      <c r="F36" s="184">
        <f>SUM(F26:F35)</f>
        <v>17805</v>
      </c>
    </row>
    <row r="37" spans="1:6" ht="15.75">
      <c r="A37" s="34" t="s">
        <v>26</v>
      </c>
      <c r="B37" s="43"/>
      <c r="C37" s="205"/>
      <c r="D37" s="185">
        <f>+D24-D36</f>
        <v>45.98000000001048</v>
      </c>
      <c r="E37" s="185">
        <f>+E24-E36</f>
        <v>-0.01999999998952262</v>
      </c>
      <c r="F37" s="19" t="s">
        <v>6</v>
      </c>
    </row>
    <row r="38" spans="1:7" ht="15.75">
      <c r="A38" s="1"/>
      <c r="B38" s="1"/>
      <c r="C38" s="1"/>
      <c r="D38" s="45"/>
      <c r="E38" s="46" t="s">
        <v>27</v>
      </c>
      <c r="F38" s="16"/>
      <c r="G38" s="194">
        <f>IF(F36/0.95-F36&lt;F38,"Exceeds 5%","")</f>
      </c>
    </row>
    <row r="39" spans="1:6" ht="15.75">
      <c r="A39" s="1"/>
      <c r="B39" s="25"/>
      <c r="C39" s="1"/>
      <c r="D39" s="45"/>
      <c r="E39" s="46" t="s">
        <v>28</v>
      </c>
      <c r="F39" s="20">
        <f>+F36+F38</f>
        <v>17805</v>
      </c>
    </row>
    <row r="40" spans="1:6" ht="15.75">
      <c r="A40" s="1"/>
      <c r="B40" s="1"/>
      <c r="C40" s="1"/>
      <c r="D40" s="1"/>
      <c r="E40" s="4" t="s">
        <v>29</v>
      </c>
      <c r="F40" s="185">
        <f>IF(F39-F24&gt;0,F39-F24,0)</f>
        <v>15104.01999999999</v>
      </c>
    </row>
    <row r="41" spans="1:6" ht="15.75">
      <c r="A41" s="307" t="s">
        <v>171</v>
      </c>
      <c r="B41" s="308"/>
      <c r="C41" s="308"/>
      <c r="D41" s="308"/>
      <c r="E41" s="189"/>
      <c r="F41" s="185">
        <f>ROUND(IF($E$41&gt;0,($F$40*$E$41),0),0)</f>
        <v>0</v>
      </c>
    </row>
    <row r="42" spans="1:7" ht="15.75">
      <c r="A42" s="1"/>
      <c r="B42" s="1"/>
      <c r="C42" s="60">
        <f>'#6 Comp'!J35</f>
        <v>15104.510490162722</v>
      </c>
      <c r="D42" s="1"/>
      <c r="E42" s="4" t="str">
        <f>CONCATENATE("Amount of ",$F$1-1," Ad Valorem Tax")</f>
        <v>Amount of 2011 Ad Valorem Tax</v>
      </c>
      <c r="F42" s="185">
        <f>SUM(F40:F41)</f>
        <v>15104.01999999999</v>
      </c>
      <c r="G42" s="226">
        <f>C42-F42</f>
        <v>0.4904901627323852</v>
      </c>
    </row>
    <row r="43" spans="1:6" ht="15.75">
      <c r="A43" s="1"/>
      <c r="B43" s="1"/>
      <c r="C43" s="1"/>
      <c r="D43" s="1"/>
      <c r="E43" s="4"/>
      <c r="F43" s="49"/>
    </row>
    <row r="44" spans="1:6" ht="15.75">
      <c r="A44" s="215">
        <f>sum2!I29</f>
        <v>2719031</v>
      </c>
      <c r="B44" s="1"/>
      <c r="C44" s="1"/>
      <c r="D44" s="1"/>
      <c r="E44" s="225">
        <f>sum2!E29</f>
        <v>5.718</v>
      </c>
      <c r="F44" s="223">
        <f>sum2!H29</f>
        <v>5.555</v>
      </c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1"/>
      <c r="C47" s="1"/>
      <c r="D47" s="1"/>
      <c r="E47" s="4"/>
      <c r="F47" s="49"/>
    </row>
    <row r="48" spans="1:6" ht="15.75">
      <c r="A48" s="1"/>
      <c r="B48" s="27" t="s">
        <v>78</v>
      </c>
      <c r="C48" s="1"/>
      <c r="D48" s="11"/>
      <c r="E48" s="91"/>
      <c r="F48" s="92"/>
    </row>
    <row r="49" spans="1:6" ht="15.75">
      <c r="A49" s="26"/>
      <c r="B49" s="24" t="s">
        <v>19</v>
      </c>
      <c r="C49" s="1"/>
      <c r="D49" s="89"/>
      <c r="E49" s="93" t="str">
        <f>CONCATENATE("Allocation for Year ",$F$1,"")</f>
        <v>Allocation for Year 2012</v>
      </c>
      <c r="F49" s="90"/>
    </row>
    <row r="50" spans="1:6" ht="15.75">
      <c r="A50" s="50" t="s">
        <v>30</v>
      </c>
      <c r="B50" s="51"/>
      <c r="C50" s="162" t="s">
        <v>172</v>
      </c>
      <c r="D50" s="31" t="s">
        <v>79</v>
      </c>
      <c r="E50" s="31" t="s">
        <v>80</v>
      </c>
      <c r="F50" s="31" t="s">
        <v>81</v>
      </c>
    </row>
    <row r="51" spans="1:6" ht="15.75">
      <c r="A51" s="52" t="s">
        <v>31</v>
      </c>
      <c r="B51" s="105"/>
      <c r="C51" s="107" t="str">
        <f>CONCATENATE("for ",$F$1-1,"")</f>
        <v>for 2011</v>
      </c>
      <c r="D51" s="33" t="s">
        <v>32</v>
      </c>
      <c r="E51" s="33" t="s">
        <v>32</v>
      </c>
      <c r="F51" s="33" t="s">
        <v>32</v>
      </c>
    </row>
    <row r="52" spans="1:6" ht="15.75">
      <c r="A52" s="103" t="s">
        <v>33</v>
      </c>
      <c r="B52" s="109"/>
      <c r="C52" s="36">
        <v>2719031</v>
      </c>
      <c r="D52" s="127">
        <f>IF(C52&gt;0,ROUND(+C52*D$60,0)," ")</f>
        <v>2124</v>
      </c>
      <c r="E52" s="127">
        <f>IF(C52&gt;0,ROUND(+C52*E$61,0)," ")</f>
        <v>20</v>
      </c>
      <c r="F52" s="127">
        <f>IF(C52&gt;0,ROUND(+C52*F$62,0)," ")</f>
        <v>557</v>
      </c>
    </row>
    <row r="53" spans="1:6" ht="15.75">
      <c r="A53" s="53"/>
      <c r="B53" s="102"/>
      <c r="C53" s="108"/>
      <c r="D53" s="127" t="str">
        <f>IF(C53&gt;0,ROUND(+C53*D$60,0)," ")</f>
        <v> </v>
      </c>
      <c r="E53" s="127" t="str">
        <f>IF(C53&gt;0,ROUND(+D53*E$61,0)," ")</f>
        <v> </v>
      </c>
      <c r="F53" s="127" t="str">
        <f>IF(C53&gt;0,ROUND(+E53*F$62,0)," ")</f>
        <v> </v>
      </c>
    </row>
    <row r="54" spans="1:6" ht="15.75">
      <c r="A54" s="34" t="s">
        <v>34</v>
      </c>
      <c r="B54" s="43"/>
      <c r="C54" s="190">
        <f>SUM(C52:C53)</f>
        <v>2719031</v>
      </c>
      <c r="D54" s="191">
        <f>SUM(D52:D53)</f>
        <v>2124</v>
      </c>
      <c r="E54" s="191">
        <f>SUM(E52:E53)</f>
        <v>20</v>
      </c>
      <c r="F54" s="191">
        <f>SUM(F52:F53)</f>
        <v>557</v>
      </c>
    </row>
    <row r="55" spans="1:6" ht="15.75">
      <c r="A55" s="28"/>
      <c r="B55" s="28"/>
      <c r="C55" s="49"/>
      <c r="D55" s="124"/>
      <c r="E55" s="124"/>
      <c r="F55" s="124"/>
    </row>
    <row r="56" spans="1:6" ht="15.75">
      <c r="A56" s="28" t="s">
        <v>83</v>
      </c>
      <c r="B56" s="28"/>
      <c r="C56" s="49"/>
      <c r="D56" s="125">
        <v>2124.12</v>
      </c>
      <c r="E56" s="124"/>
      <c r="F56" s="124"/>
    </row>
    <row r="57" spans="1:6" ht="15.75">
      <c r="A57" s="28" t="s">
        <v>84</v>
      </c>
      <c r="B57" s="28"/>
      <c r="C57" s="49"/>
      <c r="D57" s="124"/>
      <c r="E57" s="125">
        <v>20.47</v>
      </c>
      <c r="F57" s="124"/>
    </row>
    <row r="58" spans="1:6" ht="15.75">
      <c r="A58" s="28" t="s">
        <v>85</v>
      </c>
      <c r="B58" s="28"/>
      <c r="C58" s="49"/>
      <c r="D58" s="124"/>
      <c r="E58" s="124"/>
      <c r="F58" s="125">
        <v>557.11</v>
      </c>
    </row>
    <row r="59" spans="1:6" ht="15.75">
      <c r="A59" s="1"/>
      <c r="B59" s="1"/>
      <c r="C59" s="1"/>
      <c r="D59" s="93"/>
      <c r="E59" s="93"/>
      <c r="F59" s="93"/>
    </row>
    <row r="60" spans="1:6" ht="15.75">
      <c r="A60" s="1"/>
      <c r="B60" s="1"/>
      <c r="C60" s="1" t="s">
        <v>35</v>
      </c>
      <c r="D60" s="126">
        <f>IF(C54=0,0,D56/C54)</f>
        <v>0.0007812047747892539</v>
      </c>
      <c r="E60" s="93"/>
      <c r="F60" s="93"/>
    </row>
    <row r="61" spans="1:6" ht="15.75">
      <c r="A61" s="1"/>
      <c r="B61" s="1"/>
      <c r="C61" s="1"/>
      <c r="D61" s="93" t="s">
        <v>36</v>
      </c>
      <c r="E61" s="126">
        <f>IF(C54=0,0,E57/C54)</f>
        <v>7.528417292778199E-06</v>
      </c>
      <c r="F61" s="93"/>
    </row>
    <row r="62" spans="1:6" ht="15.75">
      <c r="A62" s="1"/>
      <c r="B62" s="1"/>
      <c r="C62" s="1"/>
      <c r="D62" s="93"/>
      <c r="E62" s="93" t="s">
        <v>82</v>
      </c>
      <c r="F62" s="126">
        <f>IF(C54=0,0,F58/C54)</f>
        <v>0.00020489284601757024</v>
      </c>
    </row>
    <row r="63" spans="1:6" ht="15.75">
      <c r="A63" s="11" t="s">
        <v>266</v>
      </c>
      <c r="B63" s="11"/>
      <c r="C63" s="1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1" t="s">
        <v>266</v>
      </c>
      <c r="B65" s="11"/>
      <c r="C65" s="1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1" t="s">
        <v>266</v>
      </c>
      <c r="B67" s="11"/>
      <c r="C67" s="1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5" t="s">
        <v>37</v>
      </c>
      <c r="C70" s="56"/>
      <c r="D70" s="1"/>
      <c r="E70" s="1"/>
      <c r="F70" s="1"/>
    </row>
  </sheetData>
  <sheetProtection/>
  <mergeCells count="1">
    <mergeCell ref="A41:D41"/>
  </mergeCells>
  <printOptions/>
  <pageMargins left="0.75" right="0.75" top="1" bottom="1" header="0.5" footer="0.5"/>
  <pageSetup blackAndWhite="1" cellComments="asDisplayed" fitToHeight="1" fitToWidth="1" horizontalDpi="600" verticalDpi="600" orientation="portrait" scale="61" r:id="rId3"/>
  <headerFooter alignWithMargins="0">
    <oddHeader>&amp;RState of Kansas
County Special District</oddHeader>
    <oddFooter>&amp;Lrevised 8/06/07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G39" sqref="G3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Adrian!C3</f>
        <v>Adrian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4569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4569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22918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15552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17256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5117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28035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1416948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1388913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0.0201848495910111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ROUND(G27*J7,0)</f>
        <v>92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4661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4661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'Net Fire #6'!C3</f>
        <v>Netawaka City/Township #6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14890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14890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18235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99218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5703737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20380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38615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2719031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2680416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0.014406345880639423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214.51049016272103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15104.510490162722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15104.510490162722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331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24198.07</v>
      </c>
      <c r="C9" s="20">
        <f>B35</f>
        <v>13718.57</v>
      </c>
      <c r="D9" s="20">
        <f>C35</f>
        <v>5686.57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 t="s">
        <v>257</v>
      </c>
      <c r="B11" s="106">
        <v>2500</v>
      </c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>
        <v>93.5</v>
      </c>
      <c r="C18" s="36"/>
      <c r="D18" s="36"/>
    </row>
    <row r="19" spans="1:4" ht="15.75">
      <c r="A19" s="122" t="s">
        <v>22</v>
      </c>
      <c r="B19" s="184">
        <f>SUM(B11:B18)</f>
        <v>2593.5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26791.57</v>
      </c>
      <c r="C20" s="184">
        <f>C9+C19</f>
        <v>13718.57</v>
      </c>
      <c r="D20" s="184">
        <f>D9+D19</f>
        <v>5686.57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444</v>
      </c>
      <c r="B22" s="36">
        <v>13073</v>
      </c>
      <c r="C22" s="36"/>
      <c r="D22" s="36"/>
    </row>
    <row r="23" spans="1:4" ht="15.75">
      <c r="A23" s="53" t="s">
        <v>445</v>
      </c>
      <c r="B23" s="36"/>
      <c r="C23" s="36">
        <v>6000</v>
      </c>
      <c r="D23" s="36"/>
    </row>
    <row r="24" spans="1:4" ht="15.75">
      <c r="A24" s="53" t="s">
        <v>446</v>
      </c>
      <c r="B24" s="16"/>
      <c r="C24" s="16">
        <v>2032</v>
      </c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13073</v>
      </c>
      <c r="C34" s="184">
        <f>SUM(C22:C33)</f>
        <v>8032</v>
      </c>
      <c r="D34" s="184">
        <f>SUM(D22:D33)</f>
        <v>0</v>
      </c>
    </row>
    <row r="35" spans="1:4" ht="15.75">
      <c r="A35" s="18" t="s">
        <v>138</v>
      </c>
      <c r="B35" s="185">
        <f>B20-B34</f>
        <v>13718.57</v>
      </c>
      <c r="C35" s="185">
        <f>C20-C34</f>
        <v>5686.57</v>
      </c>
      <c r="D35" s="185">
        <f>D20-D34</f>
        <v>5686.57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332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>
        <v>23683</v>
      </c>
      <c r="C57" s="20">
        <f>B83</f>
        <v>23741.88</v>
      </c>
      <c r="D57" s="20">
        <f>C83</f>
        <v>23741.88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>
        <v>58.88</v>
      </c>
      <c r="C66" s="36"/>
      <c r="D66" s="36"/>
    </row>
    <row r="67" spans="1:4" ht="15.75">
      <c r="A67" s="122" t="s">
        <v>22</v>
      </c>
      <c r="B67" s="184">
        <f>SUM(B59:B66)</f>
        <v>58.88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23741.88</v>
      </c>
      <c r="C68" s="184">
        <f>C57+C67</f>
        <v>23741.88</v>
      </c>
      <c r="D68" s="184">
        <f>D57+D67</f>
        <v>23741.88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23741.88</v>
      </c>
      <c r="C83" s="185">
        <f>C68-C82</f>
        <v>23741.88</v>
      </c>
      <c r="D83" s="185">
        <f>D68-D82</f>
        <v>23741.88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7">
      <selection activeCell="H59" sqref="H5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cert2!A32</f>
        <v>Whiting City/Township #7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735</v>
      </c>
      <c r="E9" s="20">
        <f>+D36</f>
        <v>1338.7999999999956</v>
      </c>
      <c r="F9" s="20">
        <f>+E36</f>
        <v>1177.7999999999956</v>
      </c>
    </row>
    <row r="10" spans="1:6" ht="15.75">
      <c r="A10" s="199" t="s">
        <v>14</v>
      </c>
      <c r="B10" s="200"/>
      <c r="C10" s="201"/>
      <c r="D10" s="196"/>
      <c r="E10" s="36">
        <v>14226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1743</v>
      </c>
      <c r="F12" s="20">
        <f>D51</f>
        <v>1882</v>
      </c>
    </row>
    <row r="13" spans="1:6" ht="15.75">
      <c r="A13" s="34" t="s">
        <v>17</v>
      </c>
      <c r="B13" s="35"/>
      <c r="C13" s="201"/>
      <c r="D13" s="196"/>
      <c r="E13" s="36">
        <v>20</v>
      </c>
      <c r="F13" s="20">
        <f>E51</f>
        <v>56</v>
      </c>
    </row>
    <row r="14" spans="1:6" ht="15.75">
      <c r="A14" s="34" t="s">
        <v>86</v>
      </c>
      <c r="B14" s="35"/>
      <c r="C14" s="201"/>
      <c r="D14" s="196"/>
      <c r="E14" s="36">
        <v>374</v>
      </c>
      <c r="F14" s="20">
        <f>F51</f>
        <v>370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438</v>
      </c>
      <c r="B17" s="38"/>
      <c r="C17" s="202"/>
      <c r="D17" s="196">
        <v>15085.98</v>
      </c>
      <c r="E17" s="36" t="s">
        <v>19</v>
      </c>
      <c r="F17" s="36" t="s">
        <v>19</v>
      </c>
    </row>
    <row r="18" spans="1:6" ht="15.75">
      <c r="A18" s="39" t="s">
        <v>300</v>
      </c>
      <c r="B18" s="38"/>
      <c r="C18" s="202"/>
      <c r="D18" s="196">
        <v>913.08</v>
      </c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 t="s">
        <v>439</v>
      </c>
      <c r="B21" s="41"/>
      <c r="C21" s="202"/>
      <c r="D21" s="196">
        <v>-13</v>
      </c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15986.06</v>
      </c>
      <c r="E23" s="184">
        <f>SUM(E10:E22)</f>
        <v>16363</v>
      </c>
      <c r="F23" s="184">
        <f>SUM(F10:F22)</f>
        <v>2308</v>
      </c>
    </row>
    <row r="24" spans="1:6" ht="15.75">
      <c r="A24" s="42" t="s">
        <v>23</v>
      </c>
      <c r="B24" s="35"/>
      <c r="C24" s="201"/>
      <c r="D24" s="197">
        <f>+D9+D23</f>
        <v>16721.059999999998</v>
      </c>
      <c r="E24" s="184">
        <f>+E9+E23</f>
        <v>17701.799999999996</v>
      </c>
      <c r="F24" s="184">
        <f>+F9+F23</f>
        <v>3485.7999999999956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262</v>
      </c>
      <c r="B26" s="38"/>
      <c r="C26" s="202"/>
      <c r="D26" s="196">
        <v>426.68</v>
      </c>
      <c r="E26" s="36">
        <v>1560</v>
      </c>
      <c r="F26" s="36">
        <v>1560</v>
      </c>
    </row>
    <row r="27" spans="1:6" ht="15.75">
      <c r="A27" s="40" t="s">
        <v>361</v>
      </c>
      <c r="B27" s="38"/>
      <c r="C27" s="202"/>
      <c r="D27" s="196">
        <f>4157.95+354.56</f>
        <v>4512.51</v>
      </c>
      <c r="E27" s="36">
        <v>2556</v>
      </c>
      <c r="F27" s="36">
        <v>2556</v>
      </c>
    </row>
    <row r="28" spans="1:6" ht="15.75">
      <c r="A28" s="40" t="s">
        <v>319</v>
      </c>
      <c r="B28" s="38"/>
      <c r="C28" s="202"/>
      <c r="D28" s="196">
        <v>2092.3</v>
      </c>
      <c r="E28" s="36">
        <v>1964</v>
      </c>
      <c r="F28" s="36">
        <v>1964</v>
      </c>
    </row>
    <row r="29" spans="1:6" ht="15.75">
      <c r="A29" s="40" t="s">
        <v>362</v>
      </c>
      <c r="B29" s="38"/>
      <c r="C29" s="202"/>
      <c r="D29" s="196">
        <v>2848</v>
      </c>
      <c r="E29" s="36">
        <v>4000</v>
      </c>
      <c r="F29" s="36">
        <v>4000</v>
      </c>
    </row>
    <row r="30" spans="1:6" ht="15.75">
      <c r="A30" s="37" t="s">
        <v>344</v>
      </c>
      <c r="B30" s="38"/>
      <c r="C30" s="202"/>
      <c r="D30" s="196">
        <v>50</v>
      </c>
      <c r="E30" s="36">
        <v>125</v>
      </c>
      <c r="F30" s="36">
        <v>125</v>
      </c>
    </row>
    <row r="31" spans="1:6" ht="15.75">
      <c r="A31" s="37" t="s">
        <v>317</v>
      </c>
      <c r="B31" s="38"/>
      <c r="C31" s="202"/>
      <c r="D31" s="196">
        <f>605.05+744.23</f>
        <v>1349.28</v>
      </c>
      <c r="E31" s="36">
        <v>1500</v>
      </c>
      <c r="F31" s="36">
        <v>1500</v>
      </c>
    </row>
    <row r="32" spans="1:6" ht="15.75">
      <c r="A32" s="37" t="s">
        <v>300</v>
      </c>
      <c r="B32" s="38"/>
      <c r="C32" s="202"/>
      <c r="D32" s="196">
        <f>323.33+5.16+30</f>
        <v>358.49</v>
      </c>
      <c r="E32" s="36">
        <v>1270</v>
      </c>
      <c r="F32" s="36">
        <v>1270</v>
      </c>
    </row>
    <row r="33" spans="1:6" ht="15.75">
      <c r="A33" s="37" t="s">
        <v>320</v>
      </c>
      <c r="B33" s="38"/>
      <c r="C33" s="202"/>
      <c r="D33" s="196"/>
      <c r="E33" s="36">
        <v>2608</v>
      </c>
      <c r="F33" s="36">
        <v>2608</v>
      </c>
    </row>
    <row r="34" spans="1:6" ht="15.75">
      <c r="A34" s="37" t="s">
        <v>327</v>
      </c>
      <c r="B34" s="38"/>
      <c r="C34" s="202"/>
      <c r="D34" s="196">
        <v>3745</v>
      </c>
      <c r="E34" s="36">
        <v>941</v>
      </c>
      <c r="F34" s="36">
        <v>1880</v>
      </c>
    </row>
    <row r="35" spans="1:6" ht="15.75">
      <c r="A35" s="42" t="s">
        <v>25</v>
      </c>
      <c r="B35" s="35"/>
      <c r="C35" s="201"/>
      <c r="D35" s="197">
        <f>SUM(D26:D34)</f>
        <v>15382.260000000002</v>
      </c>
      <c r="E35" s="184">
        <f>SUM(E26:E34)</f>
        <v>16524</v>
      </c>
      <c r="F35" s="184">
        <f>SUM(F26:F34)</f>
        <v>17463</v>
      </c>
    </row>
    <row r="36" spans="1:6" ht="15.75">
      <c r="A36" s="34" t="s">
        <v>26</v>
      </c>
      <c r="B36" s="43"/>
      <c r="C36" s="201"/>
      <c r="D36" s="185">
        <f>+D24-D35</f>
        <v>1338.7999999999956</v>
      </c>
      <c r="E36" s="185">
        <f>+E24-E35</f>
        <v>1177.7999999999956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17463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13977.200000000004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7" ht="15.75">
      <c r="A41" s="1"/>
      <c r="B41" s="1"/>
      <c r="C41" s="60">
        <f>'#7 Comp'!J35</f>
        <v>14371.348120642006</v>
      </c>
      <c r="D41" s="1"/>
      <c r="E41" s="4" t="str">
        <f>CONCATENATE("Amount of ",$F$1-1," Ad Valorem Tax")</f>
        <v>Amount of 2011 Ad Valorem Tax</v>
      </c>
      <c r="F41" s="185">
        <f>SUM(F39:F40)</f>
        <v>13977.200000000004</v>
      </c>
      <c r="G41" s="226"/>
    </row>
    <row r="42" spans="1:6" ht="15.75">
      <c r="A42" s="1"/>
      <c r="B42" s="1"/>
      <c r="C42" s="1"/>
      <c r="D42" s="1"/>
      <c r="E42" s="4"/>
      <c r="F42" s="49"/>
    </row>
    <row r="43" spans="1:6" ht="15.75">
      <c r="A43" s="215">
        <f>sum2!I30</f>
        <v>2795602</v>
      </c>
      <c r="B43" s="1"/>
      <c r="C43" s="1"/>
      <c r="D43" s="1"/>
      <c r="E43" s="225">
        <f>sum2!E30</f>
        <v>5.108</v>
      </c>
      <c r="F43" s="223">
        <f>sum2!H30</f>
        <v>5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14226</v>
      </c>
      <c r="D51" s="127">
        <f>IF(C51&gt;0,ROUND(+C51*D$59,0)," ")</f>
        <v>1882</v>
      </c>
      <c r="E51" s="127">
        <f>IF(C51&gt;0,ROUND(+C51*E$60,0)," ")</f>
        <v>56</v>
      </c>
      <c r="F51" s="127">
        <f>IF(C51&gt;0,ROUND(+C51*F$61,0)," ")</f>
        <v>370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14226</v>
      </c>
      <c r="D53" s="191">
        <f>SUM(D51:D52)</f>
        <v>1882</v>
      </c>
      <c r="E53" s="191">
        <f>SUM(E51:E52)</f>
        <v>56</v>
      </c>
      <c r="F53" s="191">
        <f>SUM(F51:F52)</f>
        <v>370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1881.61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56.42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369.7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0.1322655700829467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0.003965977787150288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0.025987628286236467</v>
      </c>
    </row>
    <row r="62" spans="1:6" ht="15.75">
      <c r="A62" s="11" t="s">
        <v>266</v>
      </c>
      <c r="B62" s="11"/>
      <c r="C62" s="1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1" t="s">
        <v>266</v>
      </c>
      <c r="B64" s="11"/>
      <c r="C64" s="1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1" t="s">
        <v>266</v>
      </c>
      <c r="B66" s="11"/>
      <c r="C66" s="1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cellComments="asDisplayed" fitToHeight="1" fitToWidth="1" horizontalDpi="600" verticalDpi="600" orientation="portrait" scale="61" r:id="rId3"/>
  <headerFooter alignWithMargins="0">
    <oddHeader>&amp;RState of Kansas
County Special District</oddHeader>
    <oddFooter>&amp;Lrevised 8/06/07</oddFooter>
  </headerFooter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E24" sqref="E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'Whiting #7'!C3</f>
        <v>Whiting City/Township #7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14226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14226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2511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73195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158253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25763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28274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2795602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2767328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0.01021707582187583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145.34812064200557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14371.348120642006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14371.348120642006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cert2!A33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5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cert2!A34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1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04">
        <f>SUM(C51:C52)</f>
        <v>0</v>
      </c>
      <c r="D53" s="123">
        <f>SUM(D51:D52)</f>
        <v>0</v>
      </c>
      <c r="E53" s="123">
        <f>SUM(E51:E52)</f>
        <v>0</v>
      </c>
      <c r="F53" s="123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cert2!A35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7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5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04">
        <f>SUM(C51:C52)</f>
        <v>0</v>
      </c>
      <c r="D53" s="123">
        <f>SUM(D51:D52)</f>
        <v>0</v>
      </c>
      <c r="E53" s="123">
        <f>SUM(E51:E52)</f>
        <v>0</v>
      </c>
      <c r="F53" s="123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192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30">
      <selection activeCell="D48" sqref="D48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256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6282.51</v>
      </c>
      <c r="C9" s="20">
        <f>B35</f>
        <v>6761.110000000001</v>
      </c>
      <c r="D9" s="20">
        <f>C35</f>
        <v>6761.110000000001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 t="s">
        <v>257</v>
      </c>
      <c r="B11" s="106">
        <v>478.6</v>
      </c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SUM(B11:B18)</f>
        <v>478.6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6761.110000000001</v>
      </c>
      <c r="C20" s="184">
        <f>C9+C19</f>
        <v>6761.110000000001</v>
      </c>
      <c r="D20" s="184">
        <f>D9+D19</f>
        <v>6761.110000000001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6761.110000000001</v>
      </c>
      <c r="C35" s="185">
        <f>C20-C34</f>
        <v>6761.110000000001</v>
      </c>
      <c r="D35" s="185">
        <f>D20-D34</f>
        <v>6761.110000000001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 t="s">
        <v>258</v>
      </c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/>
      <c r="C57" s="20">
        <f>B83</f>
        <v>0</v>
      </c>
      <c r="D57" s="20">
        <f>C83</f>
        <v>0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0</v>
      </c>
      <c r="C68" s="184">
        <f>C57+C67</f>
        <v>0</v>
      </c>
      <c r="D68" s="184">
        <f>D57+D67</f>
        <v>0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0</v>
      </c>
      <c r="C83" s="185">
        <f>C68-C82</f>
        <v>0</v>
      </c>
      <c r="D83" s="185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cert2!A36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5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cert2!A37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5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>
        <f>cert2!A38</f>
        <v>0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/>
      <c r="E9" s="20">
        <f>+D36</f>
        <v>0</v>
      </c>
      <c r="F9" s="20">
        <f>+E36</f>
        <v>0</v>
      </c>
    </row>
    <row r="10" spans="1:6" ht="15.75">
      <c r="A10" s="199" t="s">
        <v>14</v>
      </c>
      <c r="B10" s="200"/>
      <c r="C10" s="201"/>
      <c r="D10" s="196"/>
      <c r="E10" s="36"/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/>
      <c r="F12" s="20" t="str">
        <f>D51</f>
        <v> </v>
      </c>
    </row>
    <row r="13" spans="1:6" ht="15.75">
      <c r="A13" s="34" t="s">
        <v>17</v>
      </c>
      <c r="B13" s="35"/>
      <c r="C13" s="201"/>
      <c r="D13" s="196"/>
      <c r="E13" s="36"/>
      <c r="F13" s="20" t="str">
        <f>E51</f>
        <v> </v>
      </c>
    </row>
    <row r="14" spans="1:6" ht="15.75">
      <c r="A14" s="34" t="s">
        <v>86</v>
      </c>
      <c r="B14" s="35"/>
      <c r="C14" s="201"/>
      <c r="D14" s="196"/>
      <c r="E14" s="36"/>
      <c r="F14" s="20" t="str">
        <f>F51</f>
        <v> 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5"/>
    </row>
    <row r="16" spans="1:6" ht="15.75">
      <c r="A16" s="34" t="s">
        <v>207</v>
      </c>
      <c r="B16" s="35"/>
      <c r="C16" s="201"/>
      <c r="D16" s="196"/>
      <c r="E16" s="36"/>
      <c r="F16" s="15"/>
    </row>
    <row r="17" spans="1:6" ht="15.75">
      <c r="A17" s="37" t="s">
        <v>20</v>
      </c>
      <c r="B17" s="38"/>
      <c r="C17" s="202"/>
      <c r="D17" s="196"/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0</v>
      </c>
      <c r="E23" s="184">
        <f>SUM(E10:E22)</f>
        <v>0</v>
      </c>
      <c r="F23" s="184">
        <f>SUM(F10:F22)</f>
        <v>0</v>
      </c>
    </row>
    <row r="24" spans="1:6" ht="15.75">
      <c r="A24" s="42" t="s">
        <v>23</v>
      </c>
      <c r="B24" s="35"/>
      <c r="C24" s="201"/>
      <c r="D24" s="197">
        <f>+D9+D23</f>
        <v>0</v>
      </c>
      <c r="E24" s="184">
        <f>+E9+E23</f>
        <v>0</v>
      </c>
      <c r="F24" s="184">
        <f>+F9+F23</f>
        <v>0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/>
      <c r="B26" s="38"/>
      <c r="C26" s="202"/>
      <c r="D26" s="196"/>
      <c r="E26" s="36"/>
      <c r="F26" s="36"/>
    </row>
    <row r="27" spans="1:6" ht="15.75">
      <c r="A27" s="40"/>
      <c r="B27" s="38"/>
      <c r="C27" s="202"/>
      <c r="D27" s="196"/>
      <c r="E27" s="36"/>
      <c r="F27" s="36"/>
    </row>
    <row r="28" spans="1:6" ht="15.75">
      <c r="A28" s="40"/>
      <c r="B28" s="38"/>
      <c r="C28" s="202"/>
      <c r="D28" s="196"/>
      <c r="E28" s="36"/>
      <c r="F28" s="36"/>
    </row>
    <row r="29" spans="1:6" ht="15.75">
      <c r="A29" s="40"/>
      <c r="B29" s="38"/>
      <c r="C29" s="202"/>
      <c r="D29" s="196"/>
      <c r="E29" s="36"/>
      <c r="F29" s="36"/>
    </row>
    <row r="30" spans="1:6" ht="15.75">
      <c r="A30" s="37"/>
      <c r="B30" s="38"/>
      <c r="C30" s="202"/>
      <c r="D30" s="196"/>
      <c r="E30" s="36"/>
      <c r="F30" s="36"/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0</v>
      </c>
      <c r="E35" s="184">
        <f>SUM(E26:E34)</f>
        <v>0</v>
      </c>
      <c r="F35" s="184">
        <f>SUM(F26:F34)</f>
        <v>0</v>
      </c>
    </row>
    <row r="36" spans="1:6" ht="15.75">
      <c r="A36" s="34" t="s">
        <v>26</v>
      </c>
      <c r="B36" s="43"/>
      <c r="C36" s="205"/>
      <c r="D36" s="185">
        <f>+D24-D35</f>
        <v>0</v>
      </c>
      <c r="E36" s="185">
        <f>+E24-E35</f>
        <v>0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20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5">
        <f>IF(F38-F24&gt;0,F38-F24,0)</f>
        <v>0</v>
      </c>
    </row>
    <row r="40" spans="1:6" ht="15.75">
      <c r="A40" s="307" t="s">
        <v>171</v>
      </c>
      <c r="B40" s="308"/>
      <c r="C40" s="308"/>
      <c r="D40" s="308"/>
      <c r="E40" s="189"/>
      <c r="F40" s="185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5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/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04">
        <f>SUM(C51:C52)</f>
        <v>0</v>
      </c>
      <c r="D53" s="123">
        <f>SUM(D51:D52)</f>
        <v>0</v>
      </c>
      <c r="E53" s="123">
        <f>SUM(E51:E52)</f>
        <v>0</v>
      </c>
      <c r="F53" s="123">
        <f>SUM(F51:F52)</f>
        <v>0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/>
      <c r="E55" s="124"/>
      <c r="F55" s="124"/>
    </row>
    <row r="56" spans="1:6" ht="15.75">
      <c r="A56" s="28" t="s">
        <v>84</v>
      </c>
      <c r="B56" s="28"/>
      <c r="C56" s="49"/>
      <c r="D56" s="124"/>
      <c r="E56" s="125"/>
      <c r="F56" s="124"/>
    </row>
    <row r="57" spans="1:6" ht="15.75">
      <c r="A57" s="28" t="s">
        <v>85</v>
      </c>
      <c r="B57" s="28"/>
      <c r="C57" s="49"/>
      <c r="D57" s="124"/>
      <c r="E57" s="124"/>
      <c r="F57" s="125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57"/>
  <sheetViews>
    <sheetView zoomScalePageLayoutView="0" workbookViewId="0" topLeftCell="A4">
      <selection activeCell="O29" sqref="O29"/>
    </sheetView>
  </sheetViews>
  <sheetFormatPr defaultColWidth="9.140625" defaultRowHeight="12.75"/>
  <cols>
    <col min="1" max="1" width="35.140625" style="247" bestFit="1" customWidth="1"/>
    <col min="2" max="2" width="14.140625" style="247" bestFit="1" customWidth="1"/>
    <col min="3" max="3" width="11.00390625" style="247" bestFit="1" customWidth="1"/>
    <col min="4" max="4" width="14.140625" style="247" bestFit="1" customWidth="1"/>
    <col min="5" max="5" width="11.00390625" style="247" bestFit="1" customWidth="1"/>
    <col min="6" max="6" width="14.140625" style="247" bestFit="1" customWidth="1"/>
    <col min="7" max="7" width="10.421875" style="247" bestFit="1" customWidth="1"/>
    <col min="8" max="8" width="11.00390625" style="247" bestFit="1" customWidth="1"/>
    <col min="9" max="9" width="14.57421875" style="281" bestFit="1" customWidth="1"/>
    <col min="10" max="10" width="2.7109375" style="247" customWidth="1"/>
    <col min="11" max="11" width="3.28125" style="247" bestFit="1" customWidth="1"/>
    <col min="12" max="16384" width="9.140625" style="247" customWidth="1"/>
  </cols>
  <sheetData>
    <row r="1" spans="1:10" ht="16.5" hidden="1">
      <c r="A1" s="242" t="str">
        <f>input!$E$3</f>
        <v>Jackson County</v>
      </c>
      <c r="B1" s="243"/>
      <c r="C1" s="243"/>
      <c r="D1" s="243"/>
      <c r="E1" s="243"/>
      <c r="F1" s="243"/>
      <c r="G1" s="243"/>
      <c r="H1" s="244"/>
      <c r="I1" s="245">
        <f>input!$E$5</f>
        <v>2012</v>
      </c>
      <c r="J1" s="246"/>
    </row>
    <row r="2" spans="1:10" ht="16.5" hidden="1">
      <c r="A2" s="243"/>
      <c r="B2" s="243"/>
      <c r="C2" s="243"/>
      <c r="D2" s="243"/>
      <c r="E2" s="243"/>
      <c r="F2" s="243"/>
      <c r="G2" s="243"/>
      <c r="H2" s="244"/>
      <c r="I2" s="248"/>
      <c r="J2" s="246"/>
    </row>
    <row r="3" spans="1:10" ht="16.5" hidden="1">
      <c r="A3" s="249" t="s">
        <v>70</v>
      </c>
      <c r="B3" s="250"/>
      <c r="C3" s="250"/>
      <c r="D3" s="250"/>
      <c r="E3" s="250"/>
      <c r="F3" s="250"/>
      <c r="G3" s="250"/>
      <c r="H3" s="251"/>
      <c r="I3" s="252"/>
      <c r="J3" s="246"/>
    </row>
    <row r="4" spans="1:10" ht="16.5">
      <c r="A4" s="243"/>
      <c r="B4" s="253"/>
      <c r="C4" s="253"/>
      <c r="D4" s="253"/>
      <c r="E4" s="253"/>
      <c r="F4" s="253"/>
      <c r="G4" s="253"/>
      <c r="H4" s="253"/>
      <c r="I4" s="248"/>
      <c r="J4" s="246"/>
    </row>
    <row r="5" spans="1:10" ht="16.5">
      <c r="A5" s="243"/>
      <c r="B5" s="326" t="str">
        <f>CONCATENATE("Prior Year Actual ",I1-2,"")</f>
        <v>Prior Year Actual 2010</v>
      </c>
      <c r="C5" s="327"/>
      <c r="D5" s="324" t="str">
        <f>CONCATENATE("Current Yr Estimate ",I1-1,"")</f>
        <v>Current Yr Estimate 2011</v>
      </c>
      <c r="E5" s="325"/>
      <c r="F5" s="321" t="str">
        <f>CONCATENATE("Proposed Budget Year ",I1,"")</f>
        <v>Proposed Budget Year 2012</v>
      </c>
      <c r="G5" s="322"/>
      <c r="H5" s="322"/>
      <c r="I5" s="323"/>
      <c r="J5" s="246"/>
    </row>
    <row r="6" spans="1:10" ht="21" customHeight="1">
      <c r="A6" s="254"/>
      <c r="B6" s="255"/>
      <c r="C6" s="255" t="s">
        <v>71</v>
      </c>
      <c r="D6" s="255"/>
      <c r="E6" s="255" t="s">
        <v>71</v>
      </c>
      <c r="F6" s="255"/>
      <c r="G6" s="256" t="str">
        <f>CONCATENATE("",I1-1," Ad")</f>
        <v>2011 Ad</v>
      </c>
      <c r="H6" s="257" t="s">
        <v>72</v>
      </c>
      <c r="I6" s="258" t="s">
        <v>94</v>
      </c>
      <c r="J6" s="246"/>
    </row>
    <row r="7" spans="1:10" ht="33">
      <c r="A7" s="259" t="s">
        <v>73</v>
      </c>
      <c r="B7" s="260" t="s">
        <v>3</v>
      </c>
      <c r="C7" s="260" t="s">
        <v>74</v>
      </c>
      <c r="D7" s="260" t="s">
        <v>3</v>
      </c>
      <c r="E7" s="260" t="s">
        <v>74</v>
      </c>
      <c r="F7" s="260" t="s">
        <v>3</v>
      </c>
      <c r="G7" s="261" t="s">
        <v>93</v>
      </c>
      <c r="H7" s="260" t="s">
        <v>74</v>
      </c>
      <c r="I7" s="262" t="s">
        <v>95</v>
      </c>
      <c r="J7" s="246"/>
    </row>
    <row r="8" spans="1:10" ht="16.5">
      <c r="A8" s="263" t="str">
        <f>cert2!A10</f>
        <v>Adrian Cemetery</v>
      </c>
      <c r="B8" s="263">
        <f>Adrian!D35</f>
        <v>3451.4100000000003</v>
      </c>
      <c r="C8" s="287">
        <v>2.322</v>
      </c>
      <c r="D8" s="263">
        <f>Adrian!E35</f>
        <v>5350</v>
      </c>
      <c r="E8" s="287">
        <v>3.341</v>
      </c>
      <c r="F8" s="263">
        <f>Adrian!F35</f>
        <v>5350</v>
      </c>
      <c r="G8" s="263">
        <f>Adrian!F41</f>
        <v>3154.5699999999997</v>
      </c>
      <c r="H8" s="265">
        <f>IF(G8&gt;0,ROUND(G8/$I8*1000,3),"  ")</f>
        <v>2.226</v>
      </c>
      <c r="I8" s="266">
        <v>1416948</v>
      </c>
      <c r="J8" s="246"/>
    </row>
    <row r="9" spans="1:10" ht="16.5">
      <c r="A9" s="263" t="str">
        <f>cert2!A11</f>
        <v>Brick Cemetery</v>
      </c>
      <c r="B9" s="263">
        <f>Brick!D35</f>
        <v>2694.73</v>
      </c>
      <c r="C9" s="287">
        <v>0.817</v>
      </c>
      <c r="D9" s="263">
        <f>Brick!E35</f>
        <v>6150</v>
      </c>
      <c r="E9" s="287">
        <v>0.644</v>
      </c>
      <c r="F9" s="263">
        <f>Brick!F35</f>
        <v>5523</v>
      </c>
      <c r="G9" s="263">
        <f>Brick!F41</f>
        <v>2832.8600000000006</v>
      </c>
      <c r="H9" s="265">
        <f aca="true" t="shared" si="0" ref="H9:H36">IF(G9&gt;0,ROUND(G9/$I9*1000,3),"  ")</f>
        <v>0.633</v>
      </c>
      <c r="I9" s="266">
        <v>4474629</v>
      </c>
      <c r="J9" s="246"/>
    </row>
    <row r="10" spans="1:10" ht="16.5">
      <c r="A10" s="263" t="str">
        <f>cert2!A12</f>
        <v>Buck's Grove Cemetery</v>
      </c>
      <c r="B10" s="263">
        <f>'Buck''s Grove'!D35</f>
        <v>2740</v>
      </c>
      <c r="C10" s="287">
        <v>1.308</v>
      </c>
      <c r="D10" s="263">
        <f>'Buck''s Grove'!E35</f>
        <v>3290</v>
      </c>
      <c r="E10" s="287">
        <v>1.233</v>
      </c>
      <c r="F10" s="263">
        <f>'Buck''s Grove'!F35</f>
        <v>9113</v>
      </c>
      <c r="G10" s="263">
        <f>'Buck''s Grove'!F41</f>
        <v>3796.709999999999</v>
      </c>
      <c r="H10" s="265">
        <f t="shared" si="0"/>
        <v>1.25</v>
      </c>
      <c r="I10" s="266">
        <v>3037124</v>
      </c>
      <c r="J10" s="246"/>
    </row>
    <row r="11" spans="1:10" ht="16.5">
      <c r="A11" s="263" t="str">
        <f>cert2!A13</f>
        <v>Circleville Cemetery</v>
      </c>
      <c r="B11" s="263">
        <f>Circleville!D35</f>
        <v>7591.05</v>
      </c>
      <c r="C11" s="287">
        <v>1.721</v>
      </c>
      <c r="D11" s="263">
        <f>Circleville!E35</f>
        <v>9473</v>
      </c>
      <c r="E11" s="287">
        <v>1.72</v>
      </c>
      <c r="F11" s="263">
        <f>Circleville!F35</f>
        <v>8888</v>
      </c>
      <c r="G11" s="263">
        <f>Circleville!F41</f>
        <v>6104.389999999999</v>
      </c>
      <c r="H11" s="265">
        <f t="shared" si="0"/>
        <v>1.698</v>
      </c>
      <c r="I11" s="266">
        <v>3594883</v>
      </c>
      <c r="J11" s="246"/>
    </row>
    <row r="12" spans="1:10" ht="16.5">
      <c r="A12" s="263" t="str">
        <f>cert2!A14</f>
        <v>Delia Cemetery</v>
      </c>
      <c r="B12" s="263">
        <f>Delia!D35</f>
        <v>2500</v>
      </c>
      <c r="C12" s="287">
        <v>0.499</v>
      </c>
      <c r="D12" s="263">
        <f>Delia!E35</f>
        <v>3695</v>
      </c>
      <c r="E12" s="287">
        <v>0.499</v>
      </c>
      <c r="F12" s="263">
        <f>Delia!F35</f>
        <v>3642</v>
      </c>
      <c r="G12" s="263">
        <f>Delia!F41</f>
        <v>2059.59</v>
      </c>
      <c r="H12" s="265">
        <f t="shared" si="0"/>
        <v>0.478</v>
      </c>
      <c r="I12" s="266">
        <v>4305453</v>
      </c>
      <c r="J12" s="246"/>
    </row>
    <row r="13" spans="1:10" ht="16.5">
      <c r="A13" s="263" t="str">
        <f>cert2!A15</f>
        <v>Denison Cemetery</v>
      </c>
      <c r="B13" s="263">
        <f>Denison!D35</f>
        <v>6964.49</v>
      </c>
      <c r="C13" s="287">
        <v>1.072</v>
      </c>
      <c r="D13" s="263">
        <f>Denison!E35</f>
        <v>8918</v>
      </c>
      <c r="E13" s="287">
        <v>1.089</v>
      </c>
      <c r="F13" s="263">
        <f>Denison!F35</f>
        <v>9853</v>
      </c>
      <c r="G13" s="263">
        <f>Denison!F41</f>
        <v>3953.6499999999996</v>
      </c>
      <c r="H13" s="265">
        <f t="shared" si="0"/>
        <v>1.066</v>
      </c>
      <c r="I13" s="266">
        <v>3707562</v>
      </c>
      <c r="J13" s="246"/>
    </row>
    <row r="14" spans="1:10" ht="16.5">
      <c r="A14" s="263" t="str">
        <f>cert2!A16</f>
        <v>Holton Cemetery</v>
      </c>
      <c r="B14" s="263">
        <f>Holton!D46</f>
        <v>117947.42999999998</v>
      </c>
      <c r="C14" s="287">
        <v>2</v>
      </c>
      <c r="D14" s="263">
        <f>Holton!E46</f>
        <v>117948</v>
      </c>
      <c r="E14" s="287">
        <v>2</v>
      </c>
      <c r="F14" s="263">
        <f>Holton!F46</f>
        <v>136398</v>
      </c>
      <c r="G14" s="263">
        <f>Holton!F52</f>
        <v>63168.92000000001</v>
      </c>
      <c r="H14" s="265">
        <f t="shared" si="0"/>
        <v>2</v>
      </c>
      <c r="I14" s="266">
        <v>31586555</v>
      </c>
      <c r="J14" s="246"/>
    </row>
    <row r="15" spans="1:10" ht="16.5">
      <c r="A15" s="263" t="str">
        <f>cert2!A17</f>
        <v>Hoyt Cemetery</v>
      </c>
      <c r="B15" s="263">
        <f>Hoyt!D35</f>
        <v>10765.86</v>
      </c>
      <c r="C15" s="287">
        <v>0.954</v>
      </c>
      <c r="D15" s="263">
        <f>Hoyt!E35</f>
        <v>16309</v>
      </c>
      <c r="E15" s="287">
        <v>0.957</v>
      </c>
      <c r="F15" s="263">
        <f>Hoyt!F35</f>
        <v>17254</v>
      </c>
      <c r="G15" s="263">
        <f>Hoyt!F41</f>
        <v>9005.580000000002</v>
      </c>
      <c r="H15" s="265">
        <f t="shared" si="0"/>
        <v>0.943</v>
      </c>
      <c r="I15" s="266">
        <v>9551216</v>
      </c>
      <c r="J15" s="246"/>
    </row>
    <row r="16" spans="1:10" ht="16.5">
      <c r="A16" s="263" t="str">
        <f>cert2!A18</f>
        <v>Mayetta Cemetery</v>
      </c>
      <c r="B16" s="263">
        <f>Mayetta!D35</f>
        <v>9372.73</v>
      </c>
      <c r="C16" s="287">
        <v>0.721</v>
      </c>
      <c r="D16" s="263">
        <f>Mayetta!E35</f>
        <v>12125</v>
      </c>
      <c r="E16" s="287">
        <v>0.854</v>
      </c>
      <c r="F16" s="263">
        <f>Mayetta!F35</f>
        <v>12172</v>
      </c>
      <c r="G16" s="263">
        <f>Mayetta!F41</f>
        <v>6172.82</v>
      </c>
      <c r="H16" s="265">
        <f t="shared" si="0"/>
        <v>0.84</v>
      </c>
      <c r="I16" s="266">
        <v>7349570</v>
      </c>
      <c r="J16" s="246"/>
    </row>
    <row r="17" spans="1:10" ht="16.5">
      <c r="A17" s="263" t="str">
        <f>cert2!A19</f>
        <v>Netawaka Cemetery</v>
      </c>
      <c r="B17" s="263">
        <f>Netawaka!D35</f>
        <v>6323.12</v>
      </c>
      <c r="C17" s="287">
        <v>1.857</v>
      </c>
      <c r="D17" s="263">
        <f>Netawaka!E35</f>
        <v>7145</v>
      </c>
      <c r="E17" s="287">
        <v>1.857</v>
      </c>
      <c r="F17" s="263">
        <f>Netawaka!F35</f>
        <v>7145</v>
      </c>
      <c r="G17" s="263">
        <f>Netawaka!F41</f>
        <v>5119.8499999999985</v>
      </c>
      <c r="H17" s="265">
        <f t="shared" si="0"/>
        <v>1.811</v>
      </c>
      <c r="I17" s="266">
        <v>2827219</v>
      </c>
      <c r="J17" s="246"/>
    </row>
    <row r="18" spans="1:10" ht="16.5">
      <c r="A18" s="263" t="str">
        <f>cert2!A20</f>
        <v>Olive Hill Cemetery</v>
      </c>
      <c r="B18" s="263">
        <f>'Olive Hill'!D35</f>
        <v>2402.57</v>
      </c>
      <c r="C18" s="287">
        <v>1.301</v>
      </c>
      <c r="D18" s="263">
        <f>'Olive Hill'!E35</f>
        <v>3513</v>
      </c>
      <c r="E18" s="287">
        <v>1.319</v>
      </c>
      <c r="F18" s="263">
        <f>'Olive Hill'!F35</f>
        <v>3513</v>
      </c>
      <c r="G18" s="263">
        <f>'Olive Hill'!F41</f>
        <v>2054.9500000000007</v>
      </c>
      <c r="H18" s="265">
        <f t="shared" si="0"/>
        <v>1.89</v>
      </c>
      <c r="I18" s="266">
        <v>1087154</v>
      </c>
      <c r="J18" s="246"/>
    </row>
    <row r="19" spans="1:10" ht="16.5">
      <c r="A19" s="263" t="str">
        <f>cert2!A21</f>
        <v>Soldier Cemetery </v>
      </c>
      <c r="B19" s="263">
        <f>Soldier!D35</f>
        <v>4785</v>
      </c>
      <c r="C19" s="287">
        <v>1.376</v>
      </c>
      <c r="D19" s="263">
        <f>Soldier!E35</f>
        <v>6053</v>
      </c>
      <c r="E19" s="287">
        <v>1.371</v>
      </c>
      <c r="F19" s="263">
        <f>Soldier!F35</f>
        <v>6605</v>
      </c>
      <c r="G19" s="263">
        <f>Soldier!F41</f>
        <v>4304.97</v>
      </c>
      <c r="H19" s="265">
        <f t="shared" si="0"/>
        <v>1.34</v>
      </c>
      <c r="I19" s="266">
        <v>3213336</v>
      </c>
      <c r="J19" s="246"/>
    </row>
    <row r="20" spans="1:10" ht="16.5">
      <c r="A20" s="263" t="str">
        <f>cert2!A22</f>
        <v>South Cedar Cemetery</v>
      </c>
      <c r="B20" s="263">
        <f>'South Cedar'!D35</f>
        <v>1300</v>
      </c>
      <c r="C20" s="287">
        <v>1.674</v>
      </c>
      <c r="D20" s="263">
        <f>'South Cedar'!E35</f>
        <v>2300</v>
      </c>
      <c r="E20" s="287">
        <v>0.668</v>
      </c>
      <c r="F20" s="263">
        <f>'South Cedar'!F35</f>
        <v>12800</v>
      </c>
      <c r="G20" s="263">
        <f>'South Cedar'!F41</f>
        <v>713.4899999999998</v>
      </c>
      <c r="H20" s="265">
        <f t="shared" si="0"/>
        <v>0.298</v>
      </c>
      <c r="I20" s="266">
        <v>2390301</v>
      </c>
      <c r="J20" s="246"/>
    </row>
    <row r="21" spans="1:10" ht="16.5">
      <c r="A21" s="263" t="str">
        <f>cert2!A23</f>
        <v>Springhill Cemetery</v>
      </c>
      <c r="B21" s="263">
        <f>Springhill!D35</f>
        <v>8966.109999999999</v>
      </c>
      <c r="C21" s="287">
        <v>2.313</v>
      </c>
      <c r="D21" s="263">
        <f>Springhill!E35</f>
        <v>8497</v>
      </c>
      <c r="E21" s="287">
        <v>2.352</v>
      </c>
      <c r="F21" s="263">
        <f>Springhill!F35</f>
        <v>10039</v>
      </c>
      <c r="G21" s="263">
        <f>Springhill!F41</f>
        <v>7286.699999999999</v>
      </c>
      <c r="H21" s="265">
        <f t="shared" si="0"/>
        <v>2.359</v>
      </c>
      <c r="I21" s="266">
        <v>3088403</v>
      </c>
      <c r="J21" s="246"/>
    </row>
    <row r="22" spans="1:10" ht="16.5">
      <c r="A22" s="263" t="str">
        <f>cert2!A24</f>
        <v>Steward Muddy Creek Cem</v>
      </c>
      <c r="B22" s="263">
        <f>'St Mud Crk'!D35</f>
        <v>2819.5</v>
      </c>
      <c r="C22" s="287">
        <v>0.607</v>
      </c>
      <c r="D22" s="263">
        <f>'St Mud Crk'!E35</f>
        <v>4167</v>
      </c>
      <c r="E22" s="287">
        <v>0.38</v>
      </c>
      <c r="F22" s="263">
        <f>'St Mud Crk'!F35</f>
        <v>4167</v>
      </c>
      <c r="G22" s="263">
        <f>'St Mud Crk'!F41</f>
        <v>2493.6100000000006</v>
      </c>
      <c r="H22" s="265">
        <f t="shared" si="0"/>
        <v>0.471</v>
      </c>
      <c r="I22" s="266">
        <v>5295282</v>
      </c>
      <c r="J22" s="246"/>
    </row>
    <row r="23" spans="1:10" ht="16.5">
      <c r="A23" s="263" t="str">
        <f>cert2!A25</f>
        <v>Mayetta Fire #1</v>
      </c>
      <c r="B23" s="263">
        <f>'Mayetta Fire #1'!D53</f>
        <v>142121.50999999998</v>
      </c>
      <c r="C23" s="287">
        <v>8.763</v>
      </c>
      <c r="D23" s="263">
        <f>'Mayetta Fire #1'!E53</f>
        <v>148539.96000000002</v>
      </c>
      <c r="E23" s="287">
        <v>8.756</v>
      </c>
      <c r="F23" s="263">
        <f>'Mayetta Fire #1'!F53</f>
        <v>140999.96000000002</v>
      </c>
      <c r="G23" s="263">
        <f>'Mayetta Fire #1'!F59</f>
        <v>119512.92000000001</v>
      </c>
      <c r="H23" s="265">
        <f t="shared" si="0"/>
        <v>8.756</v>
      </c>
      <c r="I23" s="266">
        <v>13649574</v>
      </c>
      <c r="J23" s="246"/>
    </row>
    <row r="24" spans="1:10" ht="16.5">
      <c r="A24" s="263" t="str">
        <f>cert2!A26</f>
        <v>Jackson County Rural #2</v>
      </c>
      <c r="B24" s="263">
        <f>'SoldierFire #2'!D35</f>
        <v>295375.12</v>
      </c>
      <c r="C24" s="287">
        <v>4.255</v>
      </c>
      <c r="D24" s="263">
        <f>'SoldierFire #2'!E35</f>
        <v>32608</v>
      </c>
      <c r="E24" s="287">
        <v>4.244</v>
      </c>
      <c r="F24" s="263">
        <f>'SoldierFire #2'!F35</f>
        <v>37148</v>
      </c>
      <c r="G24" s="263">
        <f>'SoldierFire #2'!F41</f>
        <v>23405.100000000035</v>
      </c>
      <c r="H24" s="265">
        <f t="shared" si="0"/>
        <v>4.055</v>
      </c>
      <c r="I24" s="266">
        <v>5771387</v>
      </c>
      <c r="J24" s="246"/>
    </row>
    <row r="25" spans="1:10" ht="16.5">
      <c r="A25" s="263" t="str">
        <f>cert2!A27</f>
        <v>Douglas #3 General</v>
      </c>
      <c r="B25" s="263">
        <f>'Douglas #3'!D50</f>
        <v>104468.18000000001</v>
      </c>
      <c r="C25" s="287">
        <v>5.752</v>
      </c>
      <c r="D25" s="263">
        <f>'Douglas #3'!E50</f>
        <v>105609.58</v>
      </c>
      <c r="E25" s="287">
        <v>5.752</v>
      </c>
      <c r="F25" s="263">
        <f>'Douglas #3'!F50</f>
        <v>110411.73</v>
      </c>
      <c r="G25" s="263">
        <f>'Douglas #3'!F56</f>
        <v>93707.92</v>
      </c>
      <c r="H25" s="265">
        <f t="shared" si="0"/>
        <v>5.655</v>
      </c>
      <c r="I25" s="266">
        <v>16570605</v>
      </c>
      <c r="J25" s="246"/>
    </row>
    <row r="26" spans="1:10" ht="16.5">
      <c r="A26" s="263" t="str">
        <f>cert2!A28</f>
        <v>Douglas #3 1st Responders</v>
      </c>
      <c r="B26" s="263">
        <f>'#3 1st Resp'!D52</f>
        <v>39821.97</v>
      </c>
      <c r="C26" s="287">
        <v>2.119</v>
      </c>
      <c r="D26" s="263">
        <f>'#3 1st Resp'!E52</f>
        <v>42495.6</v>
      </c>
      <c r="E26" s="287">
        <v>2.207</v>
      </c>
      <c r="F26" s="263">
        <f>'#3 1st Resp'!F52</f>
        <v>42355.6</v>
      </c>
      <c r="G26" s="263">
        <f>'#3 1st Resp'!F58</f>
        <v>35961.829999999994</v>
      </c>
      <c r="H26" s="265">
        <f t="shared" si="0"/>
        <v>2.17</v>
      </c>
      <c r="I26" s="266">
        <v>16570605</v>
      </c>
      <c r="J26" s="246"/>
    </row>
    <row r="27" spans="1:10" ht="16.5">
      <c r="A27" s="263" t="str">
        <f>cert2!A29</f>
        <v>Holton Rural #4</v>
      </c>
      <c r="B27" s="263">
        <f>'Holton #4'!D42</f>
        <v>92841.66999999998</v>
      </c>
      <c r="C27" s="287">
        <v>4.997</v>
      </c>
      <c r="D27" s="263">
        <f>'Holton #4'!E42</f>
        <v>126533</v>
      </c>
      <c r="E27" s="287">
        <v>5.088</v>
      </c>
      <c r="F27" s="263">
        <f>'Holton #4'!F42</f>
        <v>316184</v>
      </c>
      <c r="G27" s="263">
        <f>'Holton #4'!F48</f>
        <v>118555.12</v>
      </c>
      <c r="H27" s="265">
        <f t="shared" si="0"/>
        <v>5.013</v>
      </c>
      <c r="I27" s="266">
        <v>23647440</v>
      </c>
      <c r="J27" s="246"/>
    </row>
    <row r="28" spans="1:10" ht="16.5">
      <c r="A28" s="263" t="str">
        <f>cert2!A30</f>
        <v>Delia Rural #5</v>
      </c>
      <c r="B28" s="263">
        <f>'Delia #5'!D45</f>
        <v>30328.719999999998</v>
      </c>
      <c r="C28" s="287">
        <v>6.041</v>
      </c>
      <c r="D28" s="263">
        <f>'Delia #5'!E45</f>
        <v>33179</v>
      </c>
      <c r="E28" s="287">
        <v>5</v>
      </c>
      <c r="F28" s="263">
        <f>'Delia #5'!F45</f>
        <v>33179</v>
      </c>
      <c r="G28" s="263">
        <f>'Delia #5'!F51</f>
        <v>25027.729999999996</v>
      </c>
      <c r="H28" s="265">
        <f t="shared" si="0"/>
        <v>4.188</v>
      </c>
      <c r="I28" s="266">
        <v>5975478</v>
      </c>
      <c r="J28" s="246"/>
    </row>
    <row r="29" spans="1:10" ht="16.5">
      <c r="A29" s="263" t="str">
        <f>cert2!A31</f>
        <v>Netawaka City/Township #6</v>
      </c>
      <c r="B29" s="263">
        <f>'Net Fire #6'!D36</f>
        <v>70197.01</v>
      </c>
      <c r="C29" s="287">
        <v>6.602</v>
      </c>
      <c r="D29" s="263">
        <f>'Net Fire #6'!E36</f>
        <v>25971</v>
      </c>
      <c r="E29" s="287">
        <v>5.718</v>
      </c>
      <c r="F29" s="263">
        <f>'Net Fire #6'!F36</f>
        <v>17805</v>
      </c>
      <c r="G29" s="263">
        <f>'Net Fire #6'!F42</f>
        <v>15104.01999999999</v>
      </c>
      <c r="H29" s="265">
        <f t="shared" si="0"/>
        <v>5.555</v>
      </c>
      <c r="I29" s="266">
        <v>2719031</v>
      </c>
      <c r="J29" s="246"/>
    </row>
    <row r="30" spans="1:10" ht="16.5">
      <c r="A30" s="263" t="str">
        <f>cert2!A32</f>
        <v>Whiting City/Township #7</v>
      </c>
      <c r="B30" s="263">
        <f>'Whiting #7'!D35</f>
        <v>15382.260000000002</v>
      </c>
      <c r="C30" s="287">
        <v>5.033</v>
      </c>
      <c r="D30" s="263">
        <f>'Whiting #7'!E35</f>
        <v>16524</v>
      </c>
      <c r="E30" s="287">
        <v>5.108</v>
      </c>
      <c r="F30" s="263">
        <f>'Whiting #7'!F35</f>
        <v>17463</v>
      </c>
      <c r="G30" s="263">
        <f>'Whiting #7'!F41</f>
        <v>13977.200000000004</v>
      </c>
      <c r="H30" s="265">
        <f t="shared" si="0"/>
        <v>5</v>
      </c>
      <c r="I30" s="266">
        <v>2795602</v>
      </c>
      <c r="J30" s="246"/>
    </row>
    <row r="31" spans="1:10" ht="16.5" hidden="1">
      <c r="A31" s="263">
        <f>cert2!A33</f>
        <v>0</v>
      </c>
      <c r="B31" s="263">
        <f>Sheet24!D35</f>
        <v>0</v>
      </c>
      <c r="C31" s="264"/>
      <c r="D31" s="263">
        <f>Sheet24!E35</f>
        <v>0</v>
      </c>
      <c r="E31" s="264"/>
      <c r="F31" s="263">
        <f>Sheet24!F35</f>
        <v>0</v>
      </c>
      <c r="G31" s="263">
        <f>Sheet24!F41</f>
        <v>0</v>
      </c>
      <c r="H31" s="265" t="str">
        <f t="shared" si="0"/>
        <v>  </v>
      </c>
      <c r="I31" s="266"/>
      <c r="J31" s="246"/>
    </row>
    <row r="32" spans="1:10" ht="16.5" hidden="1">
      <c r="A32" s="263">
        <f>cert2!A34</f>
        <v>0</v>
      </c>
      <c r="B32" s="263">
        <f>Sheet25!D35</f>
        <v>0</v>
      </c>
      <c r="C32" s="264"/>
      <c r="D32" s="263">
        <f>Sheet25!E35</f>
        <v>0</v>
      </c>
      <c r="E32" s="264"/>
      <c r="F32" s="263">
        <f>Sheet25!F35</f>
        <v>0</v>
      </c>
      <c r="G32" s="263">
        <f>Sheet25!F41</f>
        <v>0</v>
      </c>
      <c r="H32" s="265" t="str">
        <f t="shared" si="0"/>
        <v>  </v>
      </c>
      <c r="I32" s="266"/>
      <c r="J32" s="246"/>
    </row>
    <row r="33" spans="1:10" ht="16.5" hidden="1">
      <c r="A33" s="263">
        <f>cert2!A35</f>
        <v>0</v>
      </c>
      <c r="B33" s="263">
        <f>Sheet26!D35</f>
        <v>0</v>
      </c>
      <c r="C33" s="264"/>
      <c r="D33" s="263">
        <f>Sheet26!E35</f>
        <v>0</v>
      </c>
      <c r="E33" s="264"/>
      <c r="F33" s="263">
        <f>Sheet26!F35</f>
        <v>0</v>
      </c>
      <c r="G33" s="263">
        <f>Sheet26!F41</f>
        <v>0</v>
      </c>
      <c r="H33" s="265" t="str">
        <f t="shared" si="0"/>
        <v>  </v>
      </c>
      <c r="I33" s="266"/>
      <c r="J33" s="246"/>
    </row>
    <row r="34" spans="1:10" ht="16.5" hidden="1">
      <c r="A34" s="263">
        <f>cert2!A36</f>
        <v>0</v>
      </c>
      <c r="B34" s="263">
        <f>Sheet27!D35</f>
        <v>0</v>
      </c>
      <c r="C34" s="264"/>
      <c r="D34" s="263">
        <f>Sheet27!E35</f>
        <v>0</v>
      </c>
      <c r="E34" s="264"/>
      <c r="F34" s="263">
        <f>Sheet27!F35</f>
        <v>0</v>
      </c>
      <c r="G34" s="263">
        <f>Sheet27!F41</f>
        <v>0</v>
      </c>
      <c r="H34" s="265" t="str">
        <f t="shared" si="0"/>
        <v>  </v>
      </c>
      <c r="I34" s="266"/>
      <c r="J34" s="246"/>
    </row>
    <row r="35" spans="1:10" ht="16.5" hidden="1">
      <c r="A35" s="263">
        <f>cert2!A37</f>
        <v>0</v>
      </c>
      <c r="B35" s="263">
        <f>Sheet28!D35</f>
        <v>0</v>
      </c>
      <c r="C35" s="264"/>
      <c r="D35" s="263">
        <f>Sheet28!E35</f>
        <v>0</v>
      </c>
      <c r="E35" s="264"/>
      <c r="F35" s="263">
        <f>Sheet28!F35</f>
        <v>0</v>
      </c>
      <c r="G35" s="263">
        <f>Sheet28!F41</f>
        <v>0</v>
      </c>
      <c r="H35" s="265" t="str">
        <f t="shared" si="0"/>
        <v>  </v>
      </c>
      <c r="I35" s="266"/>
      <c r="J35" s="246"/>
    </row>
    <row r="36" spans="1:10" ht="16.5" hidden="1">
      <c r="A36" s="263">
        <f>cert2!A38</f>
        <v>0</v>
      </c>
      <c r="B36" s="263">
        <f>Sheet29!D35</f>
        <v>0</v>
      </c>
      <c r="C36" s="264"/>
      <c r="D36" s="263">
        <f>Sheet29!E35</f>
        <v>0</v>
      </c>
      <c r="E36" s="264"/>
      <c r="F36" s="263">
        <f>Sheet29!F35</f>
        <v>0</v>
      </c>
      <c r="G36" s="263">
        <f>Sheet29!F41</f>
        <v>0</v>
      </c>
      <c r="H36" s="265" t="str">
        <f t="shared" si="0"/>
        <v>  </v>
      </c>
      <c r="I36" s="266"/>
      <c r="J36" s="246"/>
    </row>
    <row r="37" spans="1:10" ht="16.5" hidden="1">
      <c r="A37" s="267" t="s">
        <v>75</v>
      </c>
      <c r="B37" s="268">
        <f aca="true" t="shared" si="1" ref="B37:H37">SUM(B8:B36)</f>
        <v>981160.44</v>
      </c>
      <c r="C37" s="269">
        <f t="shared" si="1"/>
        <v>64.10400000000001</v>
      </c>
      <c r="D37" s="268">
        <f t="shared" si="1"/>
        <v>746393.14</v>
      </c>
      <c r="E37" s="269">
        <f t="shared" si="1"/>
        <v>62.15699999999999</v>
      </c>
      <c r="F37" s="268">
        <f t="shared" si="1"/>
        <v>968008.29</v>
      </c>
      <c r="G37" s="268">
        <f t="shared" si="1"/>
        <v>567474.5</v>
      </c>
      <c r="H37" s="270">
        <f t="shared" si="1"/>
        <v>59.69500000000001</v>
      </c>
      <c r="I37" s="271"/>
      <c r="J37" s="246"/>
    </row>
    <row r="38" spans="1:10" s="275" customFormat="1" ht="16.5" hidden="1">
      <c r="A38" s="272"/>
      <c r="B38" s="272"/>
      <c r="C38" s="272"/>
      <c r="D38" s="272"/>
      <c r="E38" s="272"/>
      <c r="F38" s="272"/>
      <c r="G38" s="272"/>
      <c r="H38" s="272"/>
      <c r="I38" s="273"/>
      <c r="J38" s="274"/>
    </row>
    <row r="39" spans="1:10" ht="16.5">
      <c r="A39" s="254" t="s">
        <v>76</v>
      </c>
      <c r="B39" s="243"/>
      <c r="C39" s="243"/>
      <c r="D39" s="243"/>
      <c r="E39" s="243"/>
      <c r="F39" s="243"/>
      <c r="G39" s="243"/>
      <c r="H39" s="243"/>
      <c r="I39" s="248"/>
      <c r="J39" s="246"/>
    </row>
    <row r="40" spans="1:10" ht="16.5" hidden="1">
      <c r="A40" s="243"/>
      <c r="B40" s="243"/>
      <c r="C40" s="243"/>
      <c r="D40" s="243"/>
      <c r="E40" s="243"/>
      <c r="F40" s="243"/>
      <c r="G40" s="243"/>
      <c r="H40" s="243"/>
      <c r="I40" s="248"/>
      <c r="J40" s="246"/>
    </row>
    <row r="41" spans="1:10" ht="16.5">
      <c r="A41" s="276"/>
      <c r="B41" s="243"/>
      <c r="C41" s="243"/>
      <c r="D41" s="243"/>
      <c r="E41" s="243"/>
      <c r="F41" s="243"/>
      <c r="G41" s="243"/>
      <c r="H41" s="243"/>
      <c r="I41" s="248"/>
      <c r="J41" s="246"/>
    </row>
    <row r="42" spans="1:10" ht="16.5">
      <c r="A42" s="277" t="s">
        <v>77</v>
      </c>
      <c r="B42" s="243"/>
      <c r="C42" s="243"/>
      <c r="D42" s="278"/>
      <c r="E42" s="279"/>
      <c r="F42" s="243"/>
      <c r="G42" s="243"/>
      <c r="H42" s="243"/>
      <c r="I42" s="248"/>
      <c r="J42" s="246"/>
    </row>
    <row r="44" spans="1:8" ht="16.5">
      <c r="A44" s="280"/>
      <c r="B44" s="280"/>
      <c r="C44" s="280"/>
      <c r="D44" s="280"/>
      <c r="E44" s="280"/>
      <c r="F44" s="280"/>
      <c r="G44" s="280"/>
      <c r="H44" s="280"/>
    </row>
    <row r="45" spans="1:8" ht="16.5">
      <c r="A45" s="282"/>
      <c r="B45" s="280"/>
      <c r="C45" s="280"/>
      <c r="D45" s="280"/>
      <c r="E45" s="280"/>
      <c r="F45" s="280"/>
      <c r="G45" s="280"/>
      <c r="H45" s="280"/>
    </row>
    <row r="46" spans="1:8" ht="16.5">
      <c r="A46" s="282"/>
      <c r="B46" s="283"/>
      <c r="C46" s="280"/>
      <c r="D46" s="283"/>
      <c r="E46" s="280"/>
      <c r="F46" s="283"/>
      <c r="G46" s="280"/>
      <c r="H46" s="280"/>
    </row>
    <row r="47" spans="1:8" ht="16.5">
      <c r="A47" s="282"/>
      <c r="B47" s="282"/>
      <c r="C47" s="280"/>
      <c r="D47" s="282"/>
      <c r="E47" s="280"/>
      <c r="F47" s="282"/>
      <c r="G47" s="280"/>
      <c r="H47" s="280"/>
    </row>
    <row r="48" spans="1:8" ht="16.5">
      <c r="A48" s="282"/>
      <c r="B48" s="282"/>
      <c r="C48" s="280"/>
      <c r="D48" s="282"/>
      <c r="E48" s="280"/>
      <c r="F48" s="282"/>
      <c r="G48" s="280"/>
      <c r="H48" s="280"/>
    </row>
    <row r="49" spans="1:8" ht="16.5">
      <c r="A49" s="282"/>
      <c r="B49" s="282"/>
      <c r="C49" s="280"/>
      <c r="D49" s="282"/>
      <c r="E49" s="280"/>
      <c r="F49" s="282"/>
      <c r="G49" s="280"/>
      <c r="H49" s="280"/>
    </row>
    <row r="50" spans="1:8" ht="16.5">
      <c r="A50" s="282"/>
      <c r="B50" s="282"/>
      <c r="C50" s="280"/>
      <c r="D50" s="282"/>
      <c r="E50" s="280"/>
      <c r="F50" s="282"/>
      <c r="G50" s="280"/>
      <c r="H50" s="280"/>
    </row>
    <row r="51" spans="1:8" ht="16.5">
      <c r="A51" s="282"/>
      <c r="B51" s="282"/>
      <c r="C51" s="280"/>
      <c r="D51" s="282"/>
      <c r="E51" s="280"/>
      <c r="F51" s="282"/>
      <c r="G51" s="280"/>
      <c r="H51" s="280"/>
    </row>
    <row r="52" spans="2:8" ht="16.5">
      <c r="B52" s="280"/>
      <c r="C52" s="280"/>
      <c r="D52" s="280"/>
      <c r="E52" s="280"/>
      <c r="F52" s="280"/>
      <c r="G52" s="280"/>
      <c r="H52" s="280"/>
    </row>
    <row r="53" spans="2:8" ht="16.5">
      <c r="B53" s="280"/>
      <c r="C53" s="280"/>
      <c r="D53" s="280"/>
      <c r="E53" s="280"/>
      <c r="F53" s="280"/>
      <c r="G53" s="280"/>
      <c r="H53" s="280"/>
    </row>
    <row r="54" spans="2:8" ht="16.5">
      <c r="B54" s="284"/>
      <c r="C54" s="280"/>
      <c r="D54" s="280"/>
      <c r="E54" s="280"/>
      <c r="F54" s="280"/>
      <c r="G54" s="280"/>
      <c r="H54" s="280"/>
    </row>
    <row r="55" spans="2:8" ht="16.5">
      <c r="B55" s="285"/>
      <c r="C55" s="280"/>
      <c r="D55" s="280"/>
      <c r="E55" s="280"/>
      <c r="F55" s="280"/>
      <c r="G55" s="280"/>
      <c r="H55" s="280"/>
    </row>
    <row r="56" spans="1:8" ht="16.5">
      <c r="A56" s="280"/>
      <c r="B56" s="280"/>
      <c r="C56" s="280"/>
      <c r="D56" s="280"/>
      <c r="E56" s="280"/>
      <c r="F56" s="280"/>
      <c r="G56" s="280"/>
      <c r="H56" s="280"/>
    </row>
    <row r="57" spans="1:8" ht="16.5">
      <c r="A57" s="280"/>
      <c r="B57" s="280"/>
      <c r="C57" s="286"/>
      <c r="D57" s="280"/>
      <c r="E57" s="280"/>
      <c r="F57" s="280"/>
      <c r="G57" s="280"/>
      <c r="H57" s="280"/>
    </row>
  </sheetData>
  <sheetProtection/>
  <mergeCells count="3">
    <mergeCell ref="F5:I5"/>
    <mergeCell ref="D5:E5"/>
    <mergeCell ref="B5:C5"/>
  </mergeCells>
  <printOptions/>
  <pageMargins left="0" right="0" top="0.75" bottom="0.75" header="0.3" footer="0.3"/>
  <pageSetup blackAndWhite="1" fitToHeight="1" fitToWidth="1" horizontalDpi="600" verticalDpi="600" orientation="portrait" scale="76" r:id="rId1"/>
  <headerFooter alignWithMargins="0">
    <oddHeader>&amp;RState of Kansas
County Special District</oddHeader>
    <oddFooter>&amp;Lrevised 8/06/07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2" t="str">
        <f>input!$E$3</f>
        <v>Jackson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7"/>
      <c r="J3" s="1"/>
    </row>
    <row r="4" spans="1:10" ht="15.75">
      <c r="A4" s="1"/>
      <c r="B4" s="82"/>
      <c r="C4" s="82"/>
      <c r="D4" s="82"/>
      <c r="E4" s="82"/>
      <c r="F4" s="82"/>
      <c r="G4" s="82"/>
      <c r="H4" s="82"/>
      <c r="I4" s="1"/>
      <c r="J4" s="1"/>
    </row>
    <row r="5" spans="1:10" ht="15.75">
      <c r="A5" s="1"/>
      <c r="B5" s="83" t="str">
        <f>CONCATENATE("Prior Year Actual ",I1-2,"")</f>
        <v>Prior Year Actual 2010</v>
      </c>
      <c r="C5" s="8"/>
      <c r="D5" s="84" t="str">
        <f>CONCATENATE("Current Year Estimate ",I1-1,"")</f>
        <v>Current Year Estimate 2011</v>
      </c>
      <c r="E5" s="8"/>
      <c r="F5" s="296" t="str">
        <f>CONCATENATE("Proposed Year ",I1,"")</f>
        <v>Proposed Year 2012</v>
      </c>
      <c r="G5" s="328"/>
      <c r="H5" s="328"/>
      <c r="I5" s="297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29" t="str">
        <f>CONCATENATE("Amount of ",I1-1," Ad Valorem Tax")</f>
        <v>Amount of 2011 Ad Valorem Tax</v>
      </c>
      <c r="H6" s="100" t="s">
        <v>72</v>
      </c>
      <c r="I6" s="31" t="s">
        <v>94</v>
      </c>
      <c r="J6" s="1"/>
    </row>
    <row r="7" spans="1:10" ht="15.75">
      <c r="A7" s="85" t="s">
        <v>73</v>
      </c>
      <c r="B7" s="33" t="s">
        <v>3</v>
      </c>
      <c r="C7" s="33" t="s">
        <v>74</v>
      </c>
      <c r="D7" s="33" t="s">
        <v>3</v>
      </c>
      <c r="E7" s="33" t="s">
        <v>74</v>
      </c>
      <c r="F7" s="33" t="s">
        <v>3</v>
      </c>
      <c r="G7" s="330"/>
      <c r="H7" s="33" t="s">
        <v>74</v>
      </c>
      <c r="I7" s="33" t="s">
        <v>95</v>
      </c>
      <c r="J7" s="1"/>
    </row>
    <row r="8" spans="1:10" ht="15.75">
      <c r="A8" s="16"/>
      <c r="B8" s="16"/>
      <c r="C8" s="101"/>
      <c r="D8" s="16"/>
      <c r="E8" s="101"/>
      <c r="F8" s="16"/>
      <c r="G8" s="16"/>
      <c r="H8" s="163" t="str">
        <f>IF(G8&gt;0,ROUND(G8/I8*1000,3)," ")</f>
        <v> </v>
      </c>
      <c r="I8" s="181"/>
      <c r="J8" s="73"/>
    </row>
    <row r="9" spans="1:10" ht="15.75">
      <c r="A9" s="16"/>
      <c r="B9" s="16"/>
      <c r="C9" s="101"/>
      <c r="D9" s="16"/>
      <c r="E9" s="101"/>
      <c r="F9" s="16"/>
      <c r="G9" s="16"/>
      <c r="H9" s="163" t="str">
        <f aca="true" t="shared" si="0" ref="H9:H37">IF(G9&gt;0,ROUND(G9/I9*1000,3)," ")</f>
        <v> </v>
      </c>
      <c r="I9" s="17"/>
      <c r="J9" s="73"/>
    </row>
    <row r="10" spans="1:10" ht="15.75">
      <c r="A10" s="16"/>
      <c r="B10" s="16"/>
      <c r="C10" s="101"/>
      <c r="D10" s="16"/>
      <c r="E10" s="101"/>
      <c r="F10" s="16"/>
      <c r="G10" s="16"/>
      <c r="H10" s="163" t="str">
        <f t="shared" si="0"/>
        <v> </v>
      </c>
      <c r="I10" s="17"/>
      <c r="J10" s="73"/>
    </row>
    <row r="11" spans="1:10" ht="15.75">
      <c r="A11" s="16"/>
      <c r="B11" s="16"/>
      <c r="C11" s="101"/>
      <c r="D11" s="16"/>
      <c r="E11" s="101"/>
      <c r="F11" s="16"/>
      <c r="G11" s="16"/>
      <c r="H11" s="163" t="str">
        <f t="shared" si="0"/>
        <v> </v>
      </c>
      <c r="I11" s="17"/>
      <c r="J11" s="73"/>
    </row>
    <row r="12" spans="1:10" ht="15.75">
      <c r="A12" s="16"/>
      <c r="B12" s="16"/>
      <c r="C12" s="101"/>
      <c r="D12" s="16"/>
      <c r="E12" s="101"/>
      <c r="F12" s="16"/>
      <c r="G12" s="16"/>
      <c r="H12" s="163" t="str">
        <f t="shared" si="0"/>
        <v> </v>
      </c>
      <c r="I12" s="17"/>
      <c r="J12" s="73"/>
    </row>
    <row r="13" spans="1:10" ht="15.75">
      <c r="A13" s="16"/>
      <c r="B13" s="16"/>
      <c r="C13" s="101"/>
      <c r="D13" s="16"/>
      <c r="E13" s="101"/>
      <c r="F13" s="16"/>
      <c r="G13" s="16"/>
      <c r="H13" s="163" t="str">
        <f t="shared" si="0"/>
        <v> </v>
      </c>
      <c r="I13" s="17"/>
      <c r="J13" s="73"/>
    </row>
    <row r="14" spans="1:10" ht="15.75">
      <c r="A14" s="16"/>
      <c r="B14" s="16"/>
      <c r="C14" s="101"/>
      <c r="D14" s="16"/>
      <c r="E14" s="101"/>
      <c r="F14" s="16"/>
      <c r="G14" s="16"/>
      <c r="H14" s="163" t="str">
        <f t="shared" si="0"/>
        <v> </v>
      </c>
      <c r="I14" s="17"/>
      <c r="J14" s="73"/>
    </row>
    <row r="15" spans="1:10" ht="15.75">
      <c r="A15" s="16"/>
      <c r="B15" s="16"/>
      <c r="C15" s="101"/>
      <c r="D15" s="16"/>
      <c r="E15" s="101"/>
      <c r="F15" s="16"/>
      <c r="G15" s="16"/>
      <c r="H15" s="163" t="str">
        <f t="shared" si="0"/>
        <v> </v>
      </c>
      <c r="I15" s="17"/>
      <c r="J15" s="73"/>
    </row>
    <row r="16" spans="1:10" ht="15.75">
      <c r="A16" s="16"/>
      <c r="B16" s="16"/>
      <c r="C16" s="101"/>
      <c r="D16" s="16"/>
      <c r="E16" s="101"/>
      <c r="F16" s="16"/>
      <c r="G16" s="16"/>
      <c r="H16" s="163" t="str">
        <f t="shared" si="0"/>
        <v> </v>
      </c>
      <c r="I16" s="17"/>
      <c r="J16" s="73"/>
    </row>
    <row r="17" spans="1:10" ht="15.75">
      <c r="A17" s="16"/>
      <c r="B17" s="16"/>
      <c r="C17" s="101"/>
      <c r="D17" s="16"/>
      <c r="E17" s="101"/>
      <c r="F17" s="16"/>
      <c r="G17" s="16"/>
      <c r="H17" s="163" t="str">
        <f t="shared" si="0"/>
        <v> </v>
      </c>
      <c r="I17" s="17"/>
      <c r="J17" s="73"/>
    </row>
    <row r="18" spans="1:10" ht="15.75">
      <c r="A18" s="16"/>
      <c r="B18" s="16"/>
      <c r="C18" s="101"/>
      <c r="D18" s="16"/>
      <c r="E18" s="101"/>
      <c r="F18" s="16"/>
      <c r="G18" s="16"/>
      <c r="H18" s="163" t="str">
        <f t="shared" si="0"/>
        <v> </v>
      </c>
      <c r="I18" s="17"/>
      <c r="J18" s="73"/>
    </row>
    <row r="19" spans="1:10" ht="15.75">
      <c r="A19" s="16"/>
      <c r="B19" s="16"/>
      <c r="C19" s="101"/>
      <c r="D19" s="16"/>
      <c r="E19" s="101"/>
      <c r="F19" s="16"/>
      <c r="G19" s="16"/>
      <c r="H19" s="163" t="str">
        <f t="shared" si="0"/>
        <v> </v>
      </c>
      <c r="I19" s="17"/>
      <c r="J19" s="73"/>
    </row>
    <row r="20" spans="1:10" ht="15.75">
      <c r="A20" s="16"/>
      <c r="B20" s="16"/>
      <c r="C20" s="101"/>
      <c r="D20" s="16"/>
      <c r="E20" s="101"/>
      <c r="F20" s="16"/>
      <c r="G20" s="16"/>
      <c r="H20" s="163" t="str">
        <f t="shared" si="0"/>
        <v> </v>
      </c>
      <c r="I20" s="17"/>
      <c r="J20" s="73"/>
    </row>
    <row r="21" spans="1:10" ht="15.75">
      <c r="A21" s="16"/>
      <c r="B21" s="16"/>
      <c r="C21" s="101"/>
      <c r="D21" s="16"/>
      <c r="E21" s="101"/>
      <c r="F21" s="16"/>
      <c r="G21" s="16"/>
      <c r="H21" s="163" t="str">
        <f t="shared" si="0"/>
        <v> </v>
      </c>
      <c r="I21" s="17"/>
      <c r="J21" s="73"/>
    </row>
    <row r="22" spans="1:10" ht="15.75">
      <c r="A22" s="16"/>
      <c r="B22" s="16"/>
      <c r="C22" s="101"/>
      <c r="D22" s="16"/>
      <c r="E22" s="101"/>
      <c r="F22" s="16"/>
      <c r="G22" s="16"/>
      <c r="H22" s="163" t="str">
        <f t="shared" si="0"/>
        <v> </v>
      </c>
      <c r="I22" s="17"/>
      <c r="J22" s="73"/>
    </row>
    <row r="23" spans="1:10" ht="15.75">
      <c r="A23" s="16"/>
      <c r="B23" s="16"/>
      <c r="C23" s="101"/>
      <c r="D23" s="16"/>
      <c r="E23" s="101"/>
      <c r="F23" s="16"/>
      <c r="G23" s="16"/>
      <c r="H23" s="163" t="str">
        <f t="shared" si="0"/>
        <v> </v>
      </c>
      <c r="I23" s="17"/>
      <c r="J23" s="73"/>
    </row>
    <row r="24" spans="1:10" ht="15.75">
      <c r="A24" s="16"/>
      <c r="B24" s="16"/>
      <c r="C24" s="101"/>
      <c r="D24" s="16"/>
      <c r="E24" s="101"/>
      <c r="F24" s="16"/>
      <c r="G24" s="16"/>
      <c r="H24" s="163" t="str">
        <f t="shared" si="0"/>
        <v> </v>
      </c>
      <c r="I24" s="17"/>
      <c r="J24" s="73"/>
    </row>
    <row r="25" spans="1:10" ht="15.75">
      <c r="A25" s="16"/>
      <c r="B25" s="16"/>
      <c r="C25" s="101"/>
      <c r="D25" s="16"/>
      <c r="E25" s="101"/>
      <c r="F25" s="16"/>
      <c r="G25" s="16"/>
      <c r="H25" s="163" t="str">
        <f t="shared" si="0"/>
        <v> </v>
      </c>
      <c r="I25" s="17"/>
      <c r="J25" s="73"/>
    </row>
    <row r="26" spans="1:10" ht="15.75">
      <c r="A26" s="16"/>
      <c r="B26" s="16"/>
      <c r="C26" s="101"/>
      <c r="D26" s="16"/>
      <c r="E26" s="101"/>
      <c r="F26" s="16"/>
      <c r="G26" s="16"/>
      <c r="H26" s="163" t="str">
        <f t="shared" si="0"/>
        <v> </v>
      </c>
      <c r="I26" s="17"/>
      <c r="J26" s="73"/>
    </row>
    <row r="27" spans="1:10" ht="15.75">
      <c r="A27" s="16"/>
      <c r="B27" s="16"/>
      <c r="C27" s="101"/>
      <c r="D27" s="16"/>
      <c r="E27" s="101"/>
      <c r="F27" s="16"/>
      <c r="G27" s="16"/>
      <c r="H27" s="163" t="str">
        <f t="shared" si="0"/>
        <v> </v>
      </c>
      <c r="I27" s="17"/>
      <c r="J27" s="73"/>
    </row>
    <row r="28" spans="1:10" ht="15.75">
      <c r="A28" s="16"/>
      <c r="B28" s="16"/>
      <c r="C28" s="101"/>
      <c r="D28" s="16"/>
      <c r="E28" s="101"/>
      <c r="F28" s="16"/>
      <c r="G28" s="16"/>
      <c r="H28" s="163" t="str">
        <f t="shared" si="0"/>
        <v> </v>
      </c>
      <c r="I28" s="17"/>
      <c r="J28" s="73"/>
    </row>
    <row r="29" spans="1:10" ht="15.75">
      <c r="A29" s="16"/>
      <c r="B29" s="16"/>
      <c r="C29" s="101"/>
      <c r="D29" s="16"/>
      <c r="E29" s="101"/>
      <c r="F29" s="16"/>
      <c r="G29" s="16"/>
      <c r="H29" s="163" t="str">
        <f t="shared" si="0"/>
        <v> </v>
      </c>
      <c r="I29" s="17"/>
      <c r="J29" s="73"/>
    </row>
    <row r="30" spans="1:10" ht="15.75">
      <c r="A30" s="16"/>
      <c r="B30" s="16"/>
      <c r="C30" s="101"/>
      <c r="D30" s="16"/>
      <c r="E30" s="101"/>
      <c r="F30" s="16"/>
      <c r="G30" s="16"/>
      <c r="H30" s="163" t="str">
        <f t="shared" si="0"/>
        <v> </v>
      </c>
      <c r="I30" s="17"/>
      <c r="J30" s="73"/>
    </row>
    <row r="31" spans="1:10" ht="15.75">
      <c r="A31" s="16"/>
      <c r="B31" s="16"/>
      <c r="C31" s="101"/>
      <c r="D31" s="16"/>
      <c r="E31" s="101"/>
      <c r="F31" s="16"/>
      <c r="G31" s="16"/>
      <c r="H31" s="163" t="str">
        <f t="shared" si="0"/>
        <v> </v>
      </c>
      <c r="I31" s="17"/>
      <c r="J31" s="73"/>
    </row>
    <row r="32" spans="1:10" ht="15.75">
      <c r="A32" s="16"/>
      <c r="B32" s="16"/>
      <c r="C32" s="101"/>
      <c r="D32" s="16"/>
      <c r="E32" s="101"/>
      <c r="F32" s="16"/>
      <c r="G32" s="16"/>
      <c r="H32" s="163" t="str">
        <f t="shared" si="0"/>
        <v> </v>
      </c>
      <c r="I32" s="17"/>
      <c r="J32" s="73"/>
    </row>
    <row r="33" spans="1:10" ht="15.75">
      <c r="A33" s="16"/>
      <c r="B33" s="16"/>
      <c r="C33" s="101"/>
      <c r="D33" s="16"/>
      <c r="E33" s="101"/>
      <c r="F33" s="16"/>
      <c r="G33" s="16"/>
      <c r="H33" s="163" t="str">
        <f t="shared" si="0"/>
        <v> </v>
      </c>
      <c r="I33" s="17"/>
      <c r="J33" s="73"/>
    </row>
    <row r="34" spans="1:10" ht="15.75">
      <c r="A34" s="16"/>
      <c r="B34" s="16"/>
      <c r="C34" s="101"/>
      <c r="D34" s="16"/>
      <c r="E34" s="101"/>
      <c r="F34" s="16"/>
      <c r="G34" s="16"/>
      <c r="H34" s="163" t="str">
        <f t="shared" si="0"/>
        <v> </v>
      </c>
      <c r="I34" s="17"/>
      <c r="J34" s="73"/>
    </row>
    <row r="35" spans="1:10" ht="15.75">
      <c r="A35" s="16"/>
      <c r="B35" s="16"/>
      <c r="C35" s="101"/>
      <c r="D35" s="16"/>
      <c r="E35" s="101"/>
      <c r="F35" s="16"/>
      <c r="G35" s="16"/>
      <c r="H35" s="163" t="str">
        <f t="shared" si="0"/>
        <v> </v>
      </c>
      <c r="I35" s="17"/>
      <c r="J35" s="73"/>
    </row>
    <row r="36" spans="1:10" ht="15.75">
      <c r="A36" s="16"/>
      <c r="B36" s="16"/>
      <c r="C36" s="101"/>
      <c r="D36" s="16"/>
      <c r="E36" s="101"/>
      <c r="F36" s="16"/>
      <c r="G36" s="16"/>
      <c r="H36" s="163" t="str">
        <f t="shared" si="0"/>
        <v> </v>
      </c>
      <c r="I36" s="17"/>
      <c r="J36" s="73"/>
    </row>
    <row r="37" spans="1:10" ht="15.75">
      <c r="A37" s="113"/>
      <c r="B37" s="16"/>
      <c r="C37" s="110"/>
      <c r="D37" s="16"/>
      <c r="E37" s="110"/>
      <c r="F37" s="16"/>
      <c r="G37" s="16"/>
      <c r="H37" s="163" t="str">
        <f t="shared" si="0"/>
        <v> </v>
      </c>
      <c r="I37" s="17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6" t="s">
        <v>139</v>
      </c>
      <c r="E42" s="56"/>
      <c r="F42" s="1"/>
      <c r="G42" s="1"/>
      <c r="H42" s="1"/>
      <c r="I42" s="73"/>
      <c r="J42" s="73"/>
    </row>
    <row r="44" spans="1:8" ht="15.75">
      <c r="A44" s="22"/>
      <c r="B44" s="22"/>
      <c r="C44" s="22"/>
      <c r="D44" s="22"/>
      <c r="E44" s="22"/>
      <c r="F44" s="22"/>
      <c r="G44" s="22"/>
      <c r="H44" s="22"/>
    </row>
    <row r="45" spans="1:8" ht="15.75">
      <c r="A45" s="21"/>
      <c r="B45" s="22"/>
      <c r="C45" s="22"/>
      <c r="D45" s="22"/>
      <c r="E45" s="22"/>
      <c r="F45" s="22"/>
      <c r="G45" s="22"/>
      <c r="H45" s="22"/>
    </row>
    <row r="46" spans="1:8" ht="15.75">
      <c r="A46" s="21"/>
      <c r="B46" s="87"/>
      <c r="C46" s="22"/>
      <c r="D46" s="87"/>
      <c r="E46" s="22"/>
      <c r="F46" s="87"/>
      <c r="G46" s="22"/>
      <c r="H46" s="22"/>
    </row>
    <row r="47" spans="1:8" ht="15.75">
      <c r="A47" s="21"/>
      <c r="B47" s="21"/>
      <c r="C47" s="22"/>
      <c r="D47" s="21"/>
      <c r="E47" s="22"/>
      <c r="F47" s="21"/>
      <c r="G47" s="22"/>
      <c r="H47" s="22"/>
    </row>
    <row r="48" spans="1:8" ht="15.75">
      <c r="A48" s="21"/>
      <c r="B48" s="21"/>
      <c r="C48" s="22"/>
      <c r="D48" s="21"/>
      <c r="E48" s="22"/>
      <c r="F48" s="21"/>
      <c r="G48" s="22"/>
      <c r="H48" s="22"/>
    </row>
    <row r="49" spans="1:8" ht="15.75">
      <c r="A49" s="21"/>
      <c r="B49" s="21"/>
      <c r="C49" s="22"/>
      <c r="D49" s="21"/>
      <c r="E49" s="22"/>
      <c r="F49" s="21"/>
      <c r="G49" s="22"/>
      <c r="H49" s="22"/>
    </row>
    <row r="50" spans="1:8" ht="15.75">
      <c r="A50" s="21"/>
      <c r="B50" s="21"/>
      <c r="C50" s="22"/>
      <c r="D50" s="21"/>
      <c r="E50" s="22"/>
      <c r="F50" s="21"/>
      <c r="G50" s="22"/>
      <c r="H50" s="22"/>
    </row>
    <row r="51" spans="1:8" ht="15.75">
      <c r="A51" s="21"/>
      <c r="B51" s="21"/>
      <c r="C51" s="22"/>
      <c r="D51" s="21"/>
      <c r="E51" s="22"/>
      <c r="F51" s="21"/>
      <c r="G51" s="22"/>
      <c r="H51" s="22"/>
    </row>
    <row r="52" spans="2:8" ht="15.75">
      <c r="B52" s="22"/>
      <c r="C52" s="22"/>
      <c r="D52" s="22"/>
      <c r="E52" s="22"/>
      <c r="F52" s="22"/>
      <c r="G52" s="22"/>
      <c r="H52" s="22"/>
    </row>
    <row r="53" spans="2:8" ht="15.75">
      <c r="B53" s="22"/>
      <c r="C53" s="22"/>
      <c r="D53" s="22"/>
      <c r="E53" s="22"/>
      <c r="F53" s="22"/>
      <c r="G53" s="22"/>
      <c r="H53" s="22"/>
    </row>
    <row r="54" spans="2:8" ht="15.75">
      <c r="B54" s="144"/>
      <c r="C54" s="22"/>
      <c r="D54" s="22"/>
      <c r="E54" s="22"/>
      <c r="F54" s="22"/>
      <c r="G54" s="22"/>
      <c r="H54" s="22"/>
    </row>
    <row r="55" spans="2:8" ht="15.75">
      <c r="B55" s="88"/>
      <c r="C55" s="22"/>
      <c r="D55" s="22"/>
      <c r="E55" s="22"/>
      <c r="F55" s="22"/>
      <c r="G55" s="22"/>
      <c r="H55" s="22"/>
    </row>
    <row r="56" spans="1:8" ht="15.75">
      <c r="A56" s="22"/>
      <c r="B56" s="22"/>
      <c r="C56" s="22"/>
      <c r="D56" s="22"/>
      <c r="E56" s="22"/>
      <c r="F56" s="22"/>
      <c r="G56" s="22"/>
      <c r="H56" s="22"/>
    </row>
    <row r="57" spans="1:8" ht="15.75">
      <c r="A57" s="22"/>
      <c r="B57"/>
      <c r="C57"/>
      <c r="D57" s="22"/>
      <c r="E57" s="22"/>
      <c r="F57" s="22"/>
      <c r="G57" s="22"/>
      <c r="H57" s="22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  <oddFooter>&amp;Lrevised 8/06/07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76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3"/>
      <c r="B1" s="73"/>
      <c r="C1" s="73"/>
      <c r="D1" s="1">
        <f>input!$E$5</f>
        <v>2012</v>
      </c>
    </row>
    <row r="2" spans="1:4" ht="15.75">
      <c r="A2" s="132" t="s">
        <v>38</v>
      </c>
      <c r="B2" s="331" t="str">
        <f>input!E3</f>
        <v>Jackson County</v>
      </c>
      <c r="C2" s="331"/>
      <c r="D2" s="138"/>
    </row>
    <row r="3" spans="1:4" ht="15.75">
      <c r="A3" s="132" t="s">
        <v>143</v>
      </c>
      <c r="B3" s="314"/>
      <c r="C3" s="314"/>
      <c r="D3" s="4"/>
    </row>
    <row r="4" spans="1:4" ht="15.75">
      <c r="A4" s="1"/>
      <c r="B4" s="1"/>
      <c r="C4" s="1"/>
      <c r="D4" s="4"/>
    </row>
    <row r="5" spans="1:4" ht="15.75">
      <c r="A5" s="27" t="s">
        <v>141</v>
      </c>
      <c r="B5" s="128"/>
      <c r="C5" s="128"/>
      <c r="D5" s="81"/>
    </row>
    <row r="6" spans="1:4" ht="15.75">
      <c r="A6" s="1"/>
      <c r="B6" s="82"/>
      <c r="C6" s="82"/>
      <c r="D6" s="82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129"/>
      <c r="C9" s="48">
        <f>B33</f>
        <v>0</v>
      </c>
      <c r="D9" s="48">
        <f>C33</f>
        <v>0</v>
      </c>
    </row>
    <row r="10" spans="1:4" ht="15.75">
      <c r="A10" s="54" t="s">
        <v>135</v>
      </c>
      <c r="B10" s="20"/>
      <c r="C10" s="20"/>
      <c r="D10" s="20"/>
    </row>
    <row r="11" spans="1:4" ht="15.75">
      <c r="A11" s="18" t="s">
        <v>14</v>
      </c>
      <c r="B11" s="129"/>
      <c r="C11" s="129"/>
      <c r="D11" s="130" t="s">
        <v>6</v>
      </c>
    </row>
    <row r="12" spans="1:4" ht="15.75">
      <c r="A12" s="18" t="s">
        <v>15</v>
      </c>
      <c r="B12" s="129"/>
      <c r="C12" s="129"/>
      <c r="D12" s="129"/>
    </row>
    <row r="13" spans="1:4" ht="15.75">
      <c r="A13" s="18" t="s">
        <v>16</v>
      </c>
      <c r="B13" s="129"/>
      <c r="C13" s="129"/>
      <c r="D13" s="137"/>
    </row>
    <row r="14" spans="1:4" ht="15.75">
      <c r="A14" s="18" t="s">
        <v>17</v>
      </c>
      <c r="B14" s="129"/>
      <c r="C14" s="129"/>
      <c r="D14" s="137"/>
    </row>
    <row r="15" spans="1:4" ht="15.75">
      <c r="A15" s="20" t="s">
        <v>142</v>
      </c>
      <c r="B15" s="129"/>
      <c r="C15" s="129"/>
      <c r="D15" s="137"/>
    </row>
    <row r="16" spans="1:4" ht="15.75">
      <c r="A16" s="53"/>
      <c r="B16" s="129"/>
      <c r="C16" s="129"/>
      <c r="D16" s="129"/>
    </row>
    <row r="17" spans="1:4" ht="15.75">
      <c r="A17" s="53"/>
      <c r="B17" s="129"/>
      <c r="C17" s="129"/>
      <c r="D17" s="129"/>
    </row>
    <row r="18" spans="1:4" ht="15.75">
      <c r="A18" s="53"/>
      <c r="B18" s="129"/>
      <c r="C18" s="129"/>
      <c r="D18" s="129"/>
    </row>
    <row r="19" spans="1:4" ht="15.75">
      <c r="A19" s="53"/>
      <c r="B19" s="129"/>
      <c r="C19" s="129"/>
      <c r="D19" s="129"/>
    </row>
    <row r="20" spans="1:4" ht="15.75">
      <c r="A20" s="131" t="s">
        <v>21</v>
      </c>
      <c r="B20" s="129"/>
      <c r="C20" s="129"/>
      <c r="D20" s="129"/>
    </row>
    <row r="21" spans="1:4" ht="15.75">
      <c r="A21" s="122" t="s">
        <v>22</v>
      </c>
      <c r="B21" s="183">
        <f>SUM(B11:B20)</f>
        <v>0</v>
      </c>
      <c r="C21" s="183">
        <f>SUM(C11:C20)</f>
        <v>0</v>
      </c>
      <c r="D21" s="183">
        <f>SUM(D11:D20)</f>
        <v>0</v>
      </c>
    </row>
    <row r="22" spans="1:4" ht="15.75">
      <c r="A22" s="122" t="s">
        <v>23</v>
      </c>
      <c r="B22" s="183">
        <f>B9+B21</f>
        <v>0</v>
      </c>
      <c r="C22" s="183">
        <f>C9+C21</f>
        <v>0</v>
      </c>
      <c r="D22" s="183">
        <f>D9+D21</f>
        <v>0</v>
      </c>
    </row>
    <row r="23" spans="1:4" ht="15.75">
      <c r="A23" s="18" t="s">
        <v>24</v>
      </c>
      <c r="B23" s="15"/>
      <c r="C23" s="15"/>
      <c r="D23" s="15"/>
    </row>
    <row r="24" spans="1:4" ht="15.75">
      <c r="A24" s="53"/>
      <c r="B24" s="129"/>
      <c r="C24" s="129"/>
      <c r="D24" s="129"/>
    </row>
    <row r="25" spans="1:4" ht="15.75">
      <c r="A25" s="53"/>
      <c r="B25" s="129"/>
      <c r="C25" s="129"/>
      <c r="D25" s="129"/>
    </row>
    <row r="26" spans="1:4" ht="15.75">
      <c r="A26" s="53"/>
      <c r="B26" s="129"/>
      <c r="C26" s="129"/>
      <c r="D26" s="129"/>
    </row>
    <row r="27" spans="1:4" ht="15.75">
      <c r="A27" s="53"/>
      <c r="B27" s="129"/>
      <c r="C27" s="129"/>
      <c r="D27" s="129"/>
    </row>
    <row r="28" spans="1:4" ht="15.75">
      <c r="A28" s="53"/>
      <c r="B28" s="129"/>
      <c r="C28" s="129"/>
      <c r="D28" s="129"/>
    </row>
    <row r="29" spans="1:4" ht="15.75">
      <c r="A29" s="53"/>
      <c r="B29" s="129"/>
      <c r="C29" s="129"/>
      <c r="D29" s="129"/>
    </row>
    <row r="30" spans="1:4" ht="15.75">
      <c r="A30" s="53"/>
      <c r="B30" s="129"/>
      <c r="C30" s="129"/>
      <c r="D30" s="129"/>
    </row>
    <row r="31" spans="1:4" ht="15.75">
      <c r="A31" s="53"/>
      <c r="B31" s="129"/>
      <c r="C31" s="129"/>
      <c r="D31" s="129"/>
    </row>
    <row r="32" spans="1:4" ht="15.75">
      <c r="A32" s="122" t="s">
        <v>25</v>
      </c>
      <c r="B32" s="183">
        <f>SUM(B24:B31)</f>
        <v>0</v>
      </c>
      <c r="C32" s="183">
        <f>SUM(C24:C31)</f>
        <v>0</v>
      </c>
      <c r="D32" s="183">
        <f>SUM(D24:D31)</f>
        <v>0</v>
      </c>
    </row>
    <row r="33" spans="1:4" ht="15.75">
      <c r="A33" s="18" t="s">
        <v>138</v>
      </c>
      <c r="B33" s="182">
        <f>B22-B32</f>
        <v>0</v>
      </c>
      <c r="C33" s="182">
        <f>C22-C32</f>
        <v>0</v>
      </c>
      <c r="D33" s="130" t="s">
        <v>6</v>
      </c>
    </row>
    <row r="34" spans="1:5" ht="15.75">
      <c r="A34" s="1"/>
      <c r="B34" s="1"/>
      <c r="C34" s="4" t="s">
        <v>27</v>
      </c>
      <c r="D34" s="129"/>
      <c r="E34" s="195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2">
        <f>IF(D35-D22&gt;0,D35-D22,0)</f>
        <v>0</v>
      </c>
    </row>
    <row r="37" spans="1:4" ht="15.75">
      <c r="A37" s="307" t="s">
        <v>171</v>
      </c>
      <c r="B37" s="308"/>
      <c r="C37" s="165"/>
      <c r="D37" s="48">
        <f>ROUND(IF(C37&gt;0,(D36*C37),0),0)</f>
        <v>0</v>
      </c>
    </row>
    <row r="38" spans="1:4" ht="15.75">
      <c r="A38" s="1"/>
      <c r="B38" s="1"/>
      <c r="C38" s="4" t="str">
        <f>CONCATENATE("Amount of ",Adrian!$F$1-1," Ad Valorem Tax")</f>
        <v>Amount of 2011 Ad Valorem Tax</v>
      </c>
      <c r="D38" s="182">
        <f>D36+D37</f>
        <v>0</v>
      </c>
    </row>
    <row r="39" spans="1:4" ht="15.75">
      <c r="A39" s="1"/>
      <c r="B39" s="1"/>
      <c r="C39" s="46"/>
      <c r="D39" s="67"/>
    </row>
    <row r="40" spans="1:4" ht="15.75">
      <c r="A40" s="46" t="s">
        <v>139</v>
      </c>
      <c r="B40" s="145"/>
      <c r="C40" s="46"/>
      <c r="D40" s="67"/>
    </row>
    <row r="41" spans="1:4" ht="15.75">
      <c r="A41" s="1"/>
      <c r="B41" s="1"/>
      <c r="C41" s="46"/>
      <c r="D41" s="67"/>
    </row>
    <row r="42" spans="1:4" ht="15.75">
      <c r="A42" s="133"/>
      <c r="B42" s="133"/>
      <c r="C42" s="134"/>
      <c r="D42" s="135"/>
    </row>
    <row r="43" spans="1:4" ht="15.75">
      <c r="A43" s="133"/>
      <c r="B43" s="133"/>
      <c r="C43" s="134"/>
      <c r="D43" s="135"/>
    </row>
    <row r="44" spans="1:4" ht="15.75">
      <c r="A44" s="133"/>
      <c r="B44" s="133"/>
      <c r="C44" s="134"/>
      <c r="D44" s="135"/>
    </row>
    <row r="45" spans="1:4" ht="15.75">
      <c r="A45" s="133"/>
      <c r="B45" s="133"/>
      <c r="C45" s="134"/>
      <c r="D45" s="135"/>
    </row>
    <row r="46" spans="1:4" ht="15.75">
      <c r="A46" s="133"/>
      <c r="B46" s="133"/>
      <c r="C46" s="134"/>
      <c r="D46" s="135"/>
    </row>
    <row r="47" spans="1:4" ht="15.75">
      <c r="A47" s="133"/>
      <c r="B47" s="133"/>
      <c r="C47" s="134"/>
      <c r="D47" s="135"/>
    </row>
    <row r="48" spans="1:4" ht="15.75">
      <c r="A48" s="133"/>
      <c r="B48" s="133"/>
      <c r="C48" s="134"/>
      <c r="D48" s="135"/>
    </row>
    <row r="49" spans="1:4" ht="15.75">
      <c r="A49" s="133"/>
      <c r="B49" s="133"/>
      <c r="C49" s="134"/>
      <c r="D49" s="135"/>
    </row>
    <row r="50" spans="1:4" ht="15.75">
      <c r="A50" s="1"/>
      <c r="B50" s="1"/>
      <c r="C50" s="46"/>
      <c r="D50" s="1">
        <f>input!$E$5</f>
        <v>2012</v>
      </c>
    </row>
    <row r="51" spans="1:4" ht="15.75">
      <c r="A51" s="1"/>
      <c r="B51" s="1"/>
      <c r="C51" s="46"/>
      <c r="D51" s="67"/>
    </row>
    <row r="52" spans="1:4" ht="15.75">
      <c r="A52" s="1" t="s">
        <v>38</v>
      </c>
      <c r="B52" s="333" t="str">
        <f>input!E3</f>
        <v>Jackson County</v>
      </c>
      <c r="C52" s="333"/>
      <c r="D52" s="67"/>
    </row>
    <row r="53" spans="1:4" ht="15.75">
      <c r="A53" s="1" t="s">
        <v>143</v>
      </c>
      <c r="B53" s="332"/>
      <c r="C53" s="332"/>
      <c r="D53" s="82"/>
    </row>
    <row r="54" spans="1:4" ht="15.75">
      <c r="A54" s="1"/>
      <c r="B54" s="124"/>
      <c r="C54" s="124"/>
      <c r="D54" s="82"/>
    </row>
    <row r="55" spans="1:4" ht="15.75">
      <c r="A55" s="27" t="s">
        <v>141</v>
      </c>
      <c r="B55" s="124"/>
      <c r="C55" s="124"/>
      <c r="D55" s="82"/>
    </row>
    <row r="56" spans="1:4" ht="15.75">
      <c r="A56" s="1"/>
      <c r="B56" s="124"/>
      <c r="C56" s="124"/>
      <c r="D56" s="82"/>
    </row>
    <row r="57" spans="1:4" ht="15.75">
      <c r="A57" s="5" t="s">
        <v>133</v>
      </c>
      <c r="B57" s="119" t="s">
        <v>10</v>
      </c>
      <c r="C57" s="9" t="s">
        <v>11</v>
      </c>
      <c r="D57" s="9" t="s">
        <v>12</v>
      </c>
    </row>
    <row r="58" spans="1:4" ht="15.75">
      <c r="A58" s="120"/>
      <c r="B58" s="12" t="str">
        <f>B8</f>
        <v>Actual 2010</v>
      </c>
      <c r="C58" s="12" t="str">
        <f>C8</f>
        <v>Estimate 2011</v>
      </c>
      <c r="D58" s="12" t="str">
        <f>D8</f>
        <v>Year 2012</v>
      </c>
    </row>
    <row r="59" spans="1:4" ht="15.75">
      <c r="A59" s="18" t="s">
        <v>134</v>
      </c>
      <c r="B59" s="129"/>
      <c r="C59" s="48">
        <f>B83</f>
        <v>0</v>
      </c>
      <c r="D59" s="48">
        <f>C83</f>
        <v>0</v>
      </c>
    </row>
    <row r="60" spans="1:4" ht="15.75">
      <c r="A60" s="54" t="s">
        <v>135</v>
      </c>
      <c r="B60" s="20"/>
      <c r="C60" s="20"/>
      <c r="D60" s="20"/>
    </row>
    <row r="61" spans="1:4" ht="15.75">
      <c r="A61" s="18" t="s">
        <v>14</v>
      </c>
      <c r="B61" s="129"/>
      <c r="C61" s="129"/>
      <c r="D61" s="130" t="s">
        <v>6</v>
      </c>
    </row>
    <row r="62" spans="1:4" ht="15.75">
      <c r="A62" s="18" t="s">
        <v>15</v>
      </c>
      <c r="B62" s="129"/>
      <c r="C62" s="129"/>
      <c r="D62" s="129"/>
    </row>
    <row r="63" spans="1:4" ht="15.75">
      <c r="A63" s="18" t="s">
        <v>16</v>
      </c>
      <c r="B63" s="129"/>
      <c r="C63" s="129"/>
      <c r="D63" s="137"/>
    </row>
    <row r="64" spans="1:4" ht="15.75">
      <c r="A64" s="18" t="s">
        <v>17</v>
      </c>
      <c r="B64" s="129"/>
      <c r="C64" s="129"/>
      <c r="D64" s="137"/>
    </row>
    <row r="65" spans="1:4" ht="15.75">
      <c r="A65" s="20" t="s">
        <v>142</v>
      </c>
      <c r="B65" s="129"/>
      <c r="C65" s="129"/>
      <c r="D65" s="137"/>
    </row>
    <row r="66" spans="1:4" ht="15.75">
      <c r="A66" s="53"/>
      <c r="B66" s="129"/>
      <c r="C66" s="129"/>
      <c r="D66" s="129"/>
    </row>
    <row r="67" spans="1:4" ht="15.75">
      <c r="A67" s="53"/>
      <c r="B67" s="129"/>
      <c r="C67" s="129"/>
      <c r="D67" s="129"/>
    </row>
    <row r="68" spans="1:4" ht="15.75">
      <c r="A68" s="53"/>
      <c r="B68" s="129"/>
      <c r="C68" s="129"/>
      <c r="D68" s="129"/>
    </row>
    <row r="69" spans="1:4" ht="15.75">
      <c r="A69" s="53"/>
      <c r="B69" s="129"/>
      <c r="C69" s="129"/>
      <c r="D69" s="129"/>
    </row>
    <row r="70" spans="1:4" ht="15.75">
      <c r="A70" s="131" t="s">
        <v>21</v>
      </c>
      <c r="B70" s="129"/>
      <c r="C70" s="129"/>
      <c r="D70" s="129"/>
    </row>
    <row r="71" spans="1:4" ht="15.75">
      <c r="A71" s="122" t="s">
        <v>22</v>
      </c>
      <c r="B71" s="183">
        <f>SUM(B61:B70)</f>
        <v>0</v>
      </c>
      <c r="C71" s="183">
        <f>SUM(C61:C70)</f>
        <v>0</v>
      </c>
      <c r="D71" s="183">
        <f>SUM(D61:D70)</f>
        <v>0</v>
      </c>
    </row>
    <row r="72" spans="1:4" ht="15.75">
      <c r="A72" s="122" t="s">
        <v>23</v>
      </c>
      <c r="B72" s="183">
        <f>B59+B71</f>
        <v>0</v>
      </c>
      <c r="C72" s="183">
        <f>C59+C71</f>
        <v>0</v>
      </c>
      <c r="D72" s="183">
        <f>D59+D71</f>
        <v>0</v>
      </c>
    </row>
    <row r="73" spans="1:4" ht="15.75">
      <c r="A73" s="18" t="s">
        <v>24</v>
      </c>
      <c r="B73" s="15"/>
      <c r="C73" s="15"/>
      <c r="D73" s="15"/>
    </row>
    <row r="74" spans="1:4" ht="15.75">
      <c r="A74" s="53"/>
      <c r="B74" s="129"/>
      <c r="C74" s="129"/>
      <c r="D74" s="129"/>
    </row>
    <row r="75" spans="1:4" ht="15.75">
      <c r="A75" s="53"/>
      <c r="B75" s="129"/>
      <c r="C75" s="129"/>
      <c r="D75" s="129"/>
    </row>
    <row r="76" spans="1:4" ht="15.75">
      <c r="A76" s="53"/>
      <c r="B76" s="129"/>
      <c r="C76" s="129"/>
      <c r="D76" s="129"/>
    </row>
    <row r="77" spans="1:4" ht="15.75">
      <c r="A77" s="53"/>
      <c r="B77" s="129"/>
      <c r="C77" s="129"/>
      <c r="D77" s="129"/>
    </row>
    <row r="78" spans="1:4" ht="15.75">
      <c r="A78" s="53"/>
      <c r="B78" s="129"/>
      <c r="C78" s="129"/>
      <c r="D78" s="129"/>
    </row>
    <row r="79" spans="1:4" ht="15.75">
      <c r="A79" s="53"/>
      <c r="B79" s="129"/>
      <c r="C79" s="129"/>
      <c r="D79" s="129"/>
    </row>
    <row r="80" spans="1:4" ht="15.75">
      <c r="A80" s="53"/>
      <c r="B80" s="129"/>
      <c r="C80" s="129"/>
      <c r="D80" s="129"/>
    </row>
    <row r="81" spans="1:4" ht="15.75">
      <c r="A81" s="53"/>
      <c r="B81" s="129"/>
      <c r="C81" s="129"/>
      <c r="D81" s="129"/>
    </row>
    <row r="82" spans="1:4" ht="15.75">
      <c r="A82" s="122" t="s">
        <v>25</v>
      </c>
      <c r="B82" s="183">
        <f>SUM(B74:B81)</f>
        <v>0</v>
      </c>
      <c r="C82" s="183">
        <f>SUM(C74:C81)</f>
        <v>0</v>
      </c>
      <c r="D82" s="183">
        <f>SUM(D74:D81)</f>
        <v>0</v>
      </c>
    </row>
    <row r="83" spans="1:4" ht="15.75">
      <c r="A83" s="18" t="s">
        <v>138</v>
      </c>
      <c r="B83" s="182">
        <f>B72-B82</f>
        <v>0</v>
      </c>
      <c r="C83" s="182">
        <f>C72-C82</f>
        <v>0</v>
      </c>
      <c r="D83" s="130" t="s">
        <v>6</v>
      </c>
    </row>
    <row r="84" spans="1:5" ht="15.75">
      <c r="A84" s="1"/>
      <c r="B84" s="60"/>
      <c r="C84" s="4" t="s">
        <v>27</v>
      </c>
      <c r="D84" s="129"/>
      <c r="E84" s="195">
        <f>IF(D82/0.95-D82&lt;D84,"Exceeds 5%","")</f>
      </c>
    </row>
    <row r="85" spans="1:4" ht="15.75">
      <c r="A85" s="1"/>
      <c r="B85" s="60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2">
        <f>IF(D85-D72&gt;0,D85-D72,0)</f>
        <v>0</v>
      </c>
    </row>
    <row r="87" spans="1:4" ht="15.75">
      <c r="A87" s="307" t="s">
        <v>171</v>
      </c>
      <c r="B87" s="308"/>
      <c r="C87" s="165"/>
      <c r="D87" s="48">
        <f>ROUND(IF(C87&gt;0,(D86*C87),0),0)</f>
        <v>0</v>
      </c>
    </row>
    <row r="88" spans="1:4" ht="15.75">
      <c r="A88" s="1"/>
      <c r="B88" s="1"/>
      <c r="C88" s="4" t="str">
        <f>CONCATENATE("Amount of ",Adrian!$F$1-1," Ad Valorem Tax")</f>
        <v>Amount of 2011 Ad Valorem Tax</v>
      </c>
      <c r="D88" s="182">
        <f>D86+D87</f>
        <v>0</v>
      </c>
    </row>
    <row r="89" spans="1:4" ht="15.75">
      <c r="A89" s="1"/>
      <c r="B89" s="1"/>
      <c r="C89" s="46"/>
      <c r="D89" s="67"/>
    </row>
    <row r="90" spans="1:4" ht="15.75">
      <c r="A90" s="4" t="s">
        <v>139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  <oddFooter>&amp;Lrevised 8/06/07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9.28125" style="22" customWidth="1"/>
    <col min="2" max="4" width="20.28125" style="22" customWidth="1"/>
    <col min="5" max="16384" width="9.140625" style="22" customWidth="1"/>
  </cols>
  <sheetData>
    <row r="1" spans="1:4" ht="15.75">
      <c r="A1" s="45"/>
      <c r="B1" s="1"/>
      <c r="C1" s="1"/>
      <c r="D1" s="1">
        <f>input!$E$5</f>
        <v>2012</v>
      </c>
    </row>
    <row r="2" spans="1:4" ht="15.75">
      <c r="A2" s="114" t="s">
        <v>8</v>
      </c>
      <c r="B2" s="312" t="s">
        <v>424</v>
      </c>
      <c r="C2" s="312"/>
      <c r="D2" s="116"/>
    </row>
    <row r="3" spans="1:4" ht="15.75">
      <c r="A3" s="114"/>
      <c r="B3" s="115"/>
      <c r="C3" s="116"/>
      <c r="D3" s="116"/>
    </row>
    <row r="4" spans="1:4" ht="15.75">
      <c r="A4" s="115" t="s">
        <v>131</v>
      </c>
      <c r="B4" s="313" t="str">
        <f>input!E3</f>
        <v>Jackson County</v>
      </c>
      <c r="C4" s="313"/>
      <c r="D4" s="116"/>
    </row>
    <row r="5" spans="1:4" ht="15.75">
      <c r="A5" s="1"/>
      <c r="B5" s="1"/>
      <c r="C5" s="1"/>
      <c r="D5" s="4"/>
    </row>
    <row r="6" spans="1:4" ht="15.75">
      <c r="A6" s="27" t="s">
        <v>132</v>
      </c>
      <c r="B6" s="117"/>
      <c r="C6" s="117"/>
      <c r="D6" s="118"/>
    </row>
    <row r="7" spans="1:4" ht="15.75">
      <c r="A7" s="5" t="s">
        <v>133</v>
      </c>
      <c r="B7" s="119" t="s">
        <v>10</v>
      </c>
      <c r="C7" s="9" t="s">
        <v>11</v>
      </c>
      <c r="D7" s="9" t="s">
        <v>12</v>
      </c>
    </row>
    <row r="8" spans="1:4" ht="15.75">
      <c r="A8" s="120"/>
      <c r="B8" s="33" t="str">
        <f>CONCATENATE("Actual ",Adrian!$F$1-2,"")</f>
        <v>Actual 2010</v>
      </c>
      <c r="C8" s="33" t="str">
        <f>CONCATENATE("Estimate ",Adrian!$F$1-1,"")</f>
        <v>Estimate 2011</v>
      </c>
      <c r="D8" s="33" t="str">
        <f>CONCATENATE("Year ",Adrian!$F$1,"")</f>
        <v>Year 2012</v>
      </c>
    </row>
    <row r="9" spans="1:4" ht="15.75">
      <c r="A9" s="18" t="s">
        <v>134</v>
      </c>
      <c r="B9" s="36">
        <v>3547</v>
      </c>
      <c r="C9" s="20">
        <f>B35</f>
        <v>3547</v>
      </c>
      <c r="D9" s="20">
        <f>C35</f>
        <v>3547</v>
      </c>
    </row>
    <row r="10" spans="1:4" ht="15.75">
      <c r="A10" s="18" t="s">
        <v>135</v>
      </c>
      <c r="B10" s="20"/>
      <c r="C10" s="20"/>
      <c r="D10" s="20"/>
    </row>
    <row r="11" spans="1:4" ht="15.75">
      <c r="A11" s="136"/>
      <c r="B11" s="106"/>
      <c r="C11" s="106"/>
      <c r="D11" s="106"/>
    </row>
    <row r="12" spans="1:4" ht="15.75">
      <c r="A12" s="53"/>
      <c r="B12" s="36"/>
      <c r="C12" s="36"/>
      <c r="D12" s="36"/>
    </row>
    <row r="13" spans="1:4" ht="15.75">
      <c r="A13" s="53"/>
      <c r="B13" s="36"/>
      <c r="C13" s="36"/>
      <c r="D13" s="36"/>
    </row>
    <row r="14" spans="1:4" ht="15.75">
      <c r="A14" s="17"/>
      <c r="B14" s="16"/>
      <c r="C14" s="16"/>
      <c r="D14" s="16"/>
    </row>
    <row r="15" spans="1:4" ht="15.75">
      <c r="A15" s="53"/>
      <c r="B15" s="36"/>
      <c r="C15" s="36"/>
      <c r="D15" s="36"/>
    </row>
    <row r="16" spans="1:4" ht="15.75">
      <c r="A16" s="53"/>
      <c r="B16" s="36"/>
      <c r="C16" s="36"/>
      <c r="D16" s="36"/>
    </row>
    <row r="17" spans="1:4" ht="15.75">
      <c r="A17" s="53"/>
      <c r="B17" s="36"/>
      <c r="C17" s="36"/>
      <c r="D17" s="36"/>
    </row>
    <row r="18" spans="1:4" ht="15.75">
      <c r="A18" s="121" t="s">
        <v>21</v>
      </c>
      <c r="B18" s="36"/>
      <c r="C18" s="36"/>
      <c r="D18" s="36"/>
    </row>
    <row r="19" spans="1:4" ht="15.75">
      <c r="A19" s="122" t="s">
        <v>22</v>
      </c>
      <c r="B19" s="184">
        <f>SUM(B12:B18)</f>
        <v>0</v>
      </c>
      <c r="C19" s="184">
        <f>SUM(C12:C18)</f>
        <v>0</v>
      </c>
      <c r="D19" s="184">
        <f>SUM(D12:D18)</f>
        <v>0</v>
      </c>
    </row>
    <row r="20" spans="1:4" ht="15.75">
      <c r="A20" s="122" t="s">
        <v>23</v>
      </c>
      <c r="B20" s="184">
        <f>B9+B19</f>
        <v>3547</v>
      </c>
      <c r="C20" s="184">
        <f>C9+C19</f>
        <v>3547</v>
      </c>
      <c r="D20" s="184">
        <f>D9+D19</f>
        <v>3547</v>
      </c>
    </row>
    <row r="21" spans="1:4" ht="15.75">
      <c r="A21" s="18" t="s">
        <v>24</v>
      </c>
      <c r="B21" s="20"/>
      <c r="C21" s="20"/>
      <c r="D21" s="20"/>
    </row>
    <row r="22" spans="1:4" ht="15.75">
      <c r="A22" s="53" t="s">
        <v>136</v>
      </c>
      <c r="B22" s="36"/>
      <c r="C22" s="36"/>
      <c r="D22" s="36"/>
    </row>
    <row r="23" spans="1:4" ht="15.75">
      <c r="A23" s="53" t="s">
        <v>137</v>
      </c>
      <c r="B23" s="36"/>
      <c r="C23" s="36"/>
      <c r="D23" s="36"/>
    </row>
    <row r="24" spans="1:4" ht="15.75">
      <c r="A24" s="53"/>
      <c r="B24" s="16"/>
      <c r="C24" s="16"/>
      <c r="D24" s="16"/>
    </row>
    <row r="25" spans="1:4" ht="15.75">
      <c r="A25" s="53"/>
      <c r="B25" s="16"/>
      <c r="C25" s="16"/>
      <c r="D25" s="16"/>
    </row>
    <row r="26" spans="1:4" ht="15.75">
      <c r="A26" s="53"/>
      <c r="B26" s="36"/>
      <c r="C26" s="36"/>
      <c r="D26" s="36"/>
    </row>
    <row r="27" spans="1:4" ht="15.75">
      <c r="A27" s="53"/>
      <c r="B27" s="36"/>
      <c r="C27" s="36"/>
      <c r="D27" s="36"/>
    </row>
    <row r="28" spans="1:4" ht="15.75">
      <c r="A28" s="53"/>
      <c r="B28" s="36"/>
      <c r="C28" s="36"/>
      <c r="D28" s="36"/>
    </row>
    <row r="29" spans="1:4" ht="15.75">
      <c r="A29" s="53"/>
      <c r="B29" s="36"/>
      <c r="C29" s="36"/>
      <c r="D29" s="36"/>
    </row>
    <row r="30" spans="1:4" ht="15.75">
      <c r="A30" s="53"/>
      <c r="B30" s="36"/>
      <c r="C30" s="36"/>
      <c r="D30" s="36"/>
    </row>
    <row r="31" spans="1:4" ht="15.75">
      <c r="A31" s="53"/>
      <c r="B31" s="36"/>
      <c r="C31" s="36"/>
      <c r="D31" s="36"/>
    </row>
    <row r="32" spans="1:4" ht="15.75">
      <c r="A32" s="53"/>
      <c r="B32" s="36"/>
      <c r="C32" s="36"/>
      <c r="D32" s="36"/>
    </row>
    <row r="33" spans="1:4" ht="15.75">
      <c r="A33" s="53"/>
      <c r="B33" s="36"/>
      <c r="C33" s="36"/>
      <c r="D33" s="36"/>
    </row>
    <row r="34" spans="1:4" ht="15.75">
      <c r="A34" s="122" t="s">
        <v>25</v>
      </c>
      <c r="B34" s="184">
        <f>SUM(B22:B33)</f>
        <v>0</v>
      </c>
      <c r="C34" s="184">
        <f>SUM(C22:C33)</f>
        <v>0</v>
      </c>
      <c r="D34" s="184">
        <f>SUM(D22:D33)</f>
        <v>0</v>
      </c>
    </row>
    <row r="35" spans="1:4" ht="15.75">
      <c r="A35" s="18" t="s">
        <v>138</v>
      </c>
      <c r="B35" s="185">
        <f>B20-B34</f>
        <v>3547</v>
      </c>
      <c r="C35" s="185">
        <f>C20-C34</f>
        <v>3547</v>
      </c>
      <c r="D35" s="185">
        <f>D20-D34</f>
        <v>3547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6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47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143</v>
      </c>
      <c r="B49" s="314"/>
      <c r="C49" s="314"/>
      <c r="D49" s="49"/>
    </row>
    <row r="50" spans="1:4" ht="15.75">
      <c r="A50" s="98"/>
      <c r="B50" s="124"/>
      <c r="C50" s="124"/>
      <c r="D50" s="49"/>
    </row>
    <row r="51" spans="1:4" ht="15.75">
      <c r="A51" s="1" t="s">
        <v>38</v>
      </c>
      <c r="B51" s="315" t="str">
        <f>input!E3</f>
        <v>Jackson County</v>
      </c>
      <c r="C51" s="315"/>
      <c r="D51" s="49"/>
    </row>
    <row r="52" spans="1:4" ht="15.75">
      <c r="A52" s="1"/>
      <c r="B52" s="124"/>
      <c r="C52" s="124"/>
      <c r="D52" s="49"/>
    </row>
    <row r="53" spans="1:4" ht="15.75">
      <c r="A53" s="27" t="s">
        <v>132</v>
      </c>
      <c r="B53" s="124"/>
      <c r="C53" s="124"/>
      <c r="D53" s="49"/>
    </row>
    <row r="54" spans="1:4" ht="15.75">
      <c r="A54" s="148"/>
      <c r="B54" s="311"/>
      <c r="C54" s="311"/>
      <c r="D54" s="68"/>
    </row>
    <row r="55" spans="1:4" ht="15.75">
      <c r="A55" s="5" t="s">
        <v>133</v>
      </c>
      <c r="B55" s="119" t="s">
        <v>10</v>
      </c>
      <c r="C55" s="9" t="s">
        <v>11</v>
      </c>
      <c r="D55" s="9" t="s">
        <v>12</v>
      </c>
    </row>
    <row r="56" spans="1:4" ht="15.75">
      <c r="A56" s="120"/>
      <c r="B56" s="33" t="str">
        <f>CONCATENATE("Actual ",Adrian!$F$1-2,"")</f>
        <v>Actual 2010</v>
      </c>
      <c r="C56" s="33" t="str">
        <f>CONCATENATE("Estimate ",Adrian!$F$1-1,"")</f>
        <v>Estimate 2011</v>
      </c>
      <c r="D56" s="33" t="str">
        <f>CONCATENATE("Year ",Adrian!$F$1,"")</f>
        <v>Year 2012</v>
      </c>
    </row>
    <row r="57" spans="1:4" ht="15.75">
      <c r="A57" s="18" t="s">
        <v>134</v>
      </c>
      <c r="B57" s="36"/>
      <c r="C57" s="20">
        <f>B83</f>
        <v>0</v>
      </c>
      <c r="D57" s="20">
        <f>C83</f>
        <v>0</v>
      </c>
    </row>
    <row r="58" spans="1:4" ht="15.75">
      <c r="A58" s="18" t="s">
        <v>135</v>
      </c>
      <c r="B58" s="20"/>
      <c r="C58" s="20"/>
      <c r="D58" s="20"/>
    </row>
    <row r="59" spans="1:4" ht="15.75">
      <c r="A59" s="53"/>
      <c r="B59" s="36"/>
      <c r="C59" s="36"/>
      <c r="D59" s="36"/>
    </row>
    <row r="60" spans="1:4" ht="15.75">
      <c r="A60" s="53"/>
      <c r="B60" s="36"/>
      <c r="C60" s="36"/>
      <c r="D60" s="36"/>
    </row>
    <row r="61" spans="1:4" ht="15.75">
      <c r="A61" s="53"/>
      <c r="B61" s="36"/>
      <c r="C61" s="36"/>
      <c r="D61" s="36"/>
    </row>
    <row r="62" spans="1:4" ht="15.75">
      <c r="A62" s="17"/>
      <c r="B62" s="16"/>
      <c r="C62" s="16"/>
      <c r="D62" s="16"/>
    </row>
    <row r="63" spans="1:4" ht="15.75">
      <c r="A63" s="53"/>
      <c r="B63" s="36"/>
      <c r="C63" s="36"/>
      <c r="D63" s="36"/>
    </row>
    <row r="64" spans="1:4" ht="15.75">
      <c r="A64" s="53"/>
      <c r="B64" s="36"/>
      <c r="C64" s="36"/>
      <c r="D64" s="36"/>
    </row>
    <row r="65" spans="1:4" ht="15.75">
      <c r="A65" s="53"/>
      <c r="B65" s="36"/>
      <c r="C65" s="36"/>
      <c r="D65" s="36"/>
    </row>
    <row r="66" spans="1:4" ht="15.75">
      <c r="A66" s="121" t="s">
        <v>21</v>
      </c>
      <c r="B66" s="36"/>
      <c r="C66" s="36"/>
      <c r="D66" s="36"/>
    </row>
    <row r="67" spans="1:4" ht="15.75">
      <c r="A67" s="122" t="s">
        <v>22</v>
      </c>
      <c r="B67" s="184">
        <f>SUM(B59:B66)</f>
        <v>0</v>
      </c>
      <c r="C67" s="184">
        <f>SUM(C59:C66)</f>
        <v>0</v>
      </c>
      <c r="D67" s="184">
        <f>SUM(D59:D66)</f>
        <v>0</v>
      </c>
    </row>
    <row r="68" spans="1:4" ht="15.75">
      <c r="A68" s="122" t="s">
        <v>23</v>
      </c>
      <c r="B68" s="184">
        <f>B57+B67</f>
        <v>0</v>
      </c>
      <c r="C68" s="184">
        <f>C57+C67</f>
        <v>0</v>
      </c>
      <c r="D68" s="184">
        <f>D57+D67</f>
        <v>0</v>
      </c>
    </row>
    <row r="69" spans="1:4" ht="15.75">
      <c r="A69" s="18" t="s">
        <v>24</v>
      </c>
      <c r="B69" s="20"/>
      <c r="C69" s="20"/>
      <c r="D69" s="20"/>
    </row>
    <row r="70" spans="1:4" ht="15.75">
      <c r="A70" s="53" t="s">
        <v>136</v>
      </c>
      <c r="B70" s="36"/>
      <c r="C70" s="36"/>
      <c r="D70" s="36"/>
    </row>
    <row r="71" spans="1:4" ht="15.75">
      <c r="A71" s="53" t="s">
        <v>137</v>
      </c>
      <c r="B71" s="36"/>
      <c r="C71" s="36"/>
      <c r="D71" s="36"/>
    </row>
    <row r="72" spans="1:4" ht="15.75">
      <c r="A72" s="53"/>
      <c r="B72" s="36"/>
      <c r="C72" s="36"/>
      <c r="D72" s="36"/>
    </row>
    <row r="73" spans="1:4" ht="15.75">
      <c r="A73" s="53"/>
      <c r="B73" s="36"/>
      <c r="C73" s="36"/>
      <c r="D73" s="36"/>
    </row>
    <row r="74" spans="1:4" ht="15.75">
      <c r="A74" s="53"/>
      <c r="B74" s="36"/>
      <c r="C74" s="36"/>
      <c r="D74" s="36"/>
    </row>
    <row r="75" spans="1:4" ht="15.75">
      <c r="A75" s="53"/>
      <c r="B75" s="36"/>
      <c r="C75" s="36"/>
      <c r="D75" s="36"/>
    </row>
    <row r="76" spans="1:4" ht="15.75">
      <c r="A76" s="53"/>
      <c r="B76" s="36"/>
      <c r="C76" s="36"/>
      <c r="D76" s="36"/>
    </row>
    <row r="77" spans="1:4" ht="15.75">
      <c r="A77" s="53"/>
      <c r="B77" s="16"/>
      <c r="C77" s="16"/>
      <c r="D77" s="16"/>
    </row>
    <row r="78" spans="1:4" ht="15.75">
      <c r="A78" s="53"/>
      <c r="B78" s="36"/>
      <c r="C78" s="16"/>
      <c r="D78" s="16"/>
    </row>
    <row r="79" spans="1:4" ht="15.75">
      <c r="A79" s="53"/>
      <c r="B79" s="36"/>
      <c r="C79" s="16"/>
      <c r="D79" s="16"/>
    </row>
    <row r="80" spans="1:4" ht="15.75">
      <c r="A80" s="53"/>
      <c r="B80" s="36"/>
      <c r="C80" s="16"/>
      <c r="D80" s="16"/>
    </row>
    <row r="81" spans="1:4" ht="15.75">
      <c r="A81" s="53"/>
      <c r="B81" s="36"/>
      <c r="C81" s="36"/>
      <c r="D81" s="36"/>
    </row>
    <row r="82" spans="1:4" ht="15.75">
      <c r="A82" s="122" t="s">
        <v>25</v>
      </c>
      <c r="B82" s="184">
        <f>SUM(B70:B81)</f>
        <v>0</v>
      </c>
      <c r="C82" s="184">
        <f>SUM(C70:C81)</f>
        <v>0</v>
      </c>
      <c r="D82" s="184">
        <f>SUM(D70:D81)</f>
        <v>0</v>
      </c>
    </row>
    <row r="83" spans="1:4" ht="15.75">
      <c r="A83" s="18" t="s">
        <v>138</v>
      </c>
      <c r="B83" s="185">
        <f>B68-B82</f>
        <v>0</v>
      </c>
      <c r="C83" s="185">
        <f>C68-C82</f>
        <v>0</v>
      </c>
      <c r="D83" s="185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54:C54"/>
    <mergeCell ref="B2:C2"/>
    <mergeCell ref="B4:C4"/>
    <mergeCell ref="B49:C49"/>
    <mergeCell ref="B51:C51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20">
      <selection activeCell="F28" sqref="F2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4" t="s">
        <v>7</v>
      </c>
      <c r="B1" s="25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11" t="str">
        <f>input!$E$3</f>
        <v>Jackson County</v>
      </c>
      <c r="D2" s="112"/>
      <c r="E2" s="1"/>
      <c r="F2" s="1"/>
    </row>
    <row r="3" spans="1:6" ht="15.75">
      <c r="A3" s="25" t="s">
        <v>8</v>
      </c>
      <c r="B3" s="25"/>
      <c r="C3" s="111" t="str">
        <f>cert2!A11</f>
        <v>Brick Cemetery</v>
      </c>
      <c r="D3" s="112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15.75">
      <c r="A6" s="27" t="s">
        <v>9</v>
      </c>
      <c r="B6" s="28"/>
      <c r="C6" s="29"/>
      <c r="D6" s="29"/>
      <c r="E6" s="29"/>
      <c r="F6" s="29"/>
    </row>
    <row r="7" spans="1:6" ht="15.75">
      <c r="A7" s="28" t="s">
        <v>87</v>
      </c>
      <c r="B7" s="1"/>
      <c r="C7" s="30"/>
      <c r="D7" s="31" t="s">
        <v>10</v>
      </c>
      <c r="E7" s="31" t="s">
        <v>11</v>
      </c>
      <c r="F7" s="31" t="s">
        <v>12</v>
      </c>
    </row>
    <row r="8" spans="1:6" ht="15.75">
      <c r="A8" s="198" t="s">
        <v>122</v>
      </c>
      <c r="B8" s="26"/>
      <c r="C8" s="97"/>
      <c r="D8" s="33" t="str">
        <f>CONCATENATE("Actual ",$F$1-2,"")</f>
        <v>Actual 2010</v>
      </c>
      <c r="E8" s="33" t="str">
        <f>CONCATENATE("Estimate ",$F$1-1,"")</f>
        <v>Estimate 2011</v>
      </c>
      <c r="F8" s="33" t="str">
        <f>CONCATENATE("Year ",$F$1,"")</f>
        <v>Year 2012</v>
      </c>
    </row>
    <row r="9" spans="1:6" ht="15.75">
      <c r="A9" s="34" t="s">
        <v>13</v>
      </c>
      <c r="B9" s="35"/>
      <c r="C9" s="201"/>
      <c r="D9" s="196">
        <v>3900</v>
      </c>
      <c r="E9" s="20">
        <f>+D36</f>
        <v>4961.139999999999</v>
      </c>
      <c r="F9" s="20">
        <f>+E36</f>
        <v>2213.1399999999994</v>
      </c>
    </row>
    <row r="10" spans="1:6" ht="15.75">
      <c r="A10" s="199" t="s">
        <v>14</v>
      </c>
      <c r="B10" s="200"/>
      <c r="C10" s="201"/>
      <c r="D10" s="196"/>
      <c r="E10" s="36">
        <v>2802</v>
      </c>
      <c r="F10" s="19" t="s">
        <v>6</v>
      </c>
    </row>
    <row r="11" spans="1:6" ht="15.75">
      <c r="A11" s="34" t="s">
        <v>15</v>
      </c>
      <c r="B11" s="35"/>
      <c r="C11" s="201"/>
      <c r="D11" s="196"/>
      <c r="E11" s="36"/>
      <c r="F11" s="36"/>
    </row>
    <row r="12" spans="1:6" ht="15.75">
      <c r="A12" s="34" t="s">
        <v>16</v>
      </c>
      <c r="B12" s="35"/>
      <c r="C12" s="201"/>
      <c r="D12" s="196"/>
      <c r="E12" s="36">
        <v>583</v>
      </c>
      <c r="F12" s="20">
        <f>D51</f>
        <v>440</v>
      </c>
    </row>
    <row r="13" spans="1:6" ht="15.75">
      <c r="A13" s="34" t="s">
        <v>17</v>
      </c>
      <c r="B13" s="35"/>
      <c r="C13" s="201"/>
      <c r="D13" s="196"/>
      <c r="E13" s="36">
        <v>4</v>
      </c>
      <c r="F13" s="20">
        <f>E51</f>
        <v>5</v>
      </c>
    </row>
    <row r="14" spans="1:6" ht="15.75">
      <c r="A14" s="34" t="s">
        <v>86</v>
      </c>
      <c r="B14" s="35"/>
      <c r="C14" s="201"/>
      <c r="D14" s="196"/>
      <c r="E14" s="36">
        <v>13</v>
      </c>
      <c r="F14" s="20">
        <f>F51</f>
        <v>32</v>
      </c>
    </row>
    <row r="15" spans="1:6" ht="15.75">
      <c r="A15" s="34" t="s">
        <v>18</v>
      </c>
      <c r="B15" s="35"/>
      <c r="C15" s="201"/>
      <c r="D15" s="196"/>
      <c r="E15" s="36" t="s">
        <v>19</v>
      </c>
      <c r="F15" s="106"/>
    </row>
    <row r="16" spans="1:6" ht="15.75">
      <c r="A16" s="34" t="s">
        <v>207</v>
      </c>
      <c r="B16" s="35"/>
      <c r="C16" s="201"/>
      <c r="D16" s="196"/>
      <c r="E16" s="36"/>
      <c r="F16" s="106"/>
    </row>
    <row r="17" spans="1:6" ht="15.75">
      <c r="A17" s="37" t="s">
        <v>259</v>
      </c>
      <c r="B17" s="38"/>
      <c r="C17" s="202"/>
      <c r="D17" s="196">
        <v>3755.87</v>
      </c>
      <c r="E17" s="36" t="s">
        <v>19</v>
      </c>
      <c r="F17" s="36" t="s">
        <v>19</v>
      </c>
    </row>
    <row r="18" spans="1:6" ht="15.75">
      <c r="A18" s="39"/>
      <c r="B18" s="38"/>
      <c r="C18" s="202"/>
      <c r="D18" s="196"/>
      <c r="E18" s="36"/>
      <c r="F18" s="36"/>
    </row>
    <row r="19" spans="1:6" ht="15.75">
      <c r="A19" s="39"/>
      <c r="B19" s="38"/>
      <c r="C19" s="202"/>
      <c r="D19" s="196"/>
      <c r="E19" s="36"/>
      <c r="F19" s="36"/>
    </row>
    <row r="20" spans="1:6" ht="15.75">
      <c r="A20" s="37"/>
      <c r="B20" s="38"/>
      <c r="C20" s="202"/>
      <c r="D20" s="196"/>
      <c r="E20" s="36"/>
      <c r="F20" s="36"/>
    </row>
    <row r="21" spans="1:6" ht="15.75">
      <c r="A21" s="40"/>
      <c r="B21" s="41"/>
      <c r="C21" s="202"/>
      <c r="D21" s="196"/>
      <c r="E21" s="36"/>
      <c r="F21" s="36"/>
    </row>
    <row r="22" spans="1:6" ht="15.75">
      <c r="A22" s="40" t="s">
        <v>21</v>
      </c>
      <c r="B22" s="41"/>
      <c r="C22" s="202"/>
      <c r="D22" s="196"/>
      <c r="E22" s="36"/>
      <c r="F22" s="36"/>
    </row>
    <row r="23" spans="1:6" ht="15.75">
      <c r="A23" s="42" t="s">
        <v>22</v>
      </c>
      <c r="B23" s="35"/>
      <c r="C23" s="201"/>
      <c r="D23" s="197">
        <f>SUM(D10:D22)</f>
        <v>3755.87</v>
      </c>
      <c r="E23" s="184">
        <f>SUM(E10:E22)</f>
        <v>3402</v>
      </c>
      <c r="F23" s="184">
        <f>SUM(F10:F22)</f>
        <v>477</v>
      </c>
    </row>
    <row r="24" spans="1:6" ht="15.75">
      <c r="A24" s="42" t="s">
        <v>23</v>
      </c>
      <c r="B24" s="35"/>
      <c r="C24" s="201"/>
      <c r="D24" s="197">
        <f>+D9+D23</f>
        <v>7655.87</v>
      </c>
      <c r="E24" s="184">
        <f>+E9+E23</f>
        <v>8363.14</v>
      </c>
      <c r="F24" s="184">
        <f>+F9+F23</f>
        <v>2690.1399999999994</v>
      </c>
    </row>
    <row r="25" spans="1:6" ht="15.75">
      <c r="A25" s="34" t="s">
        <v>24</v>
      </c>
      <c r="B25" s="35"/>
      <c r="C25" s="201"/>
      <c r="D25" s="104"/>
      <c r="E25" s="20"/>
      <c r="F25" s="20"/>
    </row>
    <row r="26" spans="1:6" ht="15.75">
      <c r="A26" s="40" t="s">
        <v>263</v>
      </c>
      <c r="B26" s="38"/>
      <c r="C26" s="202"/>
      <c r="D26" s="196">
        <v>2202.5</v>
      </c>
      <c r="E26" s="36">
        <v>2300</v>
      </c>
      <c r="F26" s="36">
        <v>2300</v>
      </c>
    </row>
    <row r="27" spans="1:6" ht="15.75">
      <c r="A27" s="40" t="s">
        <v>281</v>
      </c>
      <c r="B27" s="38"/>
      <c r="C27" s="202"/>
      <c r="D27" s="196"/>
      <c r="E27" s="36">
        <v>2500</v>
      </c>
      <c r="F27" s="36">
        <v>1873</v>
      </c>
    </row>
    <row r="28" spans="1:6" ht="15.75">
      <c r="A28" s="40" t="s">
        <v>282</v>
      </c>
      <c r="B28" s="38"/>
      <c r="C28" s="202"/>
      <c r="D28" s="196">
        <v>119.19</v>
      </c>
      <c r="E28" s="36"/>
      <c r="F28" s="36"/>
    </row>
    <row r="29" spans="1:6" ht="15.75">
      <c r="A29" s="40" t="s">
        <v>283</v>
      </c>
      <c r="B29" s="38"/>
      <c r="C29" s="202"/>
      <c r="D29" s="196">
        <v>373.04</v>
      </c>
      <c r="E29" s="36">
        <v>850</v>
      </c>
      <c r="F29" s="36">
        <v>850</v>
      </c>
    </row>
    <row r="30" spans="1:6" ht="15.75">
      <c r="A30" s="37" t="s">
        <v>265</v>
      </c>
      <c r="B30" s="38"/>
      <c r="C30" s="202"/>
      <c r="D30" s="196"/>
      <c r="E30" s="36">
        <v>500</v>
      </c>
      <c r="F30" s="36">
        <v>500</v>
      </c>
    </row>
    <row r="31" spans="1:6" ht="15.75">
      <c r="A31" s="37"/>
      <c r="B31" s="38"/>
      <c r="C31" s="202"/>
      <c r="D31" s="196"/>
      <c r="E31" s="36"/>
      <c r="F31" s="36"/>
    </row>
    <row r="32" spans="1:6" ht="15.75">
      <c r="A32" s="37"/>
      <c r="B32" s="38"/>
      <c r="C32" s="202"/>
      <c r="D32" s="196"/>
      <c r="E32" s="36"/>
      <c r="F32" s="36"/>
    </row>
    <row r="33" spans="1:6" ht="15.75">
      <c r="A33" s="37"/>
      <c r="B33" s="38"/>
      <c r="C33" s="202"/>
      <c r="D33" s="196"/>
      <c r="E33" s="36"/>
      <c r="F33" s="36"/>
    </row>
    <row r="34" spans="1:6" ht="15.75">
      <c r="A34" s="37"/>
      <c r="B34" s="38"/>
      <c r="C34" s="202"/>
      <c r="D34" s="196"/>
      <c r="E34" s="36"/>
      <c r="F34" s="36"/>
    </row>
    <row r="35" spans="1:6" ht="15.75">
      <c r="A35" s="42" t="s">
        <v>25</v>
      </c>
      <c r="B35" s="35"/>
      <c r="C35" s="201"/>
      <c r="D35" s="197">
        <f>SUM(D26:D34)</f>
        <v>2694.73</v>
      </c>
      <c r="E35" s="184">
        <f>SUM(E26:E34)</f>
        <v>6150</v>
      </c>
      <c r="F35" s="184">
        <f>SUM(F26:F34)</f>
        <v>5523</v>
      </c>
    </row>
    <row r="36" spans="1:6" ht="15.75">
      <c r="A36" s="34" t="s">
        <v>26</v>
      </c>
      <c r="B36" s="35"/>
      <c r="C36" s="201"/>
      <c r="D36" s="190">
        <f>+D24-D35</f>
        <v>4961.139999999999</v>
      </c>
      <c r="E36" s="185">
        <f>+E24-E35</f>
        <v>2213.1399999999994</v>
      </c>
      <c r="F36" s="19" t="s">
        <v>6</v>
      </c>
    </row>
    <row r="37" spans="1:7" ht="15.75">
      <c r="A37" s="1"/>
      <c r="B37" s="1"/>
      <c r="C37" s="1"/>
      <c r="D37" s="45"/>
      <c r="E37" s="46" t="s">
        <v>27</v>
      </c>
      <c r="F37" s="16"/>
      <c r="G37" s="194">
        <f>IF(F35/0.95-F35&lt;F37,"Exceeds 5%","")</f>
      </c>
    </row>
    <row r="38" spans="1:6" ht="15.75">
      <c r="A38" s="1"/>
      <c r="B38" s="25"/>
      <c r="C38" s="1"/>
      <c r="D38" s="45"/>
      <c r="E38" s="46" t="s">
        <v>28</v>
      </c>
      <c r="F38" s="164">
        <f>+F35+F37</f>
        <v>5523</v>
      </c>
    </row>
    <row r="39" spans="1:6" ht="15.75">
      <c r="A39" s="1"/>
      <c r="B39" s="1"/>
      <c r="C39" s="1"/>
      <c r="D39" s="1"/>
      <c r="E39" s="4" t="s">
        <v>29</v>
      </c>
      <c r="F39" s="164">
        <f>IF(F38-F24&gt;0,F38-F24,0)</f>
        <v>2832.8600000000006</v>
      </c>
    </row>
    <row r="40" spans="1:6" ht="16.5" thickBot="1">
      <c r="A40" s="307" t="s">
        <v>171</v>
      </c>
      <c r="B40" s="308"/>
      <c r="C40" s="308"/>
      <c r="D40" s="308"/>
      <c r="E40" s="47"/>
      <c r="F40" s="164">
        <f>ROUND(IF(E40&gt;0,(F39*E40),0),0)</f>
        <v>0</v>
      </c>
    </row>
    <row r="41" spans="1:6" ht="16.5" thickBot="1">
      <c r="A41" s="211" t="s">
        <v>252</v>
      </c>
      <c r="B41" s="212">
        <f>BRComp2!$J$35</f>
        <v>2832.928649138897</v>
      </c>
      <c r="C41" s="1"/>
      <c r="D41" s="1"/>
      <c r="E41" s="4" t="str">
        <f>CONCATENATE("Amount of ",$F$1-1," Ad Valorem Tax")</f>
        <v>Amount of 2011 Ad Valorem Tax</v>
      </c>
      <c r="F41" s="193">
        <f>SUM(F39:F40)</f>
        <v>2832.8600000000006</v>
      </c>
    </row>
    <row r="42" spans="1:6" ht="16.5" thickBot="1">
      <c r="A42" s="1"/>
      <c r="C42" s="29"/>
      <c r="D42" s="219"/>
      <c r="E42" s="219"/>
      <c r="F42" s="219"/>
    </row>
    <row r="43" spans="1:6" ht="16.5" thickBot="1">
      <c r="A43" s="1"/>
      <c r="C43" s="220" t="s">
        <v>254</v>
      </c>
      <c r="D43" s="221">
        <f>sum2!C9</f>
        <v>0.817</v>
      </c>
      <c r="E43" s="221">
        <f>sum2!E9</f>
        <v>0.644</v>
      </c>
      <c r="F43" s="222">
        <f>sum2!H9</f>
        <v>0.633</v>
      </c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7" t="s">
        <v>78</v>
      </c>
      <c r="C47" s="1"/>
      <c r="D47" s="11"/>
      <c r="E47" s="91"/>
      <c r="F47" s="92"/>
    </row>
    <row r="48" spans="1:6" ht="15.75">
      <c r="A48" s="26"/>
      <c r="B48" s="24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2" t="s">
        <v>172</v>
      </c>
      <c r="D49" s="31" t="s">
        <v>79</v>
      </c>
      <c r="E49" s="31" t="s">
        <v>80</v>
      </c>
      <c r="F49" s="31" t="s">
        <v>81</v>
      </c>
    </row>
    <row r="50" spans="1:6" ht="15.75">
      <c r="A50" s="52" t="s">
        <v>31</v>
      </c>
      <c r="B50" s="105"/>
      <c r="C50" s="107" t="str">
        <f>CONCATENATE("for ",$F$1-1,"")</f>
        <v>for 2011</v>
      </c>
      <c r="D50" s="33" t="s">
        <v>32</v>
      </c>
      <c r="E50" s="33" t="s">
        <v>32</v>
      </c>
      <c r="F50" s="33" t="s">
        <v>32</v>
      </c>
    </row>
    <row r="51" spans="1:6" ht="15.75">
      <c r="A51" s="103" t="s">
        <v>33</v>
      </c>
      <c r="B51" s="109"/>
      <c r="C51" s="36">
        <v>2802</v>
      </c>
      <c r="D51" s="127">
        <f>IF(C51&gt;0,ROUND(+C51*D$59,0)," ")</f>
        <v>440</v>
      </c>
      <c r="E51" s="127">
        <f>IF(C51&gt;0,ROUND(+C51*E$60,0)," ")</f>
        <v>5</v>
      </c>
      <c r="F51" s="127">
        <f>IF(C51&gt;0,ROUND(+C51*F$61,0)," ")</f>
        <v>32</v>
      </c>
    </row>
    <row r="52" spans="1:6" ht="15.75">
      <c r="A52" s="53"/>
      <c r="B52" s="102"/>
      <c r="C52" s="108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4" t="s">
        <v>34</v>
      </c>
      <c r="B53" s="43"/>
      <c r="C53" s="190">
        <f>SUM(C51:C52)</f>
        <v>2802</v>
      </c>
      <c r="D53" s="191">
        <f>SUM(D51:D52)</f>
        <v>440</v>
      </c>
      <c r="E53" s="191">
        <f>SUM(E51:E52)</f>
        <v>5</v>
      </c>
      <c r="F53" s="191">
        <f>SUM(F51:F52)</f>
        <v>32</v>
      </c>
    </row>
    <row r="54" spans="1:6" ht="15.75">
      <c r="A54" s="28"/>
      <c r="B54" s="28"/>
      <c r="C54" s="49"/>
      <c r="D54" s="124"/>
      <c r="E54" s="124"/>
      <c r="F54" s="124"/>
    </row>
    <row r="55" spans="1:6" ht="15.75">
      <c r="A55" s="28" t="s">
        <v>83</v>
      </c>
      <c r="B55" s="28"/>
      <c r="C55" s="49"/>
      <c r="D55" s="125">
        <v>439.63</v>
      </c>
      <c r="E55" s="124"/>
      <c r="F55" s="124"/>
    </row>
    <row r="56" spans="1:6" ht="15.75">
      <c r="A56" s="28" t="s">
        <v>84</v>
      </c>
      <c r="B56" s="28"/>
      <c r="C56" s="49"/>
      <c r="D56" s="124"/>
      <c r="E56" s="125">
        <v>5.39</v>
      </c>
      <c r="F56" s="124"/>
    </row>
    <row r="57" spans="1:6" ht="15.75">
      <c r="A57" s="28" t="s">
        <v>85</v>
      </c>
      <c r="B57" s="28"/>
      <c r="C57" s="49"/>
      <c r="D57" s="124"/>
      <c r="E57" s="124"/>
      <c r="F57" s="125">
        <v>31.94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26">
        <f>IF(C53=0,0,D55/C53)</f>
        <v>0.15689864382583868</v>
      </c>
      <c r="E59" s="93"/>
      <c r="F59" s="93"/>
    </row>
    <row r="60" spans="1:6" ht="15.75">
      <c r="A60" s="1"/>
      <c r="B60" s="1"/>
      <c r="C60" s="1"/>
      <c r="D60" s="93" t="s">
        <v>36</v>
      </c>
      <c r="E60" s="126">
        <f>IF(C53=0,0,E56/C53)</f>
        <v>0.001923625981441827</v>
      </c>
      <c r="F60" s="93"/>
    </row>
    <row r="61" spans="1:6" ht="15.75">
      <c r="A61" s="1"/>
      <c r="B61" s="1"/>
      <c r="C61" s="1"/>
      <c r="D61" s="93"/>
      <c r="E61" s="93" t="s">
        <v>82</v>
      </c>
      <c r="F61" s="126">
        <f>IF(C53=0,0,F57/C53)</f>
        <v>0.011399000713775875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5" t="s">
        <v>37</v>
      </c>
      <c r="C69" s="56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6384" width="9.140625" style="3" customWidth="1"/>
  </cols>
  <sheetData>
    <row r="1" spans="1:9" ht="15.75">
      <c r="A1" s="335" t="s">
        <v>99</v>
      </c>
      <c r="B1" s="335"/>
      <c r="C1" s="335"/>
      <c r="D1" s="335"/>
      <c r="E1" s="335"/>
      <c r="F1" s="335"/>
      <c r="G1" s="335"/>
      <c r="H1" s="335"/>
      <c r="I1" s="335"/>
    </row>
    <row r="3" spans="1:9" ht="15.75">
      <c r="A3" s="334" t="s">
        <v>100</v>
      </c>
      <c r="B3" s="334"/>
      <c r="C3" s="334"/>
      <c r="D3" s="334"/>
      <c r="E3" s="334"/>
      <c r="F3" s="334"/>
      <c r="G3" s="334"/>
      <c r="H3" s="334"/>
      <c r="I3" s="334"/>
    </row>
    <row r="4" spans="5:7" ht="15.75">
      <c r="E4" s="166"/>
      <c r="F4" s="166"/>
      <c r="G4" s="166"/>
    </row>
    <row r="5" ht="15.75">
      <c r="A5" s="22" t="s">
        <v>101</v>
      </c>
    </row>
    <row r="6" ht="15.75">
      <c r="A6" s="22" t="s">
        <v>285</v>
      </c>
    </row>
    <row r="9" ht="15.75">
      <c r="A9" s="3" t="s">
        <v>173</v>
      </c>
    </row>
    <row r="10" ht="15.75">
      <c r="A10" s="22" t="s">
        <v>286</v>
      </c>
    </row>
    <row r="11" ht="15.75">
      <c r="A11" s="3" t="s">
        <v>102</v>
      </c>
    </row>
    <row r="12" ht="15.75">
      <c r="A12" s="3" t="s">
        <v>103</v>
      </c>
    </row>
    <row r="13" ht="15.75">
      <c r="A13" s="3" t="s">
        <v>104</v>
      </c>
    </row>
    <row r="14" ht="15.75">
      <c r="A14" s="3" t="s">
        <v>105</v>
      </c>
    </row>
    <row r="15" ht="15.75">
      <c r="A15" s="3" t="s">
        <v>106</v>
      </c>
    </row>
    <row r="17" ht="15.75">
      <c r="A17" s="3" t="s">
        <v>174</v>
      </c>
    </row>
    <row r="18" ht="15.75">
      <c r="A18" s="3" t="s">
        <v>107</v>
      </c>
    </row>
    <row r="20" ht="15.75">
      <c r="A20" s="22" t="s">
        <v>175</v>
      </c>
    </row>
    <row r="22" ht="15.75">
      <c r="A22" s="3" t="s">
        <v>176</v>
      </c>
    </row>
    <row r="24" ht="15.75">
      <c r="A24" s="22" t="s">
        <v>177</v>
      </c>
    </row>
    <row r="25" ht="15.75">
      <c r="A25" s="22" t="s">
        <v>284</v>
      </c>
    </row>
    <row r="26" ht="15.75">
      <c r="A26" s="3" t="s">
        <v>108</v>
      </c>
    </row>
    <row r="28" ht="15.75">
      <c r="A28" s="22" t="s">
        <v>287</v>
      </c>
    </row>
    <row r="29" ht="15.75">
      <c r="A29" s="3" t="s">
        <v>109</v>
      </c>
    </row>
    <row r="32" ht="15.75">
      <c r="E32" s="22" t="s">
        <v>110</v>
      </c>
    </row>
    <row r="35" spans="5:8" ht="15.75">
      <c r="E35" s="167"/>
      <c r="F35" s="167"/>
      <c r="G35" s="167"/>
      <c r="H35" s="167"/>
    </row>
    <row r="36" ht="15.75">
      <c r="E36" s="3" t="s">
        <v>111</v>
      </c>
    </row>
    <row r="39" spans="5:8" ht="15.75">
      <c r="E39" s="167"/>
      <c r="F39" s="167"/>
      <c r="G39" s="167"/>
      <c r="H39" s="167"/>
    </row>
    <row r="40" ht="15.75">
      <c r="E40" s="3" t="s">
        <v>112</v>
      </c>
    </row>
    <row r="43" spans="5:8" ht="15.75">
      <c r="E43" s="167"/>
      <c r="F43" s="167"/>
      <c r="G43" s="167"/>
      <c r="H43" s="167"/>
    </row>
    <row r="44" ht="15.75">
      <c r="F44" s="3" t="s">
        <v>113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ht="12.75">
      <c r="B1" s="94" t="s">
        <v>203</v>
      </c>
    </row>
    <row r="2" ht="15.75">
      <c r="A2" s="3" t="s">
        <v>204</v>
      </c>
    </row>
    <row r="3" ht="12.75">
      <c r="A3" t="s">
        <v>222</v>
      </c>
    </row>
    <row r="4" ht="12.75">
      <c r="A4" t="s">
        <v>205</v>
      </c>
    </row>
    <row r="5" ht="12.75">
      <c r="A5" t="s">
        <v>206</v>
      </c>
    </row>
    <row r="6" ht="12.75">
      <c r="A6" t="s">
        <v>208</v>
      </c>
    </row>
    <row r="7" ht="12.75">
      <c r="A7" t="s">
        <v>219</v>
      </c>
    </row>
    <row r="8" ht="12.75">
      <c r="A8" t="s">
        <v>218</v>
      </c>
    </row>
    <row r="9" ht="12.75">
      <c r="A9" t="s">
        <v>220</v>
      </c>
    </row>
    <row r="10" ht="12.75">
      <c r="A10" t="s">
        <v>221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5.75">
      <c r="A14" s="3" t="s">
        <v>230</v>
      </c>
    </row>
    <row r="15" ht="15.75">
      <c r="A15" s="3" t="s">
        <v>231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5">
      <selection activeCell="J35" sqref="J3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input!$E$3</f>
        <v>Jackson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0" t="str">
        <f>Brick!C3</f>
        <v>Brick Cemetery</v>
      </c>
      <c r="D2" s="1"/>
      <c r="E2" s="1"/>
      <c r="F2" s="1"/>
      <c r="G2" s="1"/>
      <c r="H2" s="1"/>
      <c r="I2" s="1"/>
      <c r="J2" s="1"/>
    </row>
    <row r="3" spans="1:10" ht="15.75">
      <c r="A3" s="309" t="str">
        <f>CONCATENATE("Computation to Determine Limit for ",$J$1,"")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1"/>
      <c r="B4" s="1"/>
      <c r="C4" s="1"/>
      <c r="D4" s="1"/>
      <c r="E4" s="298"/>
      <c r="F4" s="298"/>
      <c r="G4" s="298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87">
        <v>2802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7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2802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7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7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7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87">
        <v>13346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7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87">
        <v>217895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194874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23021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7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88">
        <v>12485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7" t="s">
        <v>56</v>
      </c>
      <c r="C21" s="1"/>
      <c r="D21" s="1"/>
      <c r="E21" s="60"/>
      <c r="F21" s="60"/>
      <c r="G21" s="68">
        <f>G11+G16+G19</f>
        <v>48852</v>
      </c>
      <c r="H21" s="66"/>
      <c r="I21" s="63"/>
      <c r="J21" s="63"/>
    </row>
    <row r="22" spans="1:10" ht="15.75">
      <c r="A22" s="59"/>
      <c r="B22" s="59"/>
      <c r="C22" s="27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87">
        <v>4474629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7" t="s">
        <v>59</v>
      </c>
      <c r="C25" s="1"/>
      <c r="D25" s="1"/>
      <c r="E25" s="60"/>
      <c r="F25" s="60"/>
      <c r="G25" s="68">
        <f>E23-G21</f>
        <v>4425777</v>
      </c>
      <c r="H25" s="66"/>
      <c r="I25" s="62"/>
      <c r="J25" s="63"/>
    </row>
    <row r="26" spans="1:10" ht="15.75">
      <c r="A26" s="59"/>
      <c r="B26" s="59"/>
      <c r="C26" s="27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0.011038061791183785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29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29"/>
      <c r="H29" s="75" t="s">
        <v>41</v>
      </c>
      <c r="I29" s="73" t="s">
        <v>42</v>
      </c>
      <c r="J29" s="76">
        <f>G27*J7</f>
        <v>30.928649138896965</v>
      </c>
    </row>
    <row r="30" spans="1:10" ht="15.75">
      <c r="A30" s="59"/>
      <c r="B30" s="59"/>
      <c r="C30" s="1"/>
      <c r="D30" s="1"/>
      <c r="E30" s="1"/>
      <c r="F30" s="1"/>
      <c r="G30" s="29"/>
      <c r="H30" s="75"/>
      <c r="I30" s="73"/>
      <c r="J30" s="66"/>
    </row>
    <row r="31" spans="1:10" ht="16.5" thickBot="1">
      <c r="A31" s="59" t="s">
        <v>64</v>
      </c>
      <c r="B31" s="27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2832.928649138897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7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7"/>
      <c r="C34" s="1"/>
      <c r="D34" s="1"/>
      <c r="E34" s="1"/>
      <c r="F34" s="1"/>
      <c r="G34" s="1"/>
      <c r="H34" s="1"/>
      <c r="I34" s="1"/>
      <c r="J34" s="29"/>
    </row>
    <row r="35" spans="1:10" ht="16.5" thickBot="1">
      <c r="A35" s="59" t="s">
        <v>67</v>
      </c>
      <c r="B35" s="27" t="s">
        <v>68</v>
      </c>
      <c r="C35" s="1"/>
      <c r="D35" s="1"/>
      <c r="E35" s="1"/>
      <c r="F35" s="1"/>
      <c r="G35" s="1"/>
      <c r="H35" s="1"/>
      <c r="I35" s="1"/>
      <c r="J35" s="78">
        <f>J31+J33</f>
        <v>2832.928649138897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310" t="str">
        <f>CONCATENATE("If the ",$J$1," budget includes tax levies exceeding the total on line 14, you must")</f>
        <v>If the 2012 budget includes tax levies exceeding the total on line 14, you must</v>
      </c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79" customFormat="1" ht="18.75">
      <c r="A38" s="310" t="s">
        <v>69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5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Kathy Mick</cp:lastModifiedBy>
  <cp:lastPrinted>2011-08-23T20:34:52Z</cp:lastPrinted>
  <dcterms:created xsi:type="dcterms:W3CDTF">2006-08-28T14:14:58Z</dcterms:created>
  <dcterms:modified xsi:type="dcterms:W3CDTF">2011-12-01T03:09:40Z</dcterms:modified>
  <cp:category/>
  <cp:version/>
  <cp:contentType/>
  <cp:contentStatus/>
</cp:coreProperties>
</file>