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6">'summ'!$A$1:$H$26</definedName>
  </definedNames>
  <calcPr fullCalcOnLoad="1"/>
</workbook>
</file>

<file path=xl/sharedStrings.xml><?xml version="1.0" encoding="utf-8"?>
<sst xmlns="http://schemas.openxmlformats.org/spreadsheetml/2006/main" count="1115" uniqueCount="756">
  <si>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</si>
  <si>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</si>
  <si>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</si>
  <si>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</si>
  <si>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</si>
  <si>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</si>
  <si>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</si>
  <si>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</si>
  <si>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</si>
  <si>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</si>
  <si>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</si>
  <si>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</si>
  <si>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</si>
  <si>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</si>
  <si>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</si>
  <si>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</si>
  <si>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</si>
  <si>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</si>
  <si>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</si>
  <si>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</si>
  <si>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</si>
  <si>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</si>
  <si>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</si>
  <si>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</si>
  <si>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</si>
  <si>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</si>
  <si>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</si>
  <si>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</si>
  <si>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</si>
  <si>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</si>
  <si>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</si>
  <si>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</si>
  <si>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</si>
  <si>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</si>
  <si>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</si>
  <si>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</si>
  <si>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</si>
  <si>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</si>
  <si>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</si>
  <si>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</si>
  <si>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</si>
  <si>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</si>
  <si>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</si>
  <si>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</si>
  <si>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</si>
  <si>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</si>
  <si>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</si>
  <si>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</si>
  <si>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</si>
  <si>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</si>
  <si>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</si>
  <si>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</si>
  <si>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</si>
  <si>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</si>
  <si>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</si>
  <si>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</si>
  <si>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</si>
  <si>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</si>
  <si>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</si>
  <si>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</si>
  <si>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</si>
  <si>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</si>
  <si>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</si>
  <si>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</si>
  <si>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</si>
  <si>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</si>
  <si>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</si>
  <si>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</si>
  <si>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</si>
  <si>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</si>
  <si>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</si>
  <si>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</si>
  <si>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</si>
  <si>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</si>
  <si>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</si>
  <si>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</si>
  <si>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</si>
  <si>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</si>
  <si>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</si>
  <si>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</si>
  <si>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</si>
  <si>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</si>
  <si>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</si>
  <si>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</si>
  <si>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</si>
  <si>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</si>
  <si>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</si>
  <si>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</si>
  <si>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</si>
  <si>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</si>
  <si>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</si>
  <si>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</si>
  <si>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</si>
  <si>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</si>
  <si>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</si>
  <si>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</si>
  <si>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</si>
  <si>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</si>
  <si>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</si>
  <si>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</si>
  <si>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</si>
  <si>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</si>
  <si>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</si>
  <si>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</si>
  <si>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</si>
  <si>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</si>
  <si>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</si>
  <si>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</si>
  <si>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</si>
  <si>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</si>
  <si>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</si>
  <si>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</si>
  <si>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</si>
  <si>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</si>
  <si>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</si>
  <si>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</si>
  <si>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</si>
  <si>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</si>
  <si>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</si>
  <si>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</si>
  <si>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</si>
  <si>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</si>
  <si>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</si>
  <si>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</si>
  <si>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</si>
  <si>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</si>
  <si>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</si>
  <si>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</si>
  <si>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</si>
  <si>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</si>
  <si>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</si>
  <si>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</si>
  <si>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</si>
  <si>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</si>
  <si>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</si>
  <si>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</si>
  <si>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</si>
  <si>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</si>
  <si>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</si>
  <si>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</si>
  <si>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</si>
  <si>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</si>
  <si>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</si>
  <si>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</si>
  <si>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</si>
  <si>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</si>
  <si>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</si>
  <si>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</si>
  <si>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</si>
  <si>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</si>
  <si>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</si>
  <si>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</si>
  <si>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</si>
  <si>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</si>
  <si>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</si>
  <si>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</si>
  <si>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</si>
  <si>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</si>
  <si>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</si>
  <si>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</si>
  <si>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</si>
  <si>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</si>
  <si>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</si>
  <si>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</si>
  <si>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</si>
  <si>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</si>
  <si>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</si>
  <si>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</si>
  <si>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</si>
  <si>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</si>
  <si>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</si>
  <si>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</si>
  <si>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</si>
  <si>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</si>
  <si>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</si>
  <si>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</si>
  <si>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</si>
  <si>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</si>
  <si>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</si>
  <si>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</si>
  <si>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</si>
  <si>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</si>
  <si>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</si>
  <si>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</si>
  <si>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</si>
  <si>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</si>
  <si>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</si>
  <si>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</si>
  <si>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80-1546</t>
  </si>
  <si>
    <t>N. Centropolis Fire</t>
  </si>
  <si>
    <t>7:30 p.m.</t>
  </si>
  <si>
    <t>Centropolis Township Hall</t>
  </si>
  <si>
    <t>August 8, 2011</t>
  </si>
  <si>
    <t>Hayes Twp</t>
  </si>
  <si>
    <t>Personnal Equipment</t>
  </si>
  <si>
    <t>Phyical Equipment</t>
  </si>
  <si>
    <t>Equipment Repairs</t>
  </si>
  <si>
    <t>Operating</t>
  </si>
  <si>
    <t>Insurance</t>
  </si>
  <si>
    <t>Utilities</t>
  </si>
  <si>
    <t>Fuel</t>
  </si>
  <si>
    <t>Training</t>
  </si>
  <si>
    <t>Medical Supplies</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</si>
  <si>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</si>
  <si>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</si>
  <si>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</si>
  <si>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</si>
  <si>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</si>
  <si>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</si>
  <si>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</si>
  <si>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</si>
  <si>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</si>
  <si>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</si>
  <si>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</si>
  <si>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</si>
  <si>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</si>
  <si>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</si>
  <si>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</si>
  <si>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</si>
  <si>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</si>
  <si>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</si>
  <si>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</si>
  <si>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</si>
  <si>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</si>
  <si>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</si>
  <si>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</si>
  <si>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</si>
  <si>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</si>
  <si>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</si>
  <si>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</si>
  <si>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</si>
  <si>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</si>
  <si>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</si>
  <si>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</si>
  <si>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</si>
  <si>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</si>
  <si>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</si>
  <si>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</si>
  <si>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</si>
  <si>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</si>
  <si>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</si>
  <si>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</si>
  <si>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</si>
  <si>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</si>
  <si>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</si>
  <si>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</si>
  <si>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</si>
  <si>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</si>
  <si>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</si>
  <si>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</si>
  <si>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</si>
  <si>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</si>
  <si>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</si>
  <si>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</si>
  <si>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</si>
  <si>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</si>
  <si>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</si>
  <si>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</si>
  <si>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</si>
  <si>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</si>
  <si>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</si>
  <si>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</si>
  <si>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</si>
  <si>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</si>
  <si>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</si>
  <si>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</si>
  <si>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</si>
  <si>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</si>
  <si>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</si>
  <si>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</si>
  <si>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</si>
  <si>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</si>
  <si>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</si>
  <si>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</si>
  <si>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</si>
  <si>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</si>
  <si>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</si>
  <si>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</si>
  <si>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</si>
  <si>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</si>
  <si>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</si>
  <si>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</si>
  <si>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</si>
  <si>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</si>
  <si>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</si>
  <si>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</si>
  <si>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</si>
  <si>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</si>
  <si>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</si>
  <si>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</si>
  <si>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</si>
  <si>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</si>
  <si>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</si>
  <si>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</si>
  <si>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</si>
  <si>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</si>
  <si>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</si>
  <si>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</si>
  <si>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</si>
  <si>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</si>
  <si>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</si>
  <si>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</si>
  <si>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</si>
  <si>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</si>
  <si>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</si>
  <si>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</si>
  <si>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</si>
  <si>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</si>
  <si>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</si>
  <si>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</si>
  <si>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</si>
  <si>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</si>
  <si>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</si>
  <si>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</si>
  <si>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</si>
  <si>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</si>
  <si>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</si>
  <si>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</si>
  <si>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</si>
  <si>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</si>
  <si>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</si>
  <si>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</si>
  <si>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</si>
  <si>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</si>
  <si>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</si>
  <si>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</si>
  <si>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</si>
  <si>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</si>
  <si>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</si>
  <si>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</si>
  <si>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</si>
  <si>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</si>
  <si>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</si>
  <si>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</si>
  <si>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</si>
  <si>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</si>
  <si>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</si>
  <si>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</si>
  <si>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</si>
  <si>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</si>
  <si>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</si>
  <si>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</si>
  <si>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/s/ Royce Swank</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</si>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</sst>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75">
    <font>
      <sz val="12"/>
      <name val="Courier"/>
      <family val="0"/>
    </font>
    <font>
      <sz val="11"/>
      <color indexed="8"/>
      <name val="Calibri"/>
      <family val="2"/>
    </font>
    <font>
      <b/>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style="thin"/>
      <right style="thin"/>
      <top style="thin"/>
      <bottom style="double"/>
    </border>
    <border>
      <left/>
      <right style="thin"/>
      <top style="thin"/>
      <bottom style="thin"/>
    </border>
    <border>
      <left/>
      <right/>
      <top style="thin"/>
      <bottom/>
    </border>
    <border>
      <left style="thin"/>
      <right style="thin"/>
      <top/>
      <bottom/>
    </border>
    <border>
      <left/>
      <right style="thin"/>
      <top/>
      <bottom/>
    </border>
    <border>
      <left style="thin"/>
      <right/>
      <top style="thin"/>
      <bottom style="thin"/>
    </border>
    <border>
      <left style="thin"/>
      <right/>
      <top/>
      <bottom style="thin"/>
    </border>
    <border>
      <left/>
      <right/>
      <top/>
      <bottom style="double"/>
    </border>
    <border>
      <left style="thin"/>
      <right/>
      <top style="thin"/>
      <bottom/>
    </border>
    <border>
      <left/>
      <right style="thin"/>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right style="thin"/>
      <top style="thin"/>
      <bottom style="double"/>
    </border>
  </borders>
  <cellStyleXfs count="4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9">
    <xf numFmtId="0" fontId="0" fillId="0" borderId="0" xfId="0" applyAlignment="1">
      <alignment/>
    </xf>
    <xf numFmtId="0" fontId="0" fillId="0" borderId="0" xfId="0" applyAlignment="1">
      <alignment vertical="top"/>
    </xf>
    <xf numFmtId="0" fontId="9" fillId="0" borderId="0" xfId="444">
      <alignment/>
      <protection/>
    </xf>
    <xf numFmtId="0" fontId="6" fillId="0" borderId="0" xfId="444" applyFont="1">
      <alignment/>
      <protection/>
    </xf>
    <xf numFmtId="0" fontId="6" fillId="0" borderId="0" xfId="444" applyFont="1" applyAlignment="1">
      <alignment horizontal="left" indent="1"/>
      <protection/>
    </xf>
    <xf numFmtId="0" fontId="14" fillId="0" borderId="0" xfId="444" applyFont="1">
      <alignment/>
      <protection/>
    </xf>
    <xf numFmtId="0" fontId="12"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horizontal="left" indent="9"/>
    </xf>
    <xf numFmtId="0" fontId="14" fillId="0" borderId="0" xfId="0" applyFont="1" applyAlignment="1">
      <alignment/>
    </xf>
    <xf numFmtId="0" fontId="12" fillId="0" borderId="0" xfId="0" applyFont="1" applyAlignment="1">
      <alignment horizontal="left"/>
    </xf>
    <xf numFmtId="0" fontId="6" fillId="0" borderId="0" xfId="0" applyFont="1" applyAlignment="1">
      <alignment horizontal="left"/>
    </xf>
    <xf numFmtId="0" fontId="6" fillId="0" borderId="0" xfId="444" applyFont="1" applyAlignment="1">
      <alignment horizontal="center"/>
      <protection/>
    </xf>
    <xf numFmtId="0" fontId="3" fillId="0" borderId="0" xfId="444" applyFont="1" applyAlignment="1">
      <alignment horizontal="right"/>
      <protection/>
    </xf>
    <xf numFmtId="0" fontId="6" fillId="33" borderId="0" xfId="444" applyFont="1" applyFill="1" applyAlignment="1" applyProtection="1">
      <alignment horizontal="center"/>
      <protection locked="0"/>
    </xf>
    <xf numFmtId="0" fontId="3" fillId="0" borderId="0" xfId="0" applyFont="1" applyAlignment="1" applyProtection="1">
      <alignment vertical="center"/>
      <protection locked="0"/>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4" fillId="34" borderId="0" xfId="0" applyFont="1" applyFill="1" applyAlignment="1" applyProtection="1">
      <alignment horizontal="left" vertical="center"/>
      <protection/>
    </xf>
    <xf numFmtId="0" fontId="3" fillId="33" borderId="10"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xf>
    <xf numFmtId="0" fontId="3" fillId="33" borderId="11" xfId="0" applyFont="1" applyFill="1" applyBorder="1" applyAlignment="1" applyProtection="1">
      <alignment horizontal="left" vertical="center"/>
      <protection locked="0"/>
    </xf>
    <xf numFmtId="0" fontId="3" fillId="34" borderId="0"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centerContinuous" vertical="center"/>
      <protection/>
    </xf>
    <xf numFmtId="0" fontId="4" fillId="34" borderId="0" xfId="0" applyFont="1" applyFill="1" applyAlignment="1" applyProtection="1">
      <alignment vertical="center"/>
      <protection/>
    </xf>
    <xf numFmtId="0" fontId="4" fillId="35" borderId="0" xfId="0" applyFont="1" applyFill="1" applyAlignment="1" applyProtection="1">
      <alignment vertical="center"/>
      <protection/>
    </xf>
    <xf numFmtId="0" fontId="3" fillId="35" borderId="0" xfId="0" applyFont="1" applyFill="1" applyAlignment="1" applyProtection="1">
      <alignment vertical="center"/>
      <protection/>
    </xf>
    <xf numFmtId="37" fontId="4" fillId="36" borderId="0" xfId="0" applyNumberFormat="1" applyFont="1" applyFill="1" applyAlignment="1" applyProtection="1">
      <alignment horizontal="left" vertical="center"/>
      <protection/>
    </xf>
    <xf numFmtId="0" fontId="3" fillId="36" borderId="0" xfId="0" applyFont="1" applyFill="1" applyAlignment="1" applyProtection="1">
      <alignment vertical="center"/>
      <protection/>
    </xf>
    <xf numFmtId="0" fontId="3" fillId="34" borderId="0" xfId="0" applyFont="1" applyFill="1" applyAlignment="1" applyProtection="1">
      <alignment horizontal="center" vertical="center"/>
      <protection/>
    </xf>
    <xf numFmtId="0" fontId="5"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protection/>
    </xf>
    <xf numFmtId="0" fontId="3" fillId="33" borderId="12"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xf>
    <xf numFmtId="3" fontId="3" fillId="34" borderId="0" xfId="0" applyNumberFormat="1" applyFont="1" applyFill="1" applyAlignment="1" applyProtection="1">
      <alignment vertical="center"/>
      <protection/>
    </xf>
    <xf numFmtId="164" fontId="3" fillId="34" borderId="0" xfId="0" applyNumberFormat="1" applyFont="1" applyFill="1" applyAlignment="1" applyProtection="1">
      <alignment vertical="center"/>
      <protection/>
    </xf>
    <xf numFmtId="0" fontId="3" fillId="34" borderId="10" xfId="0" applyFont="1" applyFill="1" applyBorder="1" applyAlignment="1" applyProtection="1">
      <alignment horizontal="left" vertical="center"/>
      <protection/>
    </xf>
    <xf numFmtId="0" fontId="3" fillId="34" borderId="10" xfId="0"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7" borderId="12" xfId="0" applyNumberFormat="1" applyFont="1" applyFill="1" applyBorder="1" applyAlignment="1" applyProtection="1">
      <alignment vertical="center"/>
      <protection/>
    </xf>
    <xf numFmtId="37" fontId="3" fillId="34" borderId="0" xfId="0" applyNumberFormat="1" applyFont="1" applyFill="1" applyAlignment="1" applyProtection="1">
      <alignment horizontal="left" vertical="center"/>
      <protection/>
    </xf>
    <xf numFmtId="0" fontId="3" fillId="34" borderId="15" xfId="0" applyFont="1" applyFill="1" applyBorder="1" applyAlignment="1" applyProtection="1">
      <alignment vertical="center"/>
      <protection/>
    </xf>
    <xf numFmtId="3" fontId="3" fillId="34" borderId="12" xfId="0" applyNumberFormat="1" applyFont="1" applyFill="1" applyBorder="1" applyAlignment="1" applyProtection="1">
      <alignment vertical="center"/>
      <protection/>
    </xf>
    <xf numFmtId="0" fontId="3" fillId="33" borderId="12" xfId="0" applyFont="1" applyFill="1" applyBorder="1" applyAlignment="1" applyProtection="1">
      <alignment vertical="center"/>
      <protection locked="0"/>
    </xf>
    <xf numFmtId="164" fontId="3" fillId="33" borderId="12" xfId="0" applyNumberFormat="1" applyFont="1" applyFill="1" applyBorder="1" applyAlignment="1" applyProtection="1">
      <alignment vertical="center"/>
      <protection locked="0"/>
    </xf>
    <xf numFmtId="164" fontId="3" fillId="37" borderId="16" xfId="0" applyNumberFormat="1" applyFont="1" applyFill="1" applyBorder="1" applyAlignment="1" applyProtection="1">
      <alignment vertical="center"/>
      <protection/>
    </xf>
    <xf numFmtId="37" fontId="3" fillId="35" borderId="0" xfId="0" applyNumberFormat="1" applyFont="1" applyFill="1" applyAlignment="1" applyProtection="1">
      <alignment horizontal="left" vertical="center"/>
      <protection/>
    </xf>
    <xf numFmtId="3" fontId="3" fillId="33" borderId="10" xfId="0" applyNumberFormat="1" applyFont="1" applyFill="1" applyBorder="1" applyAlignment="1" applyProtection="1">
      <alignment vertical="center"/>
      <protection locked="0"/>
    </xf>
    <xf numFmtId="3" fontId="3" fillId="33" borderId="11" xfId="0" applyNumberFormat="1"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3" fillId="34" borderId="10" xfId="0" applyFont="1" applyFill="1" applyBorder="1" applyAlignment="1" applyProtection="1">
      <alignment horizontal="center" vertical="center"/>
      <protection/>
    </xf>
    <xf numFmtId="0" fontId="3" fillId="35" borderId="10" xfId="0" applyFont="1" applyFill="1" applyBorder="1" applyAlignment="1" applyProtection="1">
      <alignment vertical="center"/>
      <protection/>
    </xf>
    <xf numFmtId="0" fontId="3" fillId="34" borderId="15" xfId="0" applyFont="1" applyFill="1" applyBorder="1" applyAlignment="1" applyProtection="1">
      <alignment vertical="center"/>
      <protection locked="0"/>
    </xf>
    <xf numFmtId="3" fontId="3" fillId="33" borderId="12" xfId="0" applyNumberFormat="1" applyFont="1" applyFill="1" applyBorder="1" applyAlignment="1" applyProtection="1">
      <alignment vertical="center"/>
      <protection locked="0"/>
    </xf>
    <xf numFmtId="0" fontId="3" fillId="35" borderId="11" xfId="0" applyFont="1" applyFill="1" applyBorder="1" applyAlignment="1" applyProtection="1">
      <alignment vertical="center"/>
      <protection/>
    </xf>
    <xf numFmtId="0" fontId="3" fillId="34" borderId="17" xfId="0" applyFont="1" applyFill="1" applyBorder="1" applyAlignment="1" applyProtection="1">
      <alignment vertical="center"/>
      <protection locked="0"/>
    </xf>
    <xf numFmtId="0" fontId="3" fillId="34" borderId="11" xfId="0" applyFont="1" applyFill="1" applyBorder="1" applyAlignment="1" applyProtection="1">
      <alignment vertical="center"/>
      <protection locked="0"/>
    </xf>
    <xf numFmtId="0" fontId="3"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4" fillId="38" borderId="0" xfId="0" applyFont="1" applyFill="1" applyAlignment="1" applyProtection="1">
      <alignment horizontal="left" vertical="center"/>
      <protection/>
    </xf>
    <xf numFmtId="0" fontId="3" fillId="38" borderId="0" xfId="0" applyFont="1" applyFill="1" applyAlignment="1" applyProtection="1">
      <alignment vertical="center"/>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0" fontId="3" fillId="34" borderId="11" xfId="0" applyFont="1" applyFill="1" applyBorder="1" applyAlignment="1" applyProtection="1">
      <alignment vertical="center"/>
      <protection/>
    </xf>
    <xf numFmtId="37" fontId="3" fillId="33" borderId="11" xfId="0"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xf>
    <xf numFmtId="37" fontId="3" fillId="34" borderId="0" xfId="0" applyNumberFormat="1" applyFont="1" applyFill="1" applyBorder="1" applyAlignment="1" applyProtection="1">
      <alignment vertical="center"/>
      <protection locked="0"/>
    </xf>
    <xf numFmtId="37" fontId="4" fillId="34" borderId="0" xfId="0" applyNumberFormat="1" applyFont="1" applyFill="1" applyBorder="1" applyAlignment="1" applyProtection="1">
      <alignment horizontal="left" vertical="center"/>
      <protection/>
    </xf>
    <xf numFmtId="3" fontId="3" fillId="34" borderId="0" xfId="0" applyNumberFormat="1" applyFont="1" applyFill="1" applyBorder="1" applyAlignment="1" applyProtection="1">
      <alignment vertical="center"/>
      <protection locked="0"/>
    </xf>
    <xf numFmtId="0" fontId="16" fillId="34" borderId="0" xfId="0" applyFont="1" applyFill="1" applyBorder="1" applyAlignment="1" applyProtection="1">
      <alignment horizontal="center" vertical="center"/>
      <protection/>
    </xf>
    <xf numFmtId="174" fontId="3" fillId="33" borderId="10" xfId="0" applyNumberFormat="1" applyFont="1" applyFill="1" applyBorder="1" applyAlignment="1" applyProtection="1">
      <alignment vertical="center"/>
      <protection locked="0"/>
    </xf>
    <xf numFmtId="174" fontId="3" fillId="33" borderId="11" xfId="0" applyNumberFormat="1" applyFont="1" applyFill="1" applyBorder="1" applyAlignment="1" applyProtection="1">
      <alignment vertical="center"/>
      <protection locked="0"/>
    </xf>
    <xf numFmtId="174" fontId="3"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74" fontId="3"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3" fillId="35" borderId="0" xfId="0" applyNumberFormat="1" applyFont="1" applyFill="1" applyAlignment="1" applyProtection="1">
      <alignment vertical="center"/>
      <protection/>
    </xf>
    <xf numFmtId="3" fontId="3" fillId="34" borderId="15"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3" fillId="34" borderId="0" xfId="0" applyNumberFormat="1" applyFont="1" applyFill="1" applyBorder="1" applyAlignment="1" applyProtection="1">
      <alignment horizontal="left" vertical="center"/>
      <protection/>
    </xf>
    <xf numFmtId="174" fontId="3" fillId="33" borderId="12" xfId="0" applyNumberFormat="1" applyFont="1" applyFill="1" applyBorder="1" applyAlignment="1" applyProtection="1">
      <alignment vertical="center"/>
      <protection locked="0"/>
    </xf>
    <xf numFmtId="37" fontId="3" fillId="39" borderId="0" xfId="0" applyNumberFormat="1" applyFont="1" applyFill="1" applyBorder="1" applyAlignment="1" applyProtection="1">
      <alignment horizontal="left" vertical="center"/>
      <protection/>
    </xf>
    <xf numFmtId="0" fontId="3" fillId="39" borderId="0" xfId="0" applyFont="1" applyFill="1" applyBorder="1" applyAlignment="1" applyProtection="1">
      <alignment vertical="center"/>
      <protection/>
    </xf>
    <xf numFmtId="173" fontId="3" fillId="39" borderId="0" xfId="0" applyNumberFormat="1" applyFont="1" applyFill="1" applyBorder="1" applyAlignment="1" applyProtection="1">
      <alignment vertical="center"/>
      <protection locked="0"/>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0" fillId="34" borderId="0" xfId="0" applyFont="1" applyFill="1" applyAlignment="1">
      <alignment vertical="center"/>
    </xf>
    <xf numFmtId="0" fontId="21" fillId="34" borderId="0" xfId="0" applyFont="1" applyFill="1" applyAlignment="1">
      <alignment vertical="center"/>
    </xf>
    <xf numFmtId="37" fontId="3" fillId="34" borderId="12" xfId="0" applyNumberFormat="1" applyFont="1" applyFill="1" applyBorder="1" applyAlignment="1">
      <alignment vertical="center"/>
    </xf>
    <xf numFmtId="0" fontId="3" fillId="0" borderId="0" xfId="0" applyFont="1" applyAlignment="1">
      <alignment vertical="center"/>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Continuous" vertical="center"/>
      <protection/>
    </xf>
    <xf numFmtId="0" fontId="3" fillId="34" borderId="0" xfId="0" applyFont="1" applyFill="1" applyAlignment="1" applyProtection="1">
      <alignment horizontal="fill" vertical="center"/>
      <protection/>
    </xf>
    <xf numFmtId="0" fontId="3" fillId="34" borderId="0" xfId="0" applyFont="1" applyFill="1" applyBorder="1" applyAlignment="1" applyProtection="1">
      <alignment horizontal="fill" vertical="center"/>
      <protection/>
    </xf>
    <xf numFmtId="0" fontId="3" fillId="34" borderId="19" xfId="0" applyFont="1" applyFill="1" applyBorder="1" applyAlignment="1" applyProtection="1">
      <alignment horizontal="left" vertical="center"/>
      <protection/>
    </xf>
    <xf numFmtId="0" fontId="3" fillId="34" borderId="13"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0" borderId="0" xfId="0" applyFont="1" applyAlignment="1">
      <alignment horizontal="center" vertical="center"/>
    </xf>
    <xf numFmtId="0" fontId="3" fillId="34" borderId="19" xfId="0" applyFont="1" applyFill="1" applyBorder="1" applyAlignment="1" applyProtection="1">
      <alignment horizontal="center" vertical="center"/>
      <protection/>
    </xf>
    <xf numFmtId="0" fontId="3" fillId="34" borderId="10" xfId="0" applyFont="1" applyFill="1" applyBorder="1" applyAlignment="1" applyProtection="1">
      <alignment horizontal="fill" vertical="center"/>
      <protection/>
    </xf>
    <xf numFmtId="0" fontId="3" fillId="34" borderId="14" xfId="0" applyFont="1" applyFill="1" applyBorder="1" applyAlignment="1" applyProtection="1">
      <alignment horizontal="fill" vertical="center"/>
      <protection/>
    </xf>
    <xf numFmtId="0" fontId="3" fillId="34" borderId="15" xfId="0" applyFont="1" applyFill="1" applyBorder="1" applyAlignment="1" applyProtection="1">
      <alignment horizontal="fill" vertical="center" wrapText="1"/>
      <protection/>
    </xf>
    <xf numFmtId="0" fontId="3" fillId="34" borderId="15" xfId="0" applyFont="1" applyFill="1" applyBorder="1" applyAlignment="1" applyProtection="1">
      <alignment horizontal="fill" vertical="center"/>
      <protection/>
    </xf>
    <xf numFmtId="0" fontId="3" fillId="34" borderId="21" xfId="0" applyFont="1" applyFill="1" applyBorder="1" applyAlignment="1" applyProtection="1">
      <alignment horizontal="fill" vertical="center"/>
      <protection/>
    </xf>
    <xf numFmtId="0" fontId="3" fillId="34" borderId="12" xfId="0" applyFont="1" applyFill="1" applyBorder="1" applyAlignment="1" applyProtection="1">
      <alignment horizontal="center" vertical="center"/>
      <protection/>
    </xf>
    <xf numFmtId="0" fontId="3" fillId="34" borderId="20" xfId="0" applyFont="1" applyFill="1" applyBorder="1" applyAlignment="1" applyProtection="1">
      <alignment horizontal="fill" vertical="center"/>
      <protection/>
    </xf>
    <xf numFmtId="37" fontId="3" fillId="34" borderId="21" xfId="0" applyNumberFormat="1" applyFont="1" applyFill="1" applyBorder="1" applyAlignment="1" applyProtection="1">
      <alignment horizontal="left" vertical="center"/>
      <protection/>
    </xf>
    <xf numFmtId="0" fontId="3" fillId="34" borderId="14" xfId="0" applyFont="1" applyFill="1" applyBorder="1" applyAlignment="1" applyProtection="1">
      <alignment horizontal="center" vertical="center"/>
      <protection/>
    </xf>
    <xf numFmtId="0" fontId="16" fillId="34" borderId="21" xfId="0" applyFont="1" applyFill="1" applyBorder="1" applyAlignment="1" applyProtection="1">
      <alignment horizontal="left" vertical="center"/>
      <protection/>
    </xf>
    <xf numFmtId="0" fontId="3" fillId="34" borderId="17" xfId="0" applyFont="1" applyFill="1" applyBorder="1" applyAlignment="1" applyProtection="1">
      <alignment vertical="center"/>
      <protection/>
    </xf>
    <xf numFmtId="0" fontId="16" fillId="34" borderId="12" xfId="0" applyFont="1" applyFill="1" applyBorder="1" applyAlignment="1" applyProtection="1">
      <alignment horizontal="center" vertical="center"/>
      <protection/>
    </xf>
    <xf numFmtId="0" fontId="3" fillId="34" borderId="22" xfId="0" applyFont="1" applyFill="1" applyBorder="1" applyAlignment="1" applyProtection="1">
      <alignment vertical="center"/>
      <protection/>
    </xf>
    <xf numFmtId="0" fontId="3" fillId="34" borderId="21" xfId="0" applyFont="1" applyFill="1" applyBorder="1" applyAlignment="1" applyProtection="1">
      <alignment horizontal="left" vertical="center"/>
      <protection/>
    </xf>
    <xf numFmtId="3" fontId="3" fillId="34" borderId="12"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vertical="center"/>
      <protection/>
    </xf>
    <xf numFmtId="164" fontId="3" fillId="34" borderId="12" xfId="0" applyNumberFormat="1" applyFont="1" applyFill="1" applyBorder="1" applyAlignment="1" applyProtection="1">
      <alignment vertical="center"/>
      <protection/>
    </xf>
    <xf numFmtId="0" fontId="3" fillId="34" borderId="21" xfId="0" applyFont="1" applyFill="1" applyBorder="1" applyAlignment="1" applyProtection="1">
      <alignment vertical="center"/>
      <protection/>
    </xf>
    <xf numFmtId="37" fontId="3" fillId="34" borderId="12" xfId="0" applyNumberFormat="1" applyFont="1" applyFill="1" applyBorder="1" applyAlignment="1" applyProtection="1">
      <alignment vertical="center"/>
      <protection/>
    </xf>
    <xf numFmtId="0" fontId="3" fillId="34" borderId="18" xfId="0" applyFont="1" applyFill="1" applyBorder="1" applyAlignment="1" applyProtection="1">
      <alignment vertical="center"/>
      <protection/>
    </xf>
    <xf numFmtId="164" fontId="3" fillId="34" borderId="13" xfId="0" applyNumberFormat="1"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0" fontId="3" fillId="34" borderId="12" xfId="0" applyFont="1" applyFill="1" applyBorder="1" applyAlignment="1" applyProtection="1">
      <alignment horizontal="fill" vertical="center"/>
      <protection/>
    </xf>
    <xf numFmtId="3" fontId="3" fillId="37" borderId="16" xfId="0" applyNumberFormat="1" applyFont="1" applyFill="1" applyBorder="1" applyAlignment="1" applyProtection="1">
      <alignment vertical="center"/>
      <protection/>
    </xf>
    <xf numFmtId="37" fontId="3" fillId="37" borderId="16" xfId="0" applyNumberFormat="1" applyFont="1" applyFill="1" applyBorder="1" applyAlignment="1" applyProtection="1">
      <alignment vertical="center"/>
      <protection/>
    </xf>
    <xf numFmtId="165" fontId="3" fillId="34" borderId="12"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3" fillId="40" borderId="12" xfId="0" applyFont="1" applyFill="1" applyBorder="1" applyAlignment="1">
      <alignment horizontal="center" vertical="center" shrinkToFit="1"/>
    </xf>
    <xf numFmtId="0" fontId="3" fillId="34" borderId="11" xfId="0" applyFont="1" applyFill="1" applyBorder="1" applyAlignment="1">
      <alignment vertical="center"/>
    </xf>
    <xf numFmtId="165"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right" vertical="center"/>
      <protection/>
    </xf>
    <xf numFmtId="169" fontId="3" fillId="34" borderId="0" xfId="42" applyNumberFormat="1" applyFont="1" applyFill="1" applyBorder="1" applyAlignment="1" applyProtection="1">
      <alignment vertical="center"/>
      <protection locked="0"/>
    </xf>
    <xf numFmtId="169" fontId="3" fillId="33" borderId="12" xfId="42" applyNumberFormat="1" applyFont="1" applyFill="1" applyBorder="1" applyAlignment="1" applyProtection="1">
      <alignment vertical="center"/>
      <protection locked="0"/>
    </xf>
    <xf numFmtId="0" fontId="3"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3" fillId="34" borderId="0" xfId="0" applyFont="1" applyFill="1" applyBorder="1" applyAlignment="1" applyProtection="1">
      <alignment vertical="center"/>
      <protection locked="0"/>
    </xf>
    <xf numFmtId="0" fontId="3" fillId="34" borderId="10"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xf>
    <xf numFmtId="0" fontId="4" fillId="34" borderId="0" xfId="0" applyFont="1" applyFill="1" applyAlignment="1" applyProtection="1">
      <alignment horizontal="center" vertical="center" wrapText="1"/>
      <protection/>
    </xf>
    <xf numFmtId="0" fontId="3" fillId="34" borderId="0" xfId="0" applyFont="1" applyFill="1" applyAlignment="1" applyProtection="1" quotePrefix="1">
      <alignment vertical="center"/>
      <protection/>
    </xf>
    <xf numFmtId="3" fontId="3" fillId="34" borderId="0" xfId="0" applyNumberFormat="1" applyFont="1" applyFill="1" applyAlignment="1" applyProtection="1" quotePrefix="1">
      <alignment vertical="center"/>
      <protection/>
    </xf>
    <xf numFmtId="3" fontId="3" fillId="37" borderId="11" xfId="0" applyNumberFormat="1" applyFont="1" applyFill="1" applyBorder="1" applyAlignment="1" applyProtection="1">
      <alignment vertical="center"/>
      <protection/>
    </xf>
    <xf numFmtId="3" fontId="3" fillId="34" borderId="10" xfId="0" applyNumberFormat="1" applyFont="1" applyFill="1" applyBorder="1" applyAlignment="1" applyProtection="1">
      <alignment vertical="center"/>
      <protection/>
    </xf>
    <xf numFmtId="3" fontId="3" fillId="34" borderId="0" xfId="0" applyNumberFormat="1" applyFont="1" applyFill="1" applyBorder="1" applyAlignment="1" applyProtection="1">
      <alignment vertical="center"/>
      <protection/>
    </xf>
    <xf numFmtId="3" fontId="3" fillId="34" borderId="18" xfId="0" applyNumberFormat="1" applyFont="1" applyFill="1" applyBorder="1" applyAlignment="1" applyProtection="1">
      <alignment vertical="center"/>
      <protection/>
    </xf>
    <xf numFmtId="168" fontId="3" fillId="34" borderId="10" xfId="0" applyNumberFormat="1" applyFont="1" applyFill="1" applyBorder="1" applyAlignment="1" applyProtection="1">
      <alignment vertical="center"/>
      <protection/>
    </xf>
    <xf numFmtId="0" fontId="3" fillId="34" borderId="0" xfId="0" applyFont="1" applyFill="1" applyBorder="1" applyAlignment="1" applyProtection="1" quotePrefix="1">
      <alignment vertical="center"/>
      <protection/>
    </xf>
    <xf numFmtId="3" fontId="3" fillId="34" borderId="23" xfId="0" applyNumberFormat="1" applyFont="1" applyFill="1" applyBorder="1" applyAlignment="1" applyProtection="1">
      <alignment vertical="center"/>
      <protection/>
    </xf>
    <xf numFmtId="0" fontId="3" fillId="34" borderId="10" xfId="42" applyNumberFormat="1" applyFont="1" applyFill="1" applyBorder="1" applyAlignment="1" applyProtection="1">
      <alignment vertical="center"/>
      <protection/>
    </xf>
    <xf numFmtId="37" fontId="3" fillId="34" borderId="0" xfId="0" applyNumberFormat="1" applyFont="1" applyFill="1" applyAlignment="1" applyProtection="1">
      <alignment horizontal="right" vertical="center"/>
      <protection/>
    </xf>
    <xf numFmtId="37" fontId="3" fillId="34" borderId="0" xfId="0" applyNumberFormat="1" applyFont="1" applyFill="1" applyAlignment="1" applyProtection="1">
      <alignment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37" fontId="3" fillId="34" borderId="10" xfId="0" applyNumberFormat="1" applyFont="1" applyFill="1" applyBorder="1" applyAlignment="1" applyProtection="1">
      <alignment vertical="center"/>
      <protection/>
    </xf>
    <xf numFmtId="166" fontId="3" fillId="37" borderId="10" xfId="0" applyNumberFormat="1" applyFont="1" applyFill="1" applyBorder="1" applyAlignment="1" applyProtection="1">
      <alignment vertical="center"/>
      <protection/>
    </xf>
    <xf numFmtId="166" fontId="3" fillId="34" borderId="0" xfId="0" applyNumberFormat="1" applyFont="1" applyFill="1" applyBorder="1" applyAlignment="1" applyProtection="1">
      <alignment vertical="center"/>
      <protection/>
    </xf>
    <xf numFmtId="167" fontId="3" fillId="37" borderId="10" xfId="0" applyNumberFormat="1" applyFont="1" applyFill="1" applyBorder="1" applyAlignment="1" applyProtection="1">
      <alignment vertical="center"/>
      <protection/>
    </xf>
    <xf numFmtId="167" fontId="3" fillId="34" borderId="0" xfId="0" applyNumberFormat="1" applyFont="1" applyFill="1" applyBorder="1" applyAlignment="1" applyProtection="1">
      <alignment vertical="center"/>
      <protection/>
    </xf>
    <xf numFmtId="0" fontId="3" fillId="0" borderId="0" xfId="0" applyFont="1" applyFill="1" applyAlignment="1" applyProtection="1">
      <alignment vertical="center"/>
      <protection locked="0"/>
    </xf>
    <xf numFmtId="37" fontId="3" fillId="34" borderId="0" xfId="0" applyNumberFormat="1" applyFont="1" applyFill="1" applyAlignment="1">
      <alignment vertical="center"/>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9"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3" fillId="34" borderId="14"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protection locked="0"/>
    </xf>
    <xf numFmtId="0" fontId="3" fillId="33" borderId="14" xfId="0" applyFont="1" applyFill="1" applyBorder="1" applyAlignment="1" applyProtection="1">
      <alignment vertical="center"/>
      <protection locked="0"/>
    </xf>
    <xf numFmtId="169" fontId="3" fillId="33" borderId="14" xfId="42" applyNumberFormat="1"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xf>
    <xf numFmtId="3" fontId="3" fillId="37" borderId="12" xfId="0" applyNumberFormat="1" applyFont="1" applyFill="1" applyBorder="1" applyAlignment="1" applyProtection="1">
      <alignment horizontal="right" vertical="center"/>
      <protection/>
    </xf>
    <xf numFmtId="0" fontId="3" fillId="34" borderId="0" xfId="0" applyFont="1" applyFill="1" applyAlignment="1" applyProtection="1">
      <alignment horizontal="center" vertical="center"/>
      <protection locked="0"/>
    </xf>
    <xf numFmtId="37" fontId="4" fillId="34" borderId="12" xfId="0" applyNumberFormat="1" applyFont="1" applyFill="1" applyBorder="1" applyAlignment="1" applyProtection="1">
      <alignment horizontal="center" vertical="center"/>
      <protection/>
    </xf>
    <xf numFmtId="0" fontId="3" fillId="34" borderId="12" xfId="0" applyFont="1" applyFill="1" applyBorder="1" applyAlignment="1" applyProtection="1">
      <alignment horizontal="right" vertical="center"/>
      <protection/>
    </xf>
    <xf numFmtId="0" fontId="3" fillId="33" borderId="12" xfId="0" applyFont="1" applyFill="1" applyBorder="1" applyAlignment="1" applyProtection="1">
      <alignment horizontal="right" vertical="center"/>
      <protection locked="0"/>
    </xf>
    <xf numFmtId="0" fontId="3" fillId="39" borderId="0" xfId="0" applyFont="1" applyFill="1" applyAlignment="1" applyProtection="1">
      <alignment vertical="center"/>
      <protection locked="0"/>
    </xf>
    <xf numFmtId="0" fontId="3" fillId="34" borderId="0" xfId="0" applyNumberFormat="1" applyFont="1" applyFill="1" applyAlignment="1" applyProtection="1">
      <alignment horizontal="right" vertical="center"/>
      <protection/>
    </xf>
    <xf numFmtId="0" fontId="4" fillId="34" borderId="0" xfId="443" applyFont="1" applyFill="1" applyAlignment="1" applyProtection="1">
      <alignment horizontal="centerContinuous" vertical="center"/>
      <protection/>
    </xf>
    <xf numFmtId="0" fontId="3" fillId="34" borderId="0" xfId="442" applyFont="1" applyFill="1" applyAlignment="1" applyProtection="1">
      <alignment horizontal="centerContinuous" vertical="center"/>
      <protection/>
    </xf>
    <xf numFmtId="0" fontId="3" fillId="0" borderId="0" xfId="442" applyFont="1" applyAlignment="1" applyProtection="1">
      <alignment vertical="center"/>
      <protection locked="0"/>
    </xf>
    <xf numFmtId="0" fontId="3" fillId="34" borderId="0" xfId="442" applyFont="1" applyFill="1" applyAlignment="1" applyProtection="1">
      <alignment vertical="center"/>
      <protection/>
    </xf>
    <xf numFmtId="0" fontId="3" fillId="34" borderId="24" xfId="0" applyFont="1" applyFill="1" applyBorder="1" applyAlignment="1" applyProtection="1">
      <alignment horizontal="centerContinuous" vertical="center"/>
      <protection/>
    </xf>
    <xf numFmtId="0" fontId="3" fillId="34" borderId="25" xfId="0" applyFont="1" applyFill="1" applyBorder="1" applyAlignment="1" applyProtection="1">
      <alignment horizontal="centerContinuous" vertical="center"/>
      <protection/>
    </xf>
    <xf numFmtId="0" fontId="3" fillId="34" borderId="22" xfId="0" applyFont="1" applyFill="1" applyBorder="1" applyAlignment="1" applyProtection="1">
      <alignment horizontal="centerContinuous" vertical="center"/>
      <protection/>
    </xf>
    <xf numFmtId="0" fontId="3" fillId="34" borderId="15" xfId="0" applyFont="1" applyFill="1" applyBorder="1" applyAlignment="1" applyProtection="1">
      <alignment horizontal="centerContinuous" vertical="center"/>
      <protection/>
    </xf>
    <xf numFmtId="0" fontId="3" fillId="34" borderId="15" xfId="0" applyFont="1" applyFill="1" applyBorder="1" applyAlignment="1" applyProtection="1">
      <alignment horizontal="left" vertical="center"/>
      <protection/>
    </xf>
    <xf numFmtId="14" fontId="3" fillId="34" borderId="14" xfId="0" applyNumberFormat="1" applyFont="1" applyFill="1" applyBorder="1" applyAlignment="1" applyProtection="1" quotePrefix="1">
      <alignment horizontal="center" vertical="center"/>
      <protection/>
    </xf>
    <xf numFmtId="170" fontId="3" fillId="34" borderId="12" xfId="0" applyNumberFormat="1" applyFont="1" applyFill="1" applyBorder="1" applyAlignment="1" applyProtection="1">
      <alignment horizontal="left" vertical="center"/>
      <protection/>
    </xf>
    <xf numFmtId="171" fontId="3" fillId="34" borderId="12"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locked="0"/>
    </xf>
    <xf numFmtId="171" fontId="3" fillId="33" borderId="12" xfId="0" applyNumberFormat="1" applyFont="1" applyFill="1" applyBorder="1" applyAlignment="1" applyProtection="1">
      <alignment horizontal="left" vertical="center"/>
      <protection locked="0"/>
    </xf>
    <xf numFmtId="2" fontId="3" fillId="33" borderId="12" xfId="0" applyNumberFormat="1" applyFont="1" applyFill="1" applyBorder="1" applyAlignment="1" applyProtection="1">
      <alignment vertical="center"/>
      <protection locked="0"/>
    </xf>
    <xf numFmtId="171" fontId="3" fillId="33" borderId="12" xfId="0" applyNumberFormat="1" applyFont="1" applyFill="1" applyBorder="1" applyAlignment="1" applyProtection="1">
      <alignment vertical="center"/>
      <protection locked="0"/>
    </xf>
    <xf numFmtId="37" fontId="3" fillId="33" borderId="12" xfId="0" applyNumberFormat="1" applyFont="1" applyFill="1" applyBorder="1" applyAlignment="1" applyProtection="1">
      <alignment vertical="center"/>
      <protection locked="0"/>
    </xf>
    <xf numFmtId="0" fontId="3" fillId="34" borderId="12" xfId="0" applyFont="1" applyFill="1" applyBorder="1" applyAlignment="1" applyProtection="1">
      <alignment vertical="center"/>
      <protection locked="0"/>
    </xf>
    <xf numFmtId="170" fontId="3" fillId="34" borderId="12" xfId="0" applyNumberFormat="1" applyFont="1" applyFill="1" applyBorder="1" applyAlignment="1" applyProtection="1">
      <alignment vertical="center"/>
      <protection locked="0"/>
    </xf>
    <xf numFmtId="2" fontId="3" fillId="34" borderId="12" xfId="0" applyNumberFormat="1" applyFont="1" applyFill="1" applyBorder="1" applyAlignment="1" applyProtection="1">
      <alignment vertical="center"/>
      <protection locked="0"/>
    </xf>
    <xf numFmtId="3" fontId="3" fillId="34" borderId="12" xfId="0" applyNumberFormat="1" applyFont="1" applyFill="1" applyBorder="1" applyAlignment="1" applyProtection="1">
      <alignment vertical="center"/>
      <protection locked="0"/>
    </xf>
    <xf numFmtId="37" fontId="3" fillId="37" borderId="12" xfId="0" applyNumberFormat="1" applyFont="1" applyFill="1" applyBorder="1" applyAlignment="1" applyProtection="1">
      <alignment vertical="center"/>
      <protection/>
    </xf>
    <xf numFmtId="171" fontId="3" fillId="34" borderId="12" xfId="0" applyNumberFormat="1" applyFont="1" applyFill="1" applyBorder="1" applyAlignment="1" applyProtection="1">
      <alignment vertical="center"/>
      <protection/>
    </xf>
    <xf numFmtId="170" fontId="3" fillId="34" borderId="12" xfId="0" applyNumberFormat="1" applyFont="1" applyFill="1" applyBorder="1" applyAlignment="1" applyProtection="1">
      <alignment vertical="center"/>
      <protection/>
    </xf>
    <xf numFmtId="2" fontId="3" fillId="34" borderId="12" xfId="0" applyNumberFormat="1" applyFont="1" applyFill="1" applyBorder="1" applyAlignment="1" applyProtection="1">
      <alignment vertical="center"/>
      <protection/>
    </xf>
    <xf numFmtId="0" fontId="3" fillId="34" borderId="12" xfId="442" applyFont="1" applyFill="1" applyBorder="1" applyAlignment="1" applyProtection="1">
      <alignment horizontal="left" vertical="center"/>
      <protection/>
    </xf>
    <xf numFmtId="0" fontId="3" fillId="34" borderId="24" xfId="442" applyFont="1" applyFill="1" applyBorder="1" applyAlignment="1" applyProtection="1">
      <alignment vertical="center"/>
      <protection/>
    </xf>
    <xf numFmtId="0" fontId="3" fillId="34" borderId="18" xfId="442" applyFont="1" applyFill="1" applyBorder="1" applyAlignment="1" applyProtection="1">
      <alignment vertical="center"/>
      <protection/>
    </xf>
    <xf numFmtId="3" fontId="3" fillId="34" borderId="25" xfId="442" applyNumberFormat="1" applyFont="1" applyFill="1" applyBorder="1" applyAlignment="1" applyProtection="1">
      <alignment vertical="center"/>
      <protection/>
    </xf>
    <xf numFmtId="37" fontId="4" fillId="37" borderId="12" xfId="442" applyNumberFormat="1" applyFont="1" applyFill="1" applyBorder="1" applyAlignment="1" applyProtection="1">
      <alignment vertical="center"/>
      <protection/>
    </xf>
    <xf numFmtId="0" fontId="3" fillId="34" borderId="25" xfId="442" applyFont="1" applyFill="1" applyBorder="1" applyAlignment="1" applyProtection="1">
      <alignment vertical="center"/>
      <protection/>
    </xf>
    <xf numFmtId="0" fontId="3" fillId="34" borderId="0" xfId="443" applyFont="1" applyFill="1" applyAlignment="1" applyProtection="1">
      <alignment horizontal="centerContinuous" vertical="center"/>
      <protection/>
    </xf>
    <xf numFmtId="0" fontId="3" fillId="34" borderId="0" xfId="443" applyFont="1" applyFill="1" applyAlignment="1" applyProtection="1">
      <alignment vertical="center"/>
      <protection/>
    </xf>
    <xf numFmtId="0" fontId="3" fillId="0" borderId="0" xfId="443" applyFont="1" applyAlignment="1">
      <alignment vertical="center"/>
      <protection/>
    </xf>
    <xf numFmtId="0" fontId="3" fillId="34" borderId="13" xfId="0" applyFont="1" applyFill="1" applyBorder="1" applyAlignment="1" applyProtection="1">
      <alignment vertical="center"/>
      <protection/>
    </xf>
    <xf numFmtId="0" fontId="3" fillId="34" borderId="26" xfId="443" applyFont="1" applyFill="1" applyBorder="1" applyAlignment="1" applyProtection="1">
      <alignment vertical="center"/>
      <protection/>
    </xf>
    <xf numFmtId="0" fontId="3" fillId="34" borderId="0" xfId="443"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3" fillId="34" borderId="14" xfId="0" applyFont="1" applyFill="1" applyBorder="1" applyAlignment="1" applyProtection="1">
      <alignment horizontal="left" vertical="center"/>
      <protection/>
    </xf>
    <xf numFmtId="0" fontId="6" fillId="34" borderId="14" xfId="0" applyFont="1" applyFill="1" applyBorder="1" applyAlignment="1" applyProtection="1">
      <alignment horizontal="center" vertical="center"/>
      <protection/>
    </xf>
    <xf numFmtId="1" fontId="3" fillId="33" borderId="12" xfId="0" applyNumberFormat="1" applyFont="1" applyFill="1" applyBorder="1" applyAlignment="1" applyProtection="1">
      <alignment vertical="center"/>
      <protection locked="0"/>
    </xf>
    <xf numFmtId="0" fontId="3" fillId="34" borderId="12" xfId="442" applyFont="1" applyFill="1" applyBorder="1" applyAlignment="1" applyProtection="1">
      <alignment horizontal="left" vertical="center"/>
      <protection locked="0"/>
    </xf>
    <xf numFmtId="0" fontId="3" fillId="34" borderId="24" xfId="442" applyFont="1" applyFill="1" applyBorder="1" applyAlignment="1" applyProtection="1">
      <alignment vertical="center"/>
      <protection locked="0"/>
    </xf>
    <xf numFmtId="0" fontId="3" fillId="34" borderId="18" xfId="442" applyFont="1" applyFill="1" applyBorder="1" applyAlignment="1" applyProtection="1">
      <alignment vertical="center"/>
      <protection locked="0"/>
    </xf>
    <xf numFmtId="3" fontId="3" fillId="34" borderId="18" xfId="442" applyNumberFormat="1" applyFont="1" applyFill="1" applyBorder="1" applyAlignment="1" applyProtection="1">
      <alignment vertical="center"/>
      <protection locked="0"/>
    </xf>
    <xf numFmtId="3" fontId="4" fillId="34" borderId="12" xfId="442" applyNumberFormat="1" applyFont="1" applyFill="1" applyBorder="1" applyAlignment="1" applyProtection="1">
      <alignment vertical="center"/>
      <protection/>
    </xf>
    <xf numFmtId="37" fontId="4" fillId="34" borderId="12" xfId="442" applyNumberFormat="1" applyFont="1" applyFill="1" applyBorder="1" applyAlignment="1" applyProtection="1">
      <alignment vertical="center"/>
      <protection/>
    </xf>
    <xf numFmtId="0" fontId="3" fillId="39" borderId="0" xfId="442" applyFont="1" applyFill="1" applyAlignment="1" applyProtection="1">
      <alignment vertical="center"/>
      <protection locked="0"/>
    </xf>
    <xf numFmtId="165" fontId="3" fillId="34" borderId="0" xfId="0" applyNumberFormat="1" applyFont="1" applyFill="1" applyAlignment="1" applyProtection="1">
      <alignment vertical="center"/>
      <protection/>
    </xf>
    <xf numFmtId="165" fontId="3" fillId="34" borderId="0" xfId="0" applyNumberFormat="1" applyFont="1" applyFill="1" applyAlignment="1" applyProtection="1" quotePrefix="1">
      <alignment horizontal="right" vertical="center"/>
      <protection/>
    </xf>
    <xf numFmtId="37"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3" fontId="3" fillId="33" borderId="17" xfId="0" applyNumberFormat="1" applyFont="1" applyFill="1" applyBorder="1" applyAlignment="1" applyProtection="1">
      <alignment vertical="center"/>
      <protection locked="0"/>
    </xf>
    <xf numFmtId="0" fontId="3" fillId="34" borderId="22" xfId="0" applyFont="1" applyFill="1" applyBorder="1" applyAlignment="1" applyProtection="1">
      <alignment horizontal="left" vertical="center"/>
      <protection/>
    </xf>
    <xf numFmtId="37" fontId="3" fillId="34" borderId="21" xfId="0" applyNumberFormat="1" applyFont="1" applyFill="1" applyBorder="1" applyAlignment="1" applyProtection="1">
      <alignment vertical="center"/>
      <protection/>
    </xf>
    <xf numFmtId="37" fontId="3" fillId="33" borderId="21" xfId="0" applyNumberFormat="1" applyFont="1" applyFill="1" applyBorder="1" applyAlignment="1" applyProtection="1">
      <alignment vertical="center"/>
      <protection locked="0"/>
    </xf>
    <xf numFmtId="0" fontId="3" fillId="33" borderId="21" xfId="0" applyFont="1" applyFill="1" applyBorder="1" applyAlignment="1" applyProtection="1">
      <alignment horizontal="left" vertical="center"/>
      <protection locked="0"/>
    </xf>
    <xf numFmtId="37" fontId="3" fillId="34" borderId="21" xfId="0" applyNumberFormat="1" applyFont="1" applyFill="1" applyBorder="1" applyAlignment="1" applyProtection="1">
      <alignment horizontal="left" vertical="center"/>
      <protection locked="0"/>
    </xf>
    <xf numFmtId="37" fontId="3" fillId="33" borderId="17" xfId="0" applyNumberFormat="1" applyFont="1" applyFill="1" applyBorder="1" applyAlignment="1" applyProtection="1">
      <alignment vertical="center"/>
      <protection locked="0"/>
    </xf>
    <xf numFmtId="3" fontId="20" fillId="40" borderId="17" xfId="0" applyNumberFormat="1" applyFont="1" applyFill="1" applyBorder="1" applyAlignment="1" applyProtection="1">
      <alignment horizontal="center" vertical="center"/>
      <protection/>
    </xf>
    <xf numFmtId="37" fontId="4" fillId="34" borderId="21" xfId="0" applyNumberFormat="1" applyFont="1" applyFill="1" applyBorder="1" applyAlignment="1" applyProtection="1">
      <alignment horizontal="left" vertical="center"/>
      <protection/>
    </xf>
    <xf numFmtId="3" fontId="4" fillId="37" borderId="12" xfId="0" applyNumberFormat="1" applyFont="1" applyFill="1" applyBorder="1" applyAlignment="1" applyProtection="1">
      <alignment vertical="center"/>
      <protection/>
    </xf>
    <xf numFmtId="0" fontId="20" fillId="0" borderId="0" xfId="0" applyFont="1" applyAlignment="1">
      <alignment vertical="center"/>
    </xf>
    <xf numFmtId="0" fontId="17" fillId="34" borderId="0" xfId="0" applyFont="1" applyFill="1" applyAlignment="1" applyProtection="1">
      <alignment horizontal="center" vertical="center"/>
      <protection/>
    </xf>
    <xf numFmtId="1" fontId="3" fillId="34" borderId="0" xfId="0" applyNumberFormat="1" applyFont="1" applyFill="1" applyBorder="1" applyAlignment="1" applyProtection="1">
      <alignment horizontal="right" vertical="center"/>
      <protection/>
    </xf>
    <xf numFmtId="37" fontId="3" fillId="34" borderId="0" xfId="0" applyNumberFormat="1" applyFont="1" applyFill="1" applyAlignment="1" applyProtection="1" quotePrefix="1">
      <alignment horizontal="right" vertical="center"/>
      <protection/>
    </xf>
    <xf numFmtId="37" fontId="3" fillId="34" borderId="0" xfId="0" applyNumberFormat="1" applyFont="1" applyFill="1" applyAlignment="1" applyProtection="1">
      <alignment horizontal="fill" vertical="center"/>
      <protection/>
    </xf>
    <xf numFmtId="37" fontId="3" fillId="34" borderId="0" xfId="0" applyNumberFormat="1" applyFont="1" applyFill="1" applyBorder="1" applyAlignment="1" applyProtection="1">
      <alignment vertical="center"/>
      <protection/>
    </xf>
    <xf numFmtId="3" fontId="3" fillId="34" borderId="12" xfId="42" applyNumberFormat="1" applyFont="1" applyFill="1" applyBorder="1" applyAlignment="1" applyProtection="1">
      <alignment horizontal="right" vertical="center"/>
      <protection/>
    </xf>
    <xf numFmtId="37" fontId="3" fillId="34" borderId="22" xfId="0" applyNumberFormat="1" applyFont="1" applyFill="1" applyBorder="1" applyAlignment="1" applyProtection="1">
      <alignment horizontal="left" vertical="center"/>
      <protection/>
    </xf>
    <xf numFmtId="3" fontId="3" fillId="34" borderId="12" xfId="0" applyNumberFormat="1" applyFont="1" applyFill="1" applyBorder="1" applyAlignment="1" applyProtection="1">
      <alignment horizontal="fill" vertical="center"/>
      <protection/>
    </xf>
    <xf numFmtId="3" fontId="3" fillId="33" borderId="12" xfId="0" applyNumberFormat="1" applyFont="1" applyFill="1" applyBorder="1" applyAlignment="1" applyProtection="1">
      <alignment horizontal="right" vertical="center"/>
      <protection locked="0"/>
    </xf>
    <xf numFmtId="3" fontId="3" fillId="34" borderId="12" xfId="0" applyNumberFormat="1" applyFont="1" applyFill="1" applyBorder="1" applyAlignment="1" applyProtection="1">
      <alignment horizontal="right" vertical="center"/>
      <protection/>
    </xf>
    <xf numFmtId="0" fontId="3" fillId="34" borderId="21"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left" vertical="center"/>
      <protection locked="0"/>
    </xf>
    <xf numFmtId="3" fontId="3" fillId="33" borderId="12" xfId="0" applyNumberFormat="1" applyFont="1" applyFill="1" applyBorder="1" applyAlignment="1" applyProtection="1">
      <alignment horizontal="right" vertical="center"/>
      <protection locked="0"/>
    </xf>
    <xf numFmtId="0" fontId="3" fillId="33" borderId="24" xfId="0" applyNumberFormat="1" applyFont="1" applyFill="1" applyBorder="1" applyAlignment="1" applyProtection="1">
      <alignment horizontal="left" vertical="center"/>
      <protection locked="0"/>
    </xf>
    <xf numFmtId="3" fontId="4" fillId="37" borderId="14" xfId="0" applyNumberFormat="1" applyFont="1" applyFill="1" applyBorder="1" applyAlignment="1" applyProtection="1">
      <alignment horizontal="right" vertical="center"/>
      <protection/>
    </xf>
    <xf numFmtId="3" fontId="4" fillId="37" borderId="12" xfId="0" applyNumberFormat="1" applyFont="1" applyFill="1" applyBorder="1" applyAlignment="1" applyProtection="1">
      <alignment horizontal="right" vertical="center"/>
      <protection/>
    </xf>
    <xf numFmtId="0" fontId="3" fillId="33" borderId="21" xfId="0" applyFont="1" applyFill="1" applyBorder="1" applyAlignment="1" applyProtection="1">
      <alignment vertical="center"/>
      <protection locked="0"/>
    </xf>
    <xf numFmtId="0" fontId="20" fillId="0" borderId="0" xfId="0" applyFont="1" applyAlignment="1" applyProtection="1">
      <alignment vertical="center"/>
      <protection/>
    </xf>
    <xf numFmtId="0" fontId="3" fillId="33" borderId="0" xfId="0" applyFont="1" applyFill="1" applyAlignment="1" applyProtection="1">
      <alignment horizontal="left" vertical="center"/>
      <protection locked="0"/>
    </xf>
    <xf numFmtId="0" fontId="3" fillId="34" borderId="0" xfId="0" applyFont="1" applyFill="1" applyAlignment="1" applyProtection="1">
      <alignment horizontal="left" vertical="center"/>
      <protection locked="0"/>
    </xf>
    <xf numFmtId="1" fontId="3" fillId="34" borderId="13" xfId="0" applyNumberFormat="1" applyFont="1" applyFill="1" applyBorder="1" applyAlignment="1" applyProtection="1">
      <alignment horizontal="center" vertical="center"/>
      <protection/>
    </xf>
    <xf numFmtId="0" fontId="3" fillId="34" borderId="0" xfId="0" applyFont="1" applyFill="1" applyAlignment="1">
      <alignment horizontal="center" vertical="center"/>
    </xf>
    <xf numFmtId="0" fontId="4" fillId="34" borderId="0" xfId="0" applyFont="1" applyFill="1" applyAlignment="1">
      <alignment horizontal="center" vertical="center"/>
    </xf>
    <xf numFmtId="0" fontId="23" fillId="34" borderId="0" xfId="0" applyFont="1" applyFill="1" applyAlignment="1">
      <alignment horizontal="center" vertical="center"/>
    </xf>
    <xf numFmtId="0" fontId="3" fillId="34" borderId="17" xfId="0" applyFont="1" applyFill="1" applyBorder="1" applyAlignment="1">
      <alignment vertical="center"/>
    </xf>
    <xf numFmtId="0" fontId="3" fillId="34" borderId="10" xfId="0" applyFont="1" applyFill="1" applyBorder="1" applyAlignment="1">
      <alignment vertical="center"/>
    </xf>
    <xf numFmtId="0" fontId="24" fillId="34" borderId="13" xfId="0" applyFont="1" applyFill="1" applyBorder="1" applyAlignment="1">
      <alignment vertical="center"/>
    </xf>
    <xf numFmtId="0" fontId="24" fillId="34" borderId="17" xfId="0" applyFont="1" applyFill="1" applyBorder="1" applyAlignment="1">
      <alignment horizontal="center" vertical="center"/>
    </xf>
    <xf numFmtId="0" fontId="24" fillId="34" borderId="25" xfId="0" applyFont="1" applyFill="1" applyBorder="1" applyAlignment="1">
      <alignment vertical="center"/>
    </xf>
    <xf numFmtId="0" fontId="24" fillId="34" borderId="12"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12" xfId="0" applyFont="1" applyFill="1" applyBorder="1" applyAlignment="1">
      <alignment horizontal="center" vertical="center"/>
    </xf>
    <xf numFmtId="0" fontId="24" fillId="34" borderId="22" xfId="0" applyFont="1" applyFill="1" applyBorder="1" applyAlignment="1">
      <alignment vertical="center"/>
    </xf>
    <xf numFmtId="3" fontId="24" fillId="33" borderId="12" xfId="0" applyNumberFormat="1" applyFont="1" applyFill="1" applyBorder="1" applyAlignment="1" applyProtection="1">
      <alignment horizontal="center" vertical="center"/>
      <protection locked="0"/>
    </xf>
    <xf numFmtId="0" fontId="24" fillId="34" borderId="10" xfId="0" applyFont="1" applyFill="1" applyBorder="1" applyAlignment="1">
      <alignment vertical="center"/>
    </xf>
    <xf numFmtId="3" fontId="24" fillId="37" borderId="12" xfId="0" applyNumberFormat="1" applyFont="1" applyFill="1" applyBorder="1" applyAlignment="1">
      <alignment horizontal="center" vertical="center"/>
    </xf>
    <xf numFmtId="0" fontId="24" fillId="34" borderId="0" xfId="0" applyFont="1" applyFill="1" applyAlignment="1">
      <alignment vertical="center"/>
    </xf>
    <xf numFmtId="3" fontId="24" fillId="34" borderId="0" xfId="0" applyNumberFormat="1" applyFont="1" applyFill="1" applyAlignment="1">
      <alignment horizontal="center" vertical="center"/>
    </xf>
    <xf numFmtId="0" fontId="24" fillId="34" borderId="0" xfId="0" applyFont="1" applyFill="1" applyAlignment="1">
      <alignment horizontal="center" vertical="center"/>
    </xf>
    <xf numFmtId="0" fontId="24" fillId="33" borderId="12" xfId="0" applyFont="1" applyFill="1" applyBorder="1" applyAlignment="1" applyProtection="1">
      <alignment vertical="center"/>
      <protection locked="0"/>
    </xf>
    <xf numFmtId="0" fontId="24" fillId="33" borderId="25" xfId="0" applyFont="1" applyFill="1" applyBorder="1" applyAlignment="1" applyProtection="1">
      <alignment vertical="center"/>
      <protection locked="0"/>
    </xf>
    <xf numFmtId="3" fontId="24" fillId="33" borderId="25" xfId="0" applyNumberFormat="1" applyFont="1" applyFill="1" applyBorder="1" applyAlignment="1" applyProtection="1">
      <alignment horizontal="center" vertical="center"/>
      <protection locked="0"/>
    </xf>
    <xf numFmtId="0" fontId="24" fillId="33" borderId="0" xfId="0" applyFont="1" applyFill="1" applyAlignment="1" applyProtection="1">
      <alignment vertical="center"/>
      <protection locked="0"/>
    </xf>
    <xf numFmtId="3" fontId="24" fillId="33" borderId="15" xfId="0" applyNumberFormat="1" applyFont="1" applyFill="1" applyBorder="1" applyAlignment="1" applyProtection="1">
      <alignment horizontal="center" vertical="center"/>
      <protection locked="0"/>
    </xf>
    <xf numFmtId="3" fontId="24" fillId="33" borderId="17" xfId="0" applyNumberFormat="1" applyFont="1" applyFill="1" applyBorder="1" applyAlignment="1" applyProtection="1">
      <alignment horizontal="center" vertical="center"/>
      <protection locked="0"/>
    </xf>
    <xf numFmtId="0" fontId="24" fillId="33" borderId="17" xfId="0" applyFont="1" applyFill="1" applyBorder="1" applyAlignment="1" applyProtection="1">
      <alignment vertical="center"/>
      <protection locked="0"/>
    </xf>
    <xf numFmtId="0" fontId="24" fillId="33" borderId="14" xfId="0" applyFont="1" applyFill="1" applyBorder="1" applyAlignment="1" applyProtection="1">
      <alignment vertical="center"/>
      <protection locked="0"/>
    </xf>
    <xf numFmtId="3" fontId="24" fillId="33" borderId="20" xfId="0" applyNumberFormat="1" applyFont="1" applyFill="1" applyBorder="1" applyAlignment="1" applyProtection="1">
      <alignment horizontal="center" vertical="center"/>
      <protection locked="0"/>
    </xf>
    <xf numFmtId="0" fontId="24" fillId="33" borderId="20" xfId="0" applyFont="1" applyFill="1" applyBorder="1" applyAlignment="1" applyProtection="1">
      <alignment vertical="center"/>
      <protection locked="0"/>
    </xf>
    <xf numFmtId="3" fontId="24" fillId="37" borderId="14" xfId="0" applyNumberFormat="1" applyFont="1" applyFill="1" applyBorder="1" applyAlignment="1">
      <alignment horizontal="center" vertical="center"/>
    </xf>
    <xf numFmtId="3" fontId="24" fillId="40" borderId="12" xfId="0" applyNumberFormat="1" applyFont="1" applyFill="1" applyBorder="1" applyAlignment="1">
      <alignment horizontal="center" vertical="center"/>
    </xf>
    <xf numFmtId="3" fontId="3" fillId="34" borderId="0" xfId="0" applyNumberFormat="1" applyFont="1" applyFill="1" applyAlignment="1">
      <alignment vertical="center"/>
    </xf>
    <xf numFmtId="0" fontId="3" fillId="39" borderId="0" xfId="0" applyFont="1" applyFill="1" applyAlignment="1">
      <alignment vertical="center"/>
    </xf>
    <xf numFmtId="0" fontId="3" fillId="34" borderId="0" xfId="0" applyFont="1" applyFill="1" applyAlignment="1">
      <alignment horizontal="right" vertical="center"/>
    </xf>
    <xf numFmtId="3" fontId="3" fillId="0" borderId="0" xfId="0" applyNumberFormat="1" applyFont="1" applyAlignment="1">
      <alignment vertical="center"/>
    </xf>
    <xf numFmtId="0" fontId="3" fillId="34" borderId="0" xfId="0" applyFont="1" applyFill="1" applyAlignment="1" applyProtection="1">
      <alignment horizontal="centerContinuous" vertical="center"/>
      <protection locked="0"/>
    </xf>
    <xf numFmtId="0" fontId="3" fillId="34" borderId="21" xfId="0" applyFont="1" applyFill="1" applyBorder="1" applyAlignment="1" applyProtection="1">
      <alignment horizontal="centerContinuous" vertical="center"/>
      <protection/>
    </xf>
    <xf numFmtId="0" fontId="3" fillId="34" borderId="17" xfId="0" applyFont="1" applyFill="1" applyBorder="1" applyAlignment="1" applyProtection="1">
      <alignment horizontal="centerContinuous" vertical="center"/>
      <protection/>
    </xf>
    <xf numFmtId="0" fontId="3" fillId="34" borderId="12" xfId="0" applyFont="1" applyFill="1" applyBorder="1" applyAlignment="1" applyProtection="1">
      <alignment horizontal="centerContinuous" vertical="center"/>
      <protection/>
    </xf>
    <xf numFmtId="0" fontId="3" fillId="34" borderId="11" xfId="0" applyFont="1" applyFill="1" applyBorder="1" applyAlignment="1" applyProtection="1">
      <alignment horizontal="centerContinuous" vertical="center"/>
      <protection/>
    </xf>
    <xf numFmtId="0" fontId="3" fillId="34" borderId="19" xfId="0" applyFont="1" applyFill="1" applyBorder="1" applyAlignment="1" applyProtection="1">
      <alignment horizontal="center" vertical="center"/>
      <protection locked="0"/>
    </xf>
    <xf numFmtId="0" fontId="3" fillId="34" borderId="14" xfId="0" applyFont="1" applyFill="1" applyBorder="1" applyAlignment="1" applyProtection="1">
      <alignment horizontal="center" vertical="center"/>
      <protection locked="0"/>
    </xf>
    <xf numFmtId="37" fontId="3" fillId="37" borderId="17" xfId="0" applyNumberFormat="1" applyFont="1" applyFill="1" applyBorder="1" applyAlignment="1" applyProtection="1">
      <alignment vertical="center"/>
      <protection/>
    </xf>
    <xf numFmtId="164" fontId="3" fillId="34" borderId="0" xfId="0" applyNumberFormat="1" applyFont="1" applyFill="1" applyBorder="1" applyAlignment="1" applyProtection="1">
      <alignment vertical="center"/>
      <protection/>
    </xf>
    <xf numFmtId="164" fontId="3" fillId="34" borderId="19" xfId="0" applyNumberFormat="1" applyFont="1" applyFill="1" applyBorder="1" applyAlignment="1" applyProtection="1">
      <alignment vertical="center"/>
      <protection/>
    </xf>
    <xf numFmtId="37" fontId="3" fillId="37" borderId="14" xfId="0" applyNumberFormat="1" applyFont="1" applyFill="1" applyBorder="1" applyAlignment="1" applyProtection="1">
      <alignment vertical="center"/>
      <protection/>
    </xf>
    <xf numFmtId="37" fontId="3" fillId="34" borderId="15" xfId="0" applyNumberFormat="1" applyFont="1" applyFill="1" applyBorder="1" applyAlignment="1" applyProtection="1">
      <alignment vertical="center"/>
      <protection/>
    </xf>
    <xf numFmtId="37" fontId="3" fillId="34" borderId="0" xfId="0" applyNumberFormat="1" applyFont="1" applyFill="1" applyAlignment="1" applyProtection="1">
      <alignment vertical="center"/>
      <protection locked="0"/>
    </xf>
    <xf numFmtId="0" fontId="3" fillId="34" borderId="25"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37" fontId="3" fillId="34" borderId="12" xfId="0" applyNumberFormat="1" applyFont="1" applyFill="1" applyBorder="1" applyAlignment="1" applyProtection="1">
      <alignment horizontal="left" vertical="center"/>
      <protection/>
    </xf>
    <xf numFmtId="3" fontId="3" fillId="33" borderId="12" xfId="0" applyNumberFormat="1" applyFont="1" applyFill="1" applyBorder="1" applyAlignment="1" applyProtection="1">
      <alignment horizontal="center" vertical="center"/>
      <protection locked="0"/>
    </xf>
    <xf numFmtId="175" fontId="3" fillId="34" borderId="12" xfId="0" applyNumberFormat="1" applyFont="1" applyFill="1" applyBorder="1" applyAlignment="1" applyProtection="1">
      <alignment horizontal="center" vertical="center"/>
      <protection/>
    </xf>
    <xf numFmtId="3" fontId="3" fillId="34" borderId="16" xfId="0" applyNumberFormat="1" applyFont="1" applyFill="1" applyBorder="1" applyAlignment="1" applyProtection="1">
      <alignment horizontal="center" vertical="center"/>
      <protection/>
    </xf>
    <xf numFmtId="175" fontId="3" fillId="34" borderId="16"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175" fontId="3" fillId="34" borderId="10" xfId="0" applyNumberFormat="1" applyFont="1" applyFill="1" applyBorder="1" applyAlignment="1" applyProtection="1">
      <alignment horizontal="center" vertical="center"/>
      <protection/>
    </xf>
    <xf numFmtId="175" fontId="3" fillId="34" borderId="0" xfId="0" applyNumberFormat="1" applyFont="1" applyFill="1" applyBorder="1" applyAlignment="1" applyProtection="1">
      <alignment horizontal="center" vertical="center"/>
      <protection/>
    </xf>
    <xf numFmtId="3" fontId="3" fillId="34" borderId="10" xfId="0" applyNumberFormat="1" applyFont="1" applyFill="1" applyBorder="1" applyAlignment="1">
      <alignment horizontal="center" vertical="center"/>
    </xf>
    <xf numFmtId="0" fontId="0" fillId="34" borderId="0" xfId="0" applyFill="1" applyAlignment="1">
      <alignment horizontal="center" vertical="center"/>
    </xf>
    <xf numFmtId="0" fontId="3" fillId="34" borderId="10"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7" fillId="0" borderId="0" xfId="0" applyFont="1" applyAlignment="1">
      <alignment horizontal="center" vertical="center"/>
    </xf>
    <xf numFmtId="0" fontId="4" fillId="0" borderId="0" xfId="0" applyFont="1" applyAlignment="1">
      <alignment vertical="center" wrapText="1"/>
    </xf>
    <xf numFmtId="0" fontId="26" fillId="0" borderId="0" xfId="0" applyFont="1" applyAlignment="1">
      <alignment vertical="center"/>
    </xf>
    <xf numFmtId="0" fontId="26" fillId="0" borderId="0" xfId="0" applyFont="1" applyAlignment="1">
      <alignment vertical="center" wrapText="1"/>
    </xf>
    <xf numFmtId="3" fontId="28" fillId="40" borderId="0" xfId="0" applyNumberFormat="1" applyFont="1" applyFill="1" applyAlignment="1">
      <alignment horizontal="center" vertical="center"/>
    </xf>
    <xf numFmtId="0" fontId="4" fillId="0" borderId="0" xfId="0" applyFont="1" applyAlignment="1" applyProtection="1">
      <alignment horizontal="centerContinuous" vertical="center"/>
      <protection/>
    </xf>
    <xf numFmtId="0" fontId="4" fillId="0" borderId="0" xfId="0" applyFont="1" applyAlignment="1">
      <alignment vertical="center"/>
    </xf>
    <xf numFmtId="0" fontId="3" fillId="0" borderId="0" xfId="0" applyFont="1" applyAlignment="1" applyProtection="1">
      <alignment horizontal="left" vertical="center" wrapText="1"/>
      <protection/>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protection/>
    </xf>
    <xf numFmtId="0" fontId="3" fillId="0" borderId="0" xfId="0" applyFont="1" applyAlignment="1" applyProtection="1">
      <alignment vertical="center" wrapText="1"/>
      <protection/>
    </xf>
    <xf numFmtId="0" fontId="3" fillId="33" borderId="0" xfId="0" applyFont="1" applyFill="1" applyAlignment="1" applyProtection="1">
      <alignment vertical="center"/>
      <protection/>
    </xf>
    <xf numFmtId="0" fontId="3" fillId="34" borderId="0" xfId="0" applyFont="1" applyFill="1" applyAlignment="1" applyProtection="1">
      <alignment vertical="center" wrapText="1"/>
      <protection/>
    </xf>
    <xf numFmtId="0" fontId="3" fillId="3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protection/>
    </xf>
    <xf numFmtId="0" fontId="3" fillId="0" borderId="0" xfId="0" applyNumberFormat="1" applyFont="1" applyAlignment="1">
      <alignment vertical="center" wrapText="1"/>
    </xf>
    <xf numFmtId="0" fontId="3" fillId="0" borderId="0" xfId="145" applyFont="1" applyAlignment="1">
      <alignment vertical="center" wrapText="1"/>
      <protection/>
    </xf>
    <xf numFmtId="0" fontId="3" fillId="0" borderId="0" xfId="378" applyNumberFormat="1" applyFont="1" applyAlignment="1">
      <alignment vertical="center" wrapText="1"/>
      <protection/>
    </xf>
    <xf numFmtId="0" fontId="3" fillId="0" borderId="0" xfId="262" applyFont="1" applyAlignment="1">
      <alignment vertical="center" wrapText="1"/>
      <protection/>
    </xf>
    <xf numFmtId="0" fontId="3" fillId="0" borderId="0" xfId="408" applyFont="1" applyAlignment="1">
      <alignment vertical="center" wrapText="1"/>
      <protection/>
    </xf>
    <xf numFmtId="0" fontId="25" fillId="0" borderId="0" xfId="0" applyFont="1" applyAlignment="1">
      <alignment vertical="center" wrapText="1"/>
    </xf>
    <xf numFmtId="0" fontId="9" fillId="0" borderId="0" xfId="419" applyFont="1">
      <alignment/>
      <protection/>
    </xf>
    <xf numFmtId="0" fontId="9" fillId="0" borderId="0" xfId="419" applyNumberFormat="1" applyFont="1" applyAlignment="1">
      <alignment horizontal="left" vertical="center"/>
      <protection/>
    </xf>
    <xf numFmtId="0" fontId="3" fillId="0" borderId="0" xfId="419" applyFont="1" applyAlignment="1">
      <alignment horizontal="left" vertical="center"/>
      <protection/>
    </xf>
    <xf numFmtId="49" fontId="3" fillId="33" borderId="0" xfId="419" applyNumberFormat="1" applyFont="1" applyFill="1" applyAlignment="1" applyProtection="1">
      <alignment horizontal="left" vertical="center"/>
      <protection locked="0"/>
    </xf>
    <xf numFmtId="176" fontId="24" fillId="0" borderId="0" xfId="419" applyNumberFormat="1" applyFont="1" applyAlignment="1">
      <alignment horizontal="left" vertical="center"/>
      <protection/>
    </xf>
    <xf numFmtId="49" fontId="3" fillId="0" borderId="0" xfId="419" applyNumberFormat="1" applyFont="1" applyAlignment="1">
      <alignment horizontal="left" vertical="center"/>
      <protection/>
    </xf>
    <xf numFmtId="0" fontId="24" fillId="0" borderId="0" xfId="419" applyFont="1" applyAlignment="1">
      <alignment horizontal="left" vertical="center"/>
      <protection/>
    </xf>
    <xf numFmtId="177" fontId="24" fillId="0" borderId="0" xfId="419" applyNumberFormat="1" applyFont="1" applyAlignment="1">
      <alignment horizontal="left" vertical="center"/>
      <protection/>
    </xf>
    <xf numFmtId="0" fontId="3" fillId="33" borderId="0" xfId="419" applyFont="1" applyFill="1" applyAlignment="1" applyProtection="1">
      <alignment horizontal="left" vertical="center"/>
      <protection locked="0"/>
    </xf>
    <xf numFmtId="0" fontId="9" fillId="33" borderId="0" xfId="419" applyFont="1" applyFill="1" applyAlignment="1" applyProtection="1">
      <alignment horizontal="left" vertical="center"/>
      <protection locked="0"/>
    </xf>
    <xf numFmtId="0" fontId="0" fillId="0" borderId="0" xfId="211" applyFont="1">
      <alignment/>
      <protection/>
    </xf>
    <xf numFmtId="0" fontId="0" fillId="0" borderId="0" xfId="211" applyFont="1" applyFill="1">
      <alignment/>
      <protection/>
    </xf>
    <xf numFmtId="0" fontId="0" fillId="0" borderId="0" xfId="0" applyAlignment="1">
      <alignment/>
    </xf>
    <xf numFmtId="0" fontId="5" fillId="0" borderId="0" xfId="119" applyFont="1" applyAlignment="1">
      <alignment vertical="center"/>
      <protection/>
    </xf>
    <xf numFmtId="0" fontId="3" fillId="0" borderId="0" xfId="123" applyFont="1" applyAlignment="1">
      <alignment vertical="center"/>
      <protection/>
    </xf>
    <xf numFmtId="0" fontId="18"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2" fillId="0" borderId="0" xfId="0" applyFont="1" applyAlignment="1">
      <alignment horizontal="center"/>
    </xf>
    <xf numFmtId="0" fontId="3" fillId="0" borderId="0" xfId="439" applyFont="1" applyAlignment="1">
      <alignment vertical="center" wrapText="1"/>
      <protection/>
    </xf>
    <xf numFmtId="0" fontId="3" fillId="0" borderId="0" xfId="72" applyFont="1" applyAlignment="1">
      <alignment vertical="center" wrapText="1"/>
      <protection/>
    </xf>
    <xf numFmtId="3" fontId="3" fillId="37" borderId="10" xfId="0" applyNumberFormat="1" applyFont="1" applyFill="1" applyBorder="1" applyAlignment="1" applyProtection="1">
      <alignment vertical="center"/>
      <protection/>
    </xf>
    <xf numFmtId="0" fontId="3" fillId="34" borderId="0" xfId="0" applyFont="1" applyFill="1" applyAlignment="1">
      <alignment/>
    </xf>
    <xf numFmtId="0" fontId="5" fillId="0" borderId="0" xfId="118" applyFont="1" applyAlignment="1">
      <alignment vertical="center"/>
      <protection/>
    </xf>
    <xf numFmtId="0" fontId="41" fillId="34" borderId="0" xfId="0" applyFont="1" applyFill="1" applyAlignment="1" applyProtection="1">
      <alignment horizontal="right" vertical="center"/>
      <protection locked="0"/>
    </xf>
    <xf numFmtId="0" fontId="6" fillId="34" borderId="0" xfId="0" applyFont="1" applyFill="1" applyAlignment="1" applyProtection="1">
      <alignment horizontal="left" vertical="center"/>
      <protection locked="0"/>
    </xf>
    <xf numFmtId="3" fontId="3" fillId="33" borderId="21" xfId="0" applyNumberFormat="1" applyFont="1" applyFill="1" applyBorder="1" applyAlignment="1" applyProtection="1">
      <alignment vertical="center"/>
      <protection locked="0"/>
    </xf>
    <xf numFmtId="3" fontId="20" fillId="40" borderId="21" xfId="0" applyNumberFormat="1" applyFont="1" applyFill="1" applyBorder="1" applyAlignment="1" applyProtection="1">
      <alignment horizontal="center" vertical="center"/>
      <protection/>
    </xf>
    <xf numFmtId="3" fontId="4" fillId="37"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vertical="center"/>
      <protection/>
    </xf>
    <xf numFmtId="1" fontId="3" fillId="34" borderId="24" xfId="0" applyNumberFormat="1" applyFont="1" applyFill="1" applyBorder="1" applyAlignment="1" applyProtection="1">
      <alignment horizontal="center" vertical="center"/>
      <protection/>
    </xf>
    <xf numFmtId="37" fontId="3" fillId="34" borderId="24"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3" fontId="3" fillId="34" borderId="21" xfId="0" applyNumberFormat="1" applyFont="1" applyFill="1" applyBorder="1" applyAlignment="1" applyProtection="1">
      <alignment vertical="center"/>
      <protection/>
    </xf>
    <xf numFmtId="3" fontId="3" fillId="37" borderId="21" xfId="0" applyNumberFormat="1" applyFont="1" applyFill="1" applyBorder="1" applyAlignment="1" applyProtection="1">
      <alignment horizontal="right" vertical="center"/>
      <protection/>
    </xf>
    <xf numFmtId="3" fontId="3" fillId="33" borderId="21" xfId="0" applyNumberFormat="1" applyFont="1" applyFill="1" applyBorder="1" applyAlignment="1" applyProtection="1">
      <alignment horizontal="right" vertical="center"/>
      <protection locked="0"/>
    </xf>
    <xf numFmtId="3" fontId="4" fillId="37" borderId="21" xfId="0" applyNumberFormat="1" applyFont="1" applyFill="1" applyBorder="1" applyAlignment="1" applyProtection="1">
      <alignment horizontal="right" vertical="center"/>
      <protection/>
    </xf>
    <xf numFmtId="3" fontId="3" fillId="34" borderId="21" xfId="0" applyNumberFormat="1" applyFont="1" applyFill="1" applyBorder="1" applyAlignment="1" applyProtection="1">
      <alignment horizontal="right" vertical="center"/>
      <protection/>
    </xf>
    <xf numFmtId="1" fontId="3" fillId="34" borderId="22" xfId="0" applyNumberFormat="1" applyFont="1" applyFill="1" applyBorder="1" applyAlignment="1" applyProtection="1">
      <alignment horizontal="center" vertical="center"/>
      <protection/>
    </xf>
    <xf numFmtId="3" fontId="3" fillId="34" borderId="21" xfId="42" applyNumberFormat="1" applyFont="1" applyFill="1" applyBorder="1" applyAlignment="1" applyProtection="1">
      <alignment horizontal="right" vertical="center"/>
      <protection/>
    </xf>
    <xf numFmtId="14" fontId="3" fillId="33" borderId="12" xfId="0" applyNumberFormat="1" applyFont="1" applyFill="1" applyBorder="1" applyAlignment="1" applyProtection="1">
      <alignment horizontal="left" vertical="center"/>
      <protection locked="0"/>
    </xf>
    <xf numFmtId="14" fontId="3" fillId="33" borderId="12" xfId="0" applyNumberFormat="1" applyFont="1" applyFill="1" applyBorder="1" applyAlignment="1" applyProtection="1">
      <alignment vertical="center"/>
      <protection locked="0"/>
    </xf>
    <xf numFmtId="175" fontId="3" fillId="33" borderId="12" xfId="0" applyNumberFormat="1" applyFont="1" applyFill="1" applyBorder="1" applyAlignment="1" applyProtection="1">
      <alignment vertical="center"/>
      <protection locked="0"/>
    </xf>
    <xf numFmtId="3" fontId="3" fillId="37" borderId="13" xfId="0" applyNumberFormat="1" applyFont="1" applyFill="1" applyBorder="1" applyAlignment="1" applyProtection="1">
      <alignment vertical="center"/>
      <protection/>
    </xf>
    <xf numFmtId="37" fontId="3" fillId="37" borderId="13" xfId="0" applyNumberFormat="1" applyFont="1" applyFill="1" applyBorder="1" applyAlignment="1" applyProtection="1">
      <alignment vertical="center"/>
      <protection/>
    </xf>
    <xf numFmtId="0" fontId="3" fillId="34" borderId="0" xfId="0" applyFont="1" applyFill="1" applyBorder="1" applyAlignment="1">
      <alignment horizontal="center" vertical="center" shrinkToFit="1"/>
    </xf>
    <xf numFmtId="0" fontId="20" fillId="40" borderId="21" xfId="0" applyFont="1" applyFill="1" applyBorder="1" applyAlignment="1" applyProtection="1">
      <alignment horizontal="center" vertical="center"/>
      <protection/>
    </xf>
    <xf numFmtId="172" fontId="3" fillId="37" borderId="13" xfId="0" applyNumberFormat="1" applyFont="1" applyFill="1" applyBorder="1" applyAlignment="1" applyProtection="1">
      <alignment vertical="center"/>
      <protection/>
    </xf>
    <xf numFmtId="0" fontId="7" fillId="38" borderId="13"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22" fillId="34" borderId="0" xfId="0" applyFont="1" applyFill="1" applyAlignment="1" applyProtection="1">
      <alignment horizontal="center" vertical="center"/>
      <protection/>
    </xf>
    <xf numFmtId="3" fontId="20" fillId="40" borderId="12" xfId="0" applyNumberFormat="1" applyFont="1" applyFill="1" applyBorder="1" applyAlignment="1" applyProtection="1">
      <alignment horizontal="center" vertical="center"/>
      <protection/>
    </xf>
    <xf numFmtId="37" fontId="3" fillId="34" borderId="12" xfId="0" applyNumberFormat="1"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7" fillId="34" borderId="12" xfId="0" applyNumberFormat="1" applyFont="1" applyFill="1" applyBorder="1" applyAlignment="1" applyProtection="1">
      <alignment horizontal="center" vertical="center"/>
      <protection/>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horizontal="right" vertical="center"/>
      <protection/>
    </xf>
    <xf numFmtId="0" fontId="3"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locked="0"/>
    </xf>
    <xf numFmtId="0" fontId="3" fillId="33" borderId="11"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31" fillId="38" borderId="0" xfId="0" applyFont="1" applyFill="1" applyAlignment="1">
      <alignment/>
    </xf>
    <xf numFmtId="0" fontId="31" fillId="0" borderId="0" xfId="0" applyFont="1" applyAlignment="1">
      <alignment/>
    </xf>
    <xf numFmtId="0" fontId="31" fillId="34" borderId="0" xfId="0" applyFont="1" applyFill="1" applyAlignment="1">
      <alignment/>
    </xf>
    <xf numFmtId="0" fontId="32" fillId="38" borderId="0" xfId="0" applyFont="1" applyFill="1" applyAlignment="1">
      <alignment horizontal="center" wrapText="1"/>
    </xf>
    <xf numFmtId="0" fontId="32" fillId="34" borderId="0" xfId="0" applyFont="1" applyFill="1" applyAlignment="1">
      <alignment horizontal="center"/>
    </xf>
    <xf numFmtId="0" fontId="32" fillId="34" borderId="0" xfId="0" applyFont="1" applyFill="1" applyAlignment="1">
      <alignment/>
    </xf>
    <xf numFmtId="0" fontId="31" fillId="34" borderId="0" xfId="0" applyFont="1" applyFill="1" applyAlignment="1">
      <alignment horizontal="center"/>
    </xf>
    <xf numFmtId="178" fontId="31" fillId="34" borderId="0" xfId="0" applyNumberFormat="1" applyFont="1" applyFill="1" applyAlignment="1">
      <alignment horizontal="center"/>
    </xf>
    <xf numFmtId="0" fontId="32" fillId="34" borderId="27" xfId="0" applyFont="1" applyFill="1" applyBorder="1" applyAlignment="1">
      <alignment/>
    </xf>
    <xf numFmtId="0" fontId="31" fillId="34" borderId="28" xfId="0" applyFont="1" applyFill="1" applyBorder="1" applyAlignment="1">
      <alignment/>
    </xf>
    <xf numFmtId="0" fontId="31" fillId="34" borderId="29" xfId="0" applyFont="1" applyFill="1" applyBorder="1" applyAlignment="1">
      <alignment/>
    </xf>
    <xf numFmtId="178" fontId="31" fillId="34" borderId="30" xfId="0" applyNumberFormat="1" applyFont="1" applyFill="1" applyBorder="1" applyAlignment="1">
      <alignment/>
    </xf>
    <xf numFmtId="0" fontId="31" fillId="34" borderId="0" xfId="0" applyFont="1" applyFill="1" applyBorder="1" applyAlignment="1">
      <alignment/>
    </xf>
    <xf numFmtId="0" fontId="31" fillId="34" borderId="0" xfId="0" applyFont="1" applyFill="1" applyBorder="1" applyAlignment="1">
      <alignment horizontal="center"/>
    </xf>
    <xf numFmtId="178" fontId="31" fillId="34" borderId="10" xfId="0" applyNumberFormat="1" applyFont="1" applyFill="1" applyBorder="1" applyAlignment="1">
      <alignment horizontal="center"/>
    </xf>
    <xf numFmtId="0" fontId="31" fillId="34" borderId="31" xfId="0" applyFont="1" applyFill="1" applyBorder="1" applyAlignment="1">
      <alignment/>
    </xf>
    <xf numFmtId="0" fontId="31" fillId="34" borderId="32" xfId="0" applyFont="1" applyFill="1" applyBorder="1" applyAlignment="1">
      <alignment/>
    </xf>
    <xf numFmtId="0" fontId="31" fillId="34" borderId="33" xfId="0" applyFont="1" applyFill="1" applyBorder="1" applyAlignment="1">
      <alignment/>
    </xf>
    <xf numFmtId="0" fontId="31" fillId="34" borderId="34" xfId="0" applyFont="1" applyFill="1" applyBorder="1" applyAlignment="1">
      <alignment/>
    </xf>
    <xf numFmtId="178" fontId="31" fillId="34" borderId="0" xfId="0" applyNumberFormat="1" applyFont="1" applyFill="1" applyAlignment="1">
      <alignment/>
    </xf>
    <xf numFmtId="0" fontId="31" fillId="34" borderId="27" xfId="0" applyFont="1" applyFill="1" applyBorder="1" applyAlignment="1">
      <alignment/>
    </xf>
    <xf numFmtId="0" fontId="31" fillId="34" borderId="35" xfId="0" applyFont="1" applyFill="1" applyBorder="1" applyAlignment="1">
      <alignment/>
    </xf>
    <xf numFmtId="178" fontId="31" fillId="33" borderId="30" xfId="0" applyNumberFormat="1" applyFont="1" applyFill="1" applyBorder="1" applyAlignment="1" applyProtection="1">
      <alignment horizontal="center"/>
      <protection locked="0"/>
    </xf>
    <xf numFmtId="175" fontId="31" fillId="34" borderId="0" xfId="0" applyNumberFormat="1" applyFont="1" applyFill="1" applyBorder="1" applyAlignment="1">
      <alignment horizontal="center"/>
    </xf>
    <xf numFmtId="178" fontId="31" fillId="0" borderId="0" xfId="0" applyNumberFormat="1" applyFont="1" applyAlignment="1">
      <alignment/>
    </xf>
    <xf numFmtId="0" fontId="42" fillId="0" borderId="0" xfId="0" applyFont="1" applyBorder="1" applyAlignment="1">
      <alignment/>
    </xf>
    <xf numFmtId="0" fontId="31" fillId="0" borderId="0" xfId="0" applyFont="1" applyBorder="1" applyAlignment="1">
      <alignment/>
    </xf>
    <xf numFmtId="0" fontId="32" fillId="0" borderId="0" xfId="0" applyFont="1" applyBorder="1" applyAlignment="1">
      <alignment horizontal="centerContinuous"/>
    </xf>
    <xf numFmtId="0" fontId="31" fillId="0" borderId="0" xfId="0" applyFont="1" applyBorder="1" applyAlignment="1">
      <alignment horizontal="centerContinuous"/>
    </xf>
    <xf numFmtId="0" fontId="31" fillId="38" borderId="0" xfId="0" applyFont="1" applyFill="1" applyBorder="1" applyAlignment="1">
      <alignment/>
    </xf>
    <xf numFmtId="178" fontId="31" fillId="34" borderId="0" xfId="0" applyNumberFormat="1" applyFont="1" applyFill="1" applyBorder="1" applyAlignment="1">
      <alignment horizontal="center"/>
    </xf>
    <xf numFmtId="0" fontId="31" fillId="34" borderId="36" xfId="0" applyFont="1" applyFill="1" applyBorder="1" applyAlignment="1">
      <alignment/>
    </xf>
    <xf numFmtId="0" fontId="31" fillId="34" borderId="18" xfId="0" applyFont="1" applyFill="1" applyBorder="1" applyAlignment="1">
      <alignment/>
    </xf>
    <xf numFmtId="0" fontId="31" fillId="34" borderId="18" xfId="0" applyFont="1" applyFill="1" applyBorder="1" applyAlignment="1">
      <alignment horizontal="center"/>
    </xf>
    <xf numFmtId="0" fontId="31" fillId="34" borderId="37" xfId="0" applyFont="1" applyFill="1" applyBorder="1" applyAlignment="1">
      <alignment/>
    </xf>
    <xf numFmtId="179" fontId="31" fillId="34" borderId="0" xfId="0" applyNumberFormat="1" applyFont="1" applyFill="1" applyBorder="1" applyAlignment="1">
      <alignment horizontal="center"/>
    </xf>
    <xf numFmtId="5" fontId="31" fillId="34" borderId="33" xfId="0" applyNumberFormat="1" applyFont="1" applyFill="1" applyBorder="1" applyAlignment="1">
      <alignment horizontal="center"/>
    </xf>
    <xf numFmtId="0" fontId="31" fillId="34" borderId="33" xfId="0" applyFont="1" applyFill="1" applyBorder="1" applyAlignment="1">
      <alignment horizontal="center"/>
    </xf>
    <xf numFmtId="175" fontId="31" fillId="34" borderId="33" xfId="0" applyNumberFormat="1" applyFont="1" applyFill="1" applyBorder="1" applyAlignment="1">
      <alignment horizontal="center"/>
    </xf>
    <xf numFmtId="179" fontId="31" fillId="34" borderId="33" xfId="0" applyNumberFormat="1" applyFont="1" applyFill="1" applyBorder="1" applyAlignment="1">
      <alignment horizontal="center"/>
    </xf>
    <xf numFmtId="0" fontId="31" fillId="34" borderId="0" xfId="0" applyFont="1" applyFill="1" applyAlignment="1">
      <alignment horizontal="center" wrapText="1"/>
    </xf>
    <xf numFmtId="0" fontId="32" fillId="34" borderId="0" xfId="0" applyFont="1" applyFill="1" applyAlignment="1">
      <alignment horizontal="center" wrapText="1"/>
    </xf>
    <xf numFmtId="0" fontId="32" fillId="34" borderId="27" xfId="0" applyFont="1" applyFill="1" applyBorder="1" applyAlignment="1">
      <alignment/>
    </xf>
    <xf numFmtId="0" fontId="31" fillId="34" borderId="28" xfId="0" applyFont="1" applyFill="1" applyBorder="1" applyAlignment="1">
      <alignment/>
    </xf>
    <xf numFmtId="0" fontId="31" fillId="34" borderId="29" xfId="0" applyFont="1" applyFill="1" applyBorder="1" applyAlignment="1">
      <alignment/>
    </xf>
    <xf numFmtId="0" fontId="31" fillId="34" borderId="35" xfId="0" applyFont="1" applyFill="1" applyBorder="1" applyAlignment="1">
      <alignment/>
    </xf>
    <xf numFmtId="0" fontId="31" fillId="34" borderId="0" xfId="0" applyFont="1" applyFill="1" applyBorder="1" applyAlignment="1">
      <alignment/>
    </xf>
    <xf numFmtId="0" fontId="31" fillId="34" borderId="31" xfId="0" applyFont="1" applyFill="1" applyBorder="1" applyAlignment="1">
      <alignment/>
    </xf>
    <xf numFmtId="0" fontId="31" fillId="34" borderId="36" xfId="0" applyFont="1" applyFill="1" applyBorder="1" applyAlignment="1">
      <alignment/>
    </xf>
    <xf numFmtId="0" fontId="31" fillId="34" borderId="18" xfId="0" applyFont="1" applyFill="1" applyBorder="1" applyAlignment="1">
      <alignment/>
    </xf>
    <xf numFmtId="0" fontId="31" fillId="34" borderId="37" xfId="0" applyFont="1" applyFill="1" applyBorder="1" applyAlignment="1">
      <alignment/>
    </xf>
    <xf numFmtId="174" fontId="31" fillId="34" borderId="0" xfId="0" applyNumberFormat="1" applyFont="1" applyFill="1" applyBorder="1" applyAlignment="1">
      <alignment horizontal="center"/>
    </xf>
    <xf numFmtId="0" fontId="31" fillId="34" borderId="32" xfId="0" applyFont="1" applyFill="1" applyBorder="1" applyAlignment="1">
      <alignment/>
    </xf>
    <xf numFmtId="0" fontId="31" fillId="34" borderId="34" xfId="0" applyFont="1" applyFill="1" applyBorder="1" applyAlignment="1">
      <alignment/>
    </xf>
    <xf numFmtId="5" fontId="31" fillId="34" borderId="0" xfId="0" applyNumberFormat="1" applyFont="1" applyFill="1" applyBorder="1" applyAlignment="1">
      <alignment horizontal="center"/>
    </xf>
    <xf numFmtId="0" fontId="31" fillId="38" borderId="0" xfId="0" applyFont="1" applyFill="1" applyAlignment="1">
      <alignment/>
    </xf>
    <xf numFmtId="175" fontId="31" fillId="33" borderId="10" xfId="0" applyNumberFormat="1" applyFont="1" applyFill="1" applyBorder="1" applyAlignment="1" applyProtection="1">
      <alignment horizontal="center"/>
      <protection locked="0"/>
    </xf>
    <xf numFmtId="179" fontId="31" fillId="34" borderId="0" xfId="0" applyNumberFormat="1" applyFont="1" applyFill="1" applyBorder="1" applyAlignment="1">
      <alignment/>
    </xf>
    <xf numFmtId="178" fontId="31" fillId="34" borderId="33" xfId="0" applyNumberFormat="1" applyFont="1" applyFill="1" applyBorder="1" applyAlignment="1">
      <alignment horizontal="center"/>
    </xf>
    <xf numFmtId="175" fontId="31" fillId="34" borderId="33" xfId="0" applyNumberFormat="1" applyFont="1" applyFill="1" applyBorder="1" applyAlignment="1" applyProtection="1">
      <alignment horizontal="center"/>
      <protection locked="0"/>
    </xf>
    <xf numFmtId="179" fontId="31" fillId="34" borderId="33" xfId="0" applyNumberFormat="1" applyFont="1" applyFill="1" applyBorder="1" applyAlignment="1">
      <alignment/>
    </xf>
    <xf numFmtId="0" fontId="32" fillId="34" borderId="35" xfId="0" applyFont="1" applyFill="1" applyBorder="1" applyAlignment="1">
      <alignment horizontal="centerContinuous" vertical="center"/>
    </xf>
    <xf numFmtId="178" fontId="32" fillId="34" borderId="0" xfId="0" applyNumberFormat="1" applyFont="1" applyFill="1" applyBorder="1" applyAlignment="1">
      <alignment horizontal="centerContinuous" vertical="center"/>
    </xf>
    <xf numFmtId="0" fontId="32" fillId="34" borderId="0" xfId="0" applyFont="1" applyFill="1" applyBorder="1" applyAlignment="1">
      <alignment horizontal="centerContinuous" vertical="center"/>
    </xf>
    <xf numFmtId="175" fontId="32" fillId="34" borderId="0" xfId="0" applyNumberFormat="1" applyFont="1" applyFill="1" applyBorder="1" applyAlignment="1" applyProtection="1">
      <alignment horizontal="centerContinuous" vertical="center"/>
      <protection locked="0"/>
    </xf>
    <xf numFmtId="179" fontId="32" fillId="34" borderId="0" xfId="0" applyNumberFormat="1" applyFont="1" applyFill="1" applyBorder="1" applyAlignment="1">
      <alignment horizontal="centerContinuous" vertical="center"/>
    </xf>
    <xf numFmtId="0" fontId="32" fillId="34" borderId="31" xfId="0" applyFont="1" applyFill="1" applyBorder="1" applyAlignment="1">
      <alignment horizontal="centerContinuous" vertical="center"/>
    </xf>
    <xf numFmtId="0" fontId="32" fillId="34" borderId="35" xfId="0" applyFont="1" applyFill="1" applyBorder="1" applyAlignment="1">
      <alignment horizontal="centerContinuous"/>
    </xf>
    <xf numFmtId="178" fontId="32" fillId="34" borderId="0" xfId="0" applyNumberFormat="1" applyFont="1" applyFill="1" applyBorder="1" applyAlignment="1">
      <alignment horizontal="centerContinuous"/>
    </xf>
    <xf numFmtId="0" fontId="32" fillId="34" borderId="0" xfId="0" applyFont="1" applyFill="1" applyBorder="1" applyAlignment="1">
      <alignment horizontal="centerContinuous"/>
    </xf>
    <xf numFmtId="175" fontId="32" fillId="34" borderId="0" xfId="0" applyNumberFormat="1" applyFont="1" applyFill="1" applyBorder="1" applyAlignment="1" applyProtection="1">
      <alignment horizontal="centerContinuous"/>
      <protection locked="0"/>
    </xf>
    <xf numFmtId="179" fontId="32" fillId="34" borderId="0" xfId="0" applyNumberFormat="1" applyFont="1" applyFill="1" applyBorder="1" applyAlignment="1">
      <alignment horizontal="centerContinuous"/>
    </xf>
    <xf numFmtId="0" fontId="32" fillId="34" borderId="31" xfId="0" applyFont="1" applyFill="1" applyBorder="1" applyAlignment="1">
      <alignment horizontal="centerContinuous"/>
    </xf>
    <xf numFmtId="175" fontId="31" fillId="34" borderId="0" xfId="0" applyNumberFormat="1" applyFont="1" applyFill="1" applyBorder="1" applyAlignment="1" applyProtection="1">
      <alignment horizontal="center"/>
      <protection locked="0"/>
    </xf>
    <xf numFmtId="178" fontId="31" fillId="34" borderId="28" xfId="0" applyNumberFormat="1" applyFont="1" applyFill="1" applyBorder="1" applyAlignment="1">
      <alignment horizontal="center"/>
    </xf>
    <xf numFmtId="0" fontId="31" fillId="34" borderId="28" xfId="0" applyFont="1" applyFill="1" applyBorder="1" applyAlignment="1">
      <alignment horizontal="center"/>
    </xf>
    <xf numFmtId="175" fontId="31" fillId="34" borderId="28" xfId="0" applyNumberFormat="1" applyFont="1" applyFill="1" applyBorder="1" applyAlignment="1" applyProtection="1">
      <alignment horizontal="center"/>
      <protection locked="0"/>
    </xf>
    <xf numFmtId="179" fontId="31" fillId="34" borderId="28" xfId="0" applyNumberFormat="1" applyFont="1" applyFill="1" applyBorder="1" applyAlignment="1">
      <alignment/>
    </xf>
    <xf numFmtId="178" fontId="31" fillId="33" borderId="10" xfId="0" applyNumberFormat="1" applyFont="1" applyFill="1" applyBorder="1" applyAlignment="1" applyProtection="1">
      <alignment horizontal="center"/>
      <protection locked="0"/>
    </xf>
    <xf numFmtId="178" fontId="31" fillId="34" borderId="0" xfId="0" applyNumberFormat="1" applyFont="1" applyFill="1" applyBorder="1" applyAlignment="1" applyProtection="1">
      <alignment horizontal="center"/>
      <protection locked="0"/>
    </xf>
    <xf numFmtId="0" fontId="31" fillId="41" borderId="0" xfId="0" applyFont="1" applyFill="1" applyAlignment="1">
      <alignment/>
    </xf>
    <xf numFmtId="0" fontId="33" fillId="0" borderId="0" xfId="70" applyFont="1" applyAlignment="1">
      <alignment horizontal="center"/>
      <protection/>
    </xf>
    <xf numFmtId="0" fontId="3" fillId="0" borderId="0" xfId="70" applyFont="1" applyAlignment="1">
      <alignment wrapText="1"/>
      <protection/>
    </xf>
    <xf numFmtId="0" fontId="35" fillId="0" borderId="0" xfId="59" applyFont="1" applyAlignment="1" applyProtection="1">
      <alignment/>
      <protection/>
    </xf>
    <xf numFmtId="0" fontId="3" fillId="0" borderId="0" xfId="70" applyFont="1">
      <alignment/>
      <protection/>
    </xf>
    <xf numFmtId="0" fontId="25" fillId="0" borderId="0" xfId="0" applyFont="1" applyAlignment="1">
      <alignment wrapText="1"/>
    </xf>
    <xf numFmtId="0" fontId="4" fillId="0" borderId="0" xfId="0" applyFont="1" applyAlignment="1">
      <alignment wrapText="1"/>
    </xf>
    <xf numFmtId="178" fontId="39" fillId="40" borderId="15" xfId="0" applyNumberFormat="1" applyFont="1" applyFill="1" applyBorder="1" applyAlignment="1" applyProtection="1">
      <alignment horizontal="center" vertical="center"/>
      <protection/>
    </xf>
    <xf numFmtId="0" fontId="7" fillId="40" borderId="10" xfId="0" applyFont="1" applyFill="1" applyBorder="1" applyAlignment="1" applyProtection="1">
      <alignment vertical="center"/>
      <protection/>
    </xf>
    <xf numFmtId="0" fontId="3" fillId="40" borderId="10" xfId="0" applyFont="1" applyFill="1" applyBorder="1" applyAlignment="1" applyProtection="1">
      <alignment vertical="center"/>
      <protection/>
    </xf>
    <xf numFmtId="0" fontId="39" fillId="40" borderId="22" xfId="0" applyFont="1" applyFill="1" applyBorder="1" applyAlignment="1" applyProtection="1">
      <alignment vertical="center"/>
      <protection/>
    </xf>
    <xf numFmtId="0" fontId="39" fillId="34" borderId="15" xfId="0" applyFont="1" applyFill="1" applyBorder="1" applyAlignment="1" applyProtection="1">
      <alignment horizontal="center" vertical="center"/>
      <protection/>
    </xf>
    <xf numFmtId="178" fontId="7" fillId="33" borderId="12" xfId="0" applyNumberFormat="1" applyFont="1" applyFill="1" applyBorder="1" applyAlignment="1" applyProtection="1">
      <alignment horizontal="center" vertical="center"/>
      <protection locked="0"/>
    </xf>
    <xf numFmtId="0" fontId="7" fillId="34" borderId="26" xfId="0" applyFont="1" applyFill="1" applyBorder="1" applyAlignment="1" applyProtection="1">
      <alignment horizontal="left" vertical="center"/>
      <protection/>
    </xf>
    <xf numFmtId="178" fontId="7" fillId="34" borderId="20" xfId="0" applyNumberFormat="1" applyFont="1" applyFill="1" applyBorder="1" applyAlignment="1" applyProtection="1">
      <alignment horizontal="center" vertical="center"/>
      <protection/>
    </xf>
    <xf numFmtId="0" fontId="7" fillId="34" borderId="26"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34" borderId="17" xfId="0" applyFill="1" applyBorder="1" applyAlignment="1" applyProtection="1">
      <alignment vertical="center"/>
      <protection/>
    </xf>
    <xf numFmtId="0" fontId="37" fillId="34" borderId="11" xfId="0" applyFont="1" applyFill="1" applyBorder="1" applyAlignment="1" applyProtection="1">
      <alignment horizontal="center" vertical="center"/>
      <protection/>
    </xf>
    <xf numFmtId="0" fontId="7" fillId="34" borderId="11" xfId="0" applyFont="1" applyFill="1" applyBorder="1" applyAlignment="1" applyProtection="1">
      <alignment horizontal="left" vertical="center"/>
      <protection/>
    </xf>
    <xf numFmtId="175" fontId="39" fillId="34" borderId="21" xfId="0" applyNumberFormat="1" applyFont="1" applyFill="1" applyBorder="1" applyAlignment="1" applyProtection="1">
      <alignment horizontal="center" vertical="center"/>
      <protection/>
    </xf>
    <xf numFmtId="0" fontId="3" fillId="40" borderId="15" xfId="0" applyFont="1" applyFill="1" applyBorder="1" applyAlignment="1" applyProtection="1">
      <alignment vertical="center"/>
      <protection/>
    </xf>
    <xf numFmtId="0" fontId="39" fillId="40" borderId="10" xfId="0" applyFont="1" applyFill="1" applyBorder="1" applyAlignment="1" applyProtection="1">
      <alignment vertical="center"/>
      <protection/>
    </xf>
    <xf numFmtId="178" fontId="39" fillId="40" borderId="22" xfId="0" applyNumberFormat="1" applyFont="1" applyFill="1" applyBorder="1" applyAlignment="1" applyProtection="1">
      <alignment horizontal="center" vertical="center"/>
      <protection/>
    </xf>
    <xf numFmtId="178" fontId="7" fillId="34" borderId="26" xfId="0" applyNumberFormat="1" applyFont="1" applyFill="1" applyBorder="1" applyAlignment="1" applyProtection="1">
      <alignment vertical="center"/>
      <protection/>
    </xf>
    <xf numFmtId="178" fontId="7" fillId="34" borderId="22" xfId="0" applyNumberFormat="1"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0" fontId="3" fillId="34" borderId="20" xfId="0" applyFont="1" applyFill="1" applyBorder="1" applyAlignment="1" applyProtection="1">
      <alignment vertical="center"/>
      <protection/>
    </xf>
    <xf numFmtId="3" fontId="3" fillId="37" borderId="38" xfId="0" applyNumberFormat="1" applyFont="1" applyFill="1" applyBorder="1" applyAlignment="1" applyProtection="1">
      <alignment vertical="center"/>
      <protection/>
    </xf>
    <xf numFmtId="164" fontId="3" fillId="37" borderId="14" xfId="0" applyNumberFormat="1" applyFont="1" applyFill="1" applyBorder="1" applyAlignment="1" applyProtection="1">
      <alignment vertical="center"/>
      <protection/>
    </xf>
    <xf numFmtId="165" fontId="3" fillId="33" borderId="0" xfId="0" applyNumberFormat="1" applyFont="1" applyFill="1" applyAlignment="1" applyProtection="1">
      <alignment horizontal="left" vertical="center"/>
      <protection locked="0"/>
    </xf>
    <xf numFmtId="0" fontId="3" fillId="33" borderId="21" xfId="0" applyNumberFormat="1"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protection/>
    </xf>
    <xf numFmtId="178" fontId="7" fillId="34" borderId="26" xfId="0" applyNumberFormat="1" applyFont="1" applyFill="1" applyBorder="1" applyAlignment="1" applyProtection="1">
      <alignment horizontal="center" vertical="center"/>
      <protection/>
    </xf>
    <xf numFmtId="0" fontId="4" fillId="34" borderId="0" xfId="74" applyFont="1" applyFill="1" applyAlignment="1" applyProtection="1">
      <alignment vertical="center"/>
      <protection/>
    </xf>
    <xf numFmtId="0" fontId="3" fillId="34" borderId="0" xfId="86" applyFont="1" applyFill="1" applyAlignment="1" applyProtection="1">
      <alignment horizontal="right" vertical="center"/>
      <protection/>
    </xf>
    <xf numFmtId="175" fontId="3" fillId="34" borderId="0" xfId="70" applyNumberFormat="1" applyFont="1" applyFill="1" applyAlignment="1" applyProtection="1">
      <alignment horizontal="center" vertical="center"/>
      <protection/>
    </xf>
    <xf numFmtId="37" fontId="3" fillId="34" borderId="0" xfId="70" applyNumberFormat="1" applyFont="1" applyFill="1" applyAlignment="1" applyProtection="1">
      <alignment horizontal="right" vertical="center"/>
      <protection/>
    </xf>
    <xf numFmtId="0" fontId="17" fillId="34" borderId="0" xfId="70" applyFont="1" applyFill="1" applyAlignment="1" applyProtection="1">
      <alignment horizontal="center" vertical="center"/>
      <protection/>
    </xf>
    <xf numFmtId="0" fontId="3" fillId="34" borderId="26" xfId="0" applyFont="1" applyFill="1" applyBorder="1" applyAlignment="1" applyProtection="1">
      <alignment vertical="center"/>
      <protection/>
    </xf>
    <xf numFmtId="0" fontId="24" fillId="34" borderId="0" xfId="0" applyFont="1" applyFill="1" applyBorder="1" applyAlignment="1" applyProtection="1">
      <alignment horizontal="left" vertical="center"/>
      <protection/>
    </xf>
    <xf numFmtId="0" fontId="24" fillId="34" borderId="0" xfId="0" applyFont="1" applyFill="1" applyBorder="1" applyAlignment="1" applyProtection="1">
      <alignment vertical="center"/>
      <protection/>
    </xf>
    <xf numFmtId="0" fontId="24" fillId="40" borderId="10" xfId="0" applyFont="1" applyFill="1" applyBorder="1" applyAlignment="1" applyProtection="1">
      <alignment vertical="center"/>
      <protection/>
    </xf>
    <xf numFmtId="0" fontId="7" fillId="34" borderId="26" xfId="0" applyFont="1" applyFill="1" applyBorder="1" applyAlignment="1" applyProtection="1">
      <alignment/>
      <protection/>
    </xf>
    <xf numFmtId="0" fontId="3" fillId="34" borderId="0" xfId="0" applyFont="1" applyFill="1" applyBorder="1" applyAlignment="1" applyProtection="1">
      <alignment/>
      <protection/>
    </xf>
    <xf numFmtId="178" fontId="3" fillId="34" borderId="20" xfId="0" applyNumberFormat="1" applyFont="1" applyFill="1" applyBorder="1" applyAlignment="1" applyProtection="1">
      <alignment horizontal="center"/>
      <protection/>
    </xf>
    <xf numFmtId="0" fontId="3" fillId="34" borderId="22" xfId="0" applyFont="1" applyFill="1" applyBorder="1" applyAlignment="1" applyProtection="1">
      <alignment/>
      <protection/>
    </xf>
    <xf numFmtId="0" fontId="3" fillId="34" borderId="10" xfId="0" applyFont="1" applyFill="1" applyBorder="1" applyAlignment="1" applyProtection="1">
      <alignment/>
      <protection/>
    </xf>
    <xf numFmtId="178" fontId="3" fillId="40" borderId="15" xfId="0" applyNumberFormat="1" applyFont="1" applyFill="1" applyBorder="1" applyAlignment="1" applyProtection="1">
      <alignment horizontal="center"/>
      <protection/>
    </xf>
    <xf numFmtId="0" fontId="3" fillId="34" borderId="26" xfId="0" applyFont="1" applyFill="1" applyBorder="1" applyAlignment="1" applyProtection="1">
      <alignment/>
      <protection/>
    </xf>
    <xf numFmtId="0" fontId="3" fillId="34" borderId="20" xfId="0" applyFont="1" applyFill="1" applyBorder="1" applyAlignment="1" applyProtection="1">
      <alignment/>
      <protection/>
    </xf>
    <xf numFmtId="178" fontId="3" fillId="34" borderId="15" xfId="0" applyNumberFormat="1" applyFont="1" applyFill="1" applyBorder="1" applyAlignment="1" applyProtection="1">
      <alignment horizontal="center"/>
      <protection/>
    </xf>
    <xf numFmtId="0" fontId="3" fillId="40" borderId="22" xfId="0" applyFont="1" applyFill="1" applyBorder="1" applyAlignment="1" applyProtection="1">
      <alignment/>
      <protection/>
    </xf>
    <xf numFmtId="0" fontId="3" fillId="40" borderId="10" xfId="0" applyFont="1" applyFill="1" applyBorder="1" applyAlignment="1" applyProtection="1">
      <alignment/>
      <protection/>
    </xf>
    <xf numFmtId="178" fontId="7" fillId="40" borderId="22" xfId="0" applyNumberFormat="1" applyFont="1" applyFill="1" applyBorder="1" applyAlignment="1" applyProtection="1">
      <alignment horizontal="center" vertical="center"/>
      <protection/>
    </xf>
    <xf numFmtId="0" fontId="7" fillId="40" borderId="21" xfId="0" applyFont="1" applyFill="1" applyBorder="1" applyAlignment="1" applyProtection="1">
      <alignment horizontal="center" vertical="center"/>
      <protection locked="0"/>
    </xf>
    <xf numFmtId="0" fontId="7" fillId="40" borderId="11" xfId="0" applyFont="1" applyFill="1" applyBorder="1" applyAlignment="1" applyProtection="1">
      <alignment vertical="center"/>
      <protection locked="0"/>
    </xf>
    <xf numFmtId="0" fontId="3" fillId="40" borderId="17" xfId="0" applyFont="1" applyFill="1" applyBorder="1" applyAlignment="1" applyProtection="1">
      <alignment vertical="center"/>
      <protection locked="0"/>
    </xf>
    <xf numFmtId="0" fontId="3" fillId="0" borderId="0" xfId="86" applyFont="1" applyAlignment="1">
      <alignment vertical="center"/>
      <protection/>
    </xf>
    <xf numFmtId="0" fontId="3" fillId="0" borderId="0" xfId="86" applyFont="1" applyAlignment="1">
      <alignment vertical="center" wrapText="1"/>
      <protection/>
    </xf>
    <xf numFmtId="0" fontId="3" fillId="0" borderId="0" xfId="70" applyFont="1" applyAlignment="1">
      <alignment vertical="center" wrapText="1"/>
      <protection/>
    </xf>
    <xf numFmtId="37" fontId="3"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16" fillId="34" borderId="0" xfId="0" applyFont="1" applyFill="1" applyAlignment="1" applyProtection="1">
      <alignment horizontal="center" vertical="center"/>
      <protection/>
    </xf>
    <xf numFmtId="0" fontId="2" fillId="0" borderId="0" xfId="0" applyFont="1" applyAlignment="1">
      <alignment horizontal="center" vertical="center"/>
    </xf>
    <xf numFmtId="37" fontId="4"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4" fillId="34" borderId="0" xfId="0" applyFont="1" applyFill="1" applyAlignment="1" applyProtection="1">
      <alignment horizontal="left" vertical="center"/>
      <protection/>
    </xf>
    <xf numFmtId="0" fontId="0" fillId="0" borderId="0" xfId="0" applyAlignment="1">
      <alignment horizontal="left" vertical="center"/>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37" fontId="16" fillId="34" borderId="0" xfId="0" applyNumberFormat="1" applyFont="1" applyFill="1" applyBorder="1" applyAlignment="1" applyProtection="1">
      <alignment horizontal="center" vertical="center"/>
      <protection/>
    </xf>
    <xf numFmtId="0" fontId="4" fillId="38" borderId="0" xfId="0" applyFont="1" applyFill="1" applyBorder="1" applyAlignment="1">
      <alignment horizontal="center" vertical="center"/>
    </xf>
    <xf numFmtId="0" fontId="2" fillId="38" borderId="0" xfId="0" applyFont="1" applyFill="1" applyBorder="1" applyAlignment="1">
      <alignment horizontal="center" vertical="center"/>
    </xf>
    <xf numFmtId="0" fontId="20" fillId="34" borderId="0" xfId="0" applyFont="1" applyFill="1" applyBorder="1" applyAlignment="1">
      <alignment vertical="center"/>
    </xf>
    <xf numFmtId="0" fontId="21" fillId="0" borderId="0" xfId="0" applyFont="1" applyAlignment="1">
      <alignment vertical="center"/>
    </xf>
    <xf numFmtId="0" fontId="3" fillId="0" borderId="0" xfId="419" applyFont="1" applyAlignment="1">
      <alignment horizontal="left" vertical="center" wrapText="1"/>
      <protection/>
    </xf>
    <xf numFmtId="0" fontId="9" fillId="0" borderId="0" xfId="419" applyFont="1" applyAlignment="1">
      <alignment horizontal="left" vertical="center" wrapText="1"/>
      <protection/>
    </xf>
    <xf numFmtId="0" fontId="16" fillId="0" borderId="0" xfId="419" applyFont="1" applyAlignment="1">
      <alignment horizontal="left" vertical="center"/>
      <protection/>
    </xf>
    <xf numFmtId="0" fontId="8" fillId="41" borderId="0" xfId="0" applyFont="1" applyFill="1" applyAlignment="1">
      <alignment horizontal="right" vertical="center" textRotation="180" wrapText="1"/>
    </xf>
    <xf numFmtId="0" fontId="4" fillId="34" borderId="0" xfId="0" applyFont="1" applyFill="1" applyAlignment="1" applyProtection="1">
      <alignment horizontal="center" vertical="center"/>
      <protection/>
    </xf>
    <xf numFmtId="37" fontId="3" fillId="34" borderId="0" xfId="0" applyNumberFormat="1" applyFont="1" applyFill="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3" fillId="34" borderId="19"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3"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 fillId="34" borderId="18" xfId="0" applyFont="1" applyFill="1" applyBorder="1" applyAlignment="1" applyProtection="1">
      <alignment horizontal="center" vertical="center"/>
      <protection/>
    </xf>
    <xf numFmtId="0" fontId="0" fillId="0" borderId="18" xfId="0" applyBorder="1" applyAlignment="1">
      <alignment vertical="center"/>
    </xf>
    <xf numFmtId="0" fontId="7"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3" fillId="34" borderId="0" xfId="0"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3" fillId="34" borderId="13" xfId="0" applyNumberFormat="1"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0" fontId="3" fillId="34" borderId="0" xfId="58" applyNumberFormat="1" applyFont="1" applyFill="1" applyBorder="1" applyAlignment="1" applyProtection="1">
      <alignment horizontal="right" vertical="center"/>
      <protection/>
    </xf>
    <xf numFmtId="0" fontId="3" fillId="0" borderId="0" xfId="58" applyFont="1" applyAlignment="1" applyProtection="1">
      <alignment horizontal="right" vertical="center"/>
      <protection/>
    </xf>
    <xf numFmtId="3" fontId="3" fillId="34" borderId="18" xfId="86" applyNumberFormat="1" applyFont="1" applyFill="1" applyBorder="1" applyAlignment="1" applyProtection="1">
      <alignment horizontal="right" vertical="center"/>
      <protection/>
    </xf>
    <xf numFmtId="0" fontId="0" fillId="0" borderId="25" xfId="86" applyBorder="1" applyAlignment="1">
      <alignment horizontal="right" vertical="center"/>
      <protection/>
    </xf>
    <xf numFmtId="0" fontId="3" fillId="34" borderId="0" xfId="86" applyFont="1" applyFill="1" applyAlignment="1" applyProtection="1">
      <alignment horizontal="right" vertical="center"/>
      <protection/>
    </xf>
    <xf numFmtId="0" fontId="3" fillId="0" borderId="20" xfId="86" applyFont="1" applyBorder="1" applyAlignment="1">
      <alignment horizontal="right" vertical="center"/>
      <protection/>
    </xf>
    <xf numFmtId="0" fontId="37" fillId="34" borderId="24" xfId="0" applyFont="1" applyFill="1" applyBorder="1" applyAlignment="1" applyProtection="1">
      <alignment horizontal="center" vertical="center"/>
      <protection/>
    </xf>
    <xf numFmtId="0" fontId="38"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7" fillId="34" borderId="18" xfId="0" applyFont="1" applyFill="1" applyBorder="1" applyAlignment="1" applyProtection="1">
      <alignment horizontal="center" vertical="center"/>
      <protection/>
    </xf>
    <xf numFmtId="0" fontId="40" fillId="34" borderId="24" xfId="0" applyFont="1" applyFill="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16" fillId="34" borderId="24"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6" fillId="34" borderId="18" xfId="0" applyFont="1" applyFill="1" applyBorder="1" applyAlignment="1" applyProtection="1">
      <alignment horizontal="center"/>
      <protection/>
    </xf>
    <xf numFmtId="0" fontId="16" fillId="34" borderId="25" xfId="0" applyFont="1" applyFill="1" applyBorder="1" applyAlignment="1" applyProtection="1">
      <alignment horizontal="center"/>
      <protection/>
    </xf>
    <xf numFmtId="0" fontId="0" fillId="0" borderId="0" xfId="0" applyAlignment="1">
      <alignment vertical="center"/>
    </xf>
    <xf numFmtId="0" fontId="7" fillId="34" borderId="13"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5" fillId="34" borderId="0" xfId="0" applyFont="1" applyFill="1" applyAlignment="1" applyProtection="1">
      <alignment horizontal="center" vertical="center"/>
      <protection/>
    </xf>
    <xf numFmtId="0" fontId="3"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3" fillId="34" borderId="0" xfId="0" applyFont="1" applyFill="1" applyAlignment="1" applyProtection="1">
      <alignment horizontal="right" vertical="center"/>
      <protection/>
    </xf>
    <xf numFmtId="0" fontId="6" fillId="0" borderId="0" xfId="444" applyFont="1" applyAlignment="1">
      <alignment horizontal="center"/>
      <protection/>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0" fillId="0" borderId="0" xfId="0" applyFont="1" applyAlignment="1">
      <alignment wrapText="1"/>
    </xf>
    <xf numFmtId="0" fontId="6" fillId="0" borderId="0" xfId="0" applyFont="1" applyAlignment="1">
      <alignment horizontal="left" vertical="top" wrapText="1"/>
    </xf>
    <xf numFmtId="0" fontId="0" fillId="0" borderId="0" xfId="0" applyFont="1" applyAlignment="1">
      <alignment vertical="top" wrapText="1"/>
    </xf>
    <xf numFmtId="0" fontId="6"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178" fontId="31" fillId="33" borderId="10" xfId="0" applyNumberFormat="1" applyFont="1" applyFill="1" applyBorder="1" applyAlignment="1" applyProtection="1">
      <alignment horizontal="center"/>
      <protection locked="0"/>
    </xf>
    <xf numFmtId="0" fontId="31" fillId="34" borderId="0" xfId="0" applyFont="1" applyFill="1" applyAlignment="1">
      <alignment wrapText="1"/>
    </xf>
    <xf numFmtId="0" fontId="32" fillId="34" borderId="0" xfId="0" applyFont="1" applyFill="1" applyAlignment="1">
      <alignment horizontal="center" wrapText="1"/>
    </xf>
    <xf numFmtId="0" fontId="31" fillId="0" borderId="0" xfId="0" applyFont="1" applyAlignment="1">
      <alignment horizontal="center" wrapText="1"/>
    </xf>
    <xf numFmtId="0" fontId="32" fillId="34" borderId="0" xfId="0" applyFont="1" applyFill="1" applyAlignment="1">
      <alignment horizontal="center" vertical="center"/>
    </xf>
    <xf numFmtId="0" fontId="32" fillId="0" borderId="0" xfId="0" applyFont="1" applyAlignment="1">
      <alignment horizontal="center" vertical="center"/>
    </xf>
    <xf numFmtId="0" fontId="32" fillId="34" borderId="0" xfId="0" applyFont="1" applyFill="1" applyAlignment="1">
      <alignment horizontal="center"/>
    </xf>
    <xf numFmtId="0" fontId="31" fillId="0" borderId="0" xfId="0" applyFont="1" applyAlignment="1">
      <alignment wrapText="1"/>
    </xf>
    <xf numFmtId="178" fontId="31" fillId="34" borderId="0" xfId="0" applyNumberFormat="1" applyFont="1" applyFill="1" applyAlignment="1">
      <alignment horizontal="center"/>
    </xf>
    <xf numFmtId="178" fontId="31" fillId="34" borderId="0" xfId="0" applyNumberFormat="1" applyFont="1" applyFill="1" applyAlignment="1">
      <alignment/>
    </xf>
    <xf numFmtId="0" fontId="32" fillId="34" borderId="28" xfId="0" applyFont="1" applyFill="1" applyBorder="1" applyAlignment="1">
      <alignment horizontal="center" vertical="center"/>
    </xf>
    <xf numFmtId="0" fontId="31" fillId="34" borderId="0" xfId="0" applyFont="1" applyFill="1" applyBorder="1" applyAlignment="1">
      <alignment/>
    </xf>
    <xf numFmtId="0" fontId="31" fillId="0" borderId="0" xfId="0" applyFont="1" applyBorder="1" applyAlignment="1">
      <alignment/>
    </xf>
    <xf numFmtId="0" fontId="31" fillId="34" borderId="33" xfId="0" applyFont="1" applyFill="1" applyBorder="1" applyAlignment="1">
      <alignment/>
    </xf>
    <xf numFmtId="0" fontId="31" fillId="34" borderId="34" xfId="0" applyFont="1" applyFill="1" applyBorder="1" applyAlignment="1">
      <alignment/>
    </xf>
    <xf numFmtId="5" fontId="31" fillId="34" borderId="10" xfId="0" applyNumberFormat="1" applyFont="1" applyFill="1" applyBorder="1" applyAlignment="1">
      <alignment horizontal="center"/>
    </xf>
    <xf numFmtId="0" fontId="32" fillId="34" borderId="0" xfId="0" applyFont="1" applyFill="1" applyBorder="1" applyAlignment="1">
      <alignment horizontal="center" wrapText="1"/>
    </xf>
    <xf numFmtId="0" fontId="32" fillId="0" borderId="0" xfId="0" applyFont="1" applyAlignment="1">
      <alignment horizontal="center" wrapText="1"/>
    </xf>
    <xf numFmtId="0" fontId="31" fillId="34" borderId="0" xfId="0" applyFont="1" applyFill="1" applyBorder="1" applyAlignment="1">
      <alignment wrapText="1"/>
    </xf>
    <xf numFmtId="0" fontId="31" fillId="0" borderId="28" xfId="0" applyFont="1" applyBorder="1" applyAlignment="1">
      <alignment horizontal="center" vertical="center"/>
    </xf>
    <xf numFmtId="174" fontId="31" fillId="33" borderId="10" xfId="0" applyNumberFormat="1" applyFont="1" applyFill="1" applyBorder="1" applyAlignment="1" applyProtection="1">
      <alignment horizontal="center"/>
      <protection locked="0"/>
    </xf>
    <xf numFmtId="178" fontId="31" fillId="34" borderId="0" xfId="0" applyNumberFormat="1" applyFont="1" applyFill="1" applyBorder="1" applyAlignment="1">
      <alignment horizontal="center"/>
    </xf>
    <xf numFmtId="178" fontId="31" fillId="0" borderId="31" xfId="0" applyNumberFormat="1" applyFont="1" applyBorder="1" applyAlignment="1">
      <alignment horizontal="center"/>
    </xf>
    <xf numFmtId="0" fontId="31" fillId="34" borderId="0" xfId="0" applyFont="1" applyFill="1" applyBorder="1" applyAlignment="1">
      <alignment horizontal="center"/>
    </xf>
    <xf numFmtId="179" fontId="31" fillId="34" borderId="0" xfId="0" applyNumberFormat="1" applyFont="1" applyFill="1" applyBorder="1" applyAlignment="1">
      <alignment horizontal="center"/>
    </xf>
    <xf numFmtId="0" fontId="31" fillId="0" borderId="31" xfId="0" applyFont="1" applyBorder="1" applyAlignment="1">
      <alignment horizontal="center"/>
    </xf>
    <xf numFmtId="0" fontId="31" fillId="34" borderId="18" xfId="0" applyFont="1" applyFill="1" applyBorder="1" applyAlignment="1">
      <alignment horizontal="center"/>
    </xf>
    <xf numFmtId="0" fontId="31" fillId="34" borderId="35" xfId="0" applyFont="1" applyFill="1" applyBorder="1" applyAlignment="1">
      <alignment vertical="top" wrapText="1"/>
    </xf>
    <xf numFmtId="0" fontId="31" fillId="0" borderId="0" xfId="0" applyFont="1" applyAlignment="1">
      <alignment vertical="top" wrapText="1"/>
    </xf>
    <xf numFmtId="0" fontId="31" fillId="0" borderId="31" xfId="0" applyFont="1" applyBorder="1" applyAlignment="1">
      <alignment vertical="top" wrapText="1"/>
    </xf>
  </cellXfs>
  <cellStyles count="4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6" xfId="48"/>
    <cellStyle name="Comma 7"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2" xfId="59"/>
    <cellStyle name="Hyperlink 3 2" xfId="60"/>
    <cellStyle name="Hyperlink 3 3" xfId="61"/>
    <cellStyle name="Hyperlink 3 4" xfId="62"/>
    <cellStyle name="Hyperlink 4 2" xfId="63"/>
    <cellStyle name="Hyperlink 7" xfId="64"/>
    <cellStyle name="Hyperlink 7 2" xfId="65"/>
    <cellStyle name="Input" xfId="66"/>
    <cellStyle name="Linked Cell" xfId="67"/>
    <cellStyle name="Neutral" xfId="68"/>
    <cellStyle name="Normal 10" xfId="69"/>
    <cellStyle name="Normal 10 2" xfId="70"/>
    <cellStyle name="Normal 10 2 2" xfId="71"/>
    <cellStyle name="Normal 10 3" xfId="72"/>
    <cellStyle name="Normal 10 4" xfId="73"/>
    <cellStyle name="Normal 10 5" xfId="74"/>
    <cellStyle name="Normal 10 6" xfId="75"/>
    <cellStyle name="Normal 11" xfId="76"/>
    <cellStyle name="Normal 11 2" xfId="77"/>
    <cellStyle name="Normal 11 2 2" xfId="78"/>
    <cellStyle name="Normal 11 3" xfId="79"/>
    <cellStyle name="Normal 11 4" xfId="80"/>
    <cellStyle name="Normal 11 5" xfId="81"/>
    <cellStyle name="Normal 12" xfId="82"/>
    <cellStyle name="Normal 12 10" xfId="83"/>
    <cellStyle name="Normal 12 11" xfId="84"/>
    <cellStyle name="Normal 12 12" xfId="85"/>
    <cellStyle name="Normal 12 2" xfId="86"/>
    <cellStyle name="Normal 12 2 2" xfId="87"/>
    <cellStyle name="Normal 12 3" xfId="88"/>
    <cellStyle name="Normal 12 4" xfId="89"/>
    <cellStyle name="Normal 12 5" xfId="90"/>
    <cellStyle name="Normal 12 6" xfId="91"/>
    <cellStyle name="Normal 12 7" xfId="92"/>
    <cellStyle name="Normal 12 8" xfId="93"/>
    <cellStyle name="Normal 12 9" xfId="94"/>
    <cellStyle name="Normal 13" xfId="95"/>
    <cellStyle name="Normal 13 10" xfId="96"/>
    <cellStyle name="Normal 13 11" xfId="97"/>
    <cellStyle name="Normal 13 12" xfId="98"/>
    <cellStyle name="Normal 13 2" xfId="99"/>
    <cellStyle name="Normal 13 2 2" xfId="100"/>
    <cellStyle name="Normal 13 3" xfId="101"/>
    <cellStyle name="Normal 13 4" xfId="102"/>
    <cellStyle name="Normal 13 5" xfId="103"/>
    <cellStyle name="Normal 13 6" xfId="104"/>
    <cellStyle name="Normal 13 7" xfId="105"/>
    <cellStyle name="Normal 13 8" xfId="106"/>
    <cellStyle name="Normal 13 9" xfId="107"/>
    <cellStyle name="Normal 14" xfId="108"/>
    <cellStyle name="Normal 14 2" xfId="109"/>
    <cellStyle name="Normal 14 3" xfId="110"/>
    <cellStyle name="Normal 14 4" xfId="111"/>
    <cellStyle name="Normal 14 5" xfId="112"/>
    <cellStyle name="Normal 14 6" xfId="113"/>
    <cellStyle name="Normal 15" xfId="114"/>
    <cellStyle name="Normal 15 2" xfId="115"/>
    <cellStyle name="Normal 15 3" xfId="116"/>
    <cellStyle name="Normal 15 4" xfId="117"/>
    <cellStyle name="Normal 16" xfId="118"/>
    <cellStyle name="Normal 16 2" xfId="119"/>
    <cellStyle name="Normal 16 3" xfId="120"/>
    <cellStyle name="Normal 16 4" xfId="121"/>
    <cellStyle name="Normal 17" xfId="122"/>
    <cellStyle name="Normal 17 2" xfId="123"/>
    <cellStyle name="Normal 17 3" xfId="124"/>
    <cellStyle name="Normal 17 4" xfId="125"/>
    <cellStyle name="Normal 18" xfId="126"/>
    <cellStyle name="Normal 18 2" xfId="127"/>
    <cellStyle name="Normal 18 2 2" xfId="128"/>
    <cellStyle name="Normal 18 2 3" xfId="129"/>
    <cellStyle name="Normal 18 3" xfId="130"/>
    <cellStyle name="Normal 18 4" xfId="131"/>
    <cellStyle name="Normal 18 5" xfId="132"/>
    <cellStyle name="Normal 18 6" xfId="133"/>
    <cellStyle name="Normal 18 7" xfId="134"/>
    <cellStyle name="Normal 18 8"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19 7" xfId="144"/>
    <cellStyle name="Normal 2" xfId="145"/>
    <cellStyle name="Normal 2 10" xfId="146"/>
    <cellStyle name="Normal 2 10 10" xfId="147"/>
    <cellStyle name="Normal 2 10 11" xfId="148"/>
    <cellStyle name="Normal 2 10 12" xfId="149"/>
    <cellStyle name="Normal 2 10 2" xfId="150"/>
    <cellStyle name="Normal 2 10 2 2" xfId="151"/>
    <cellStyle name="Normal 2 10 3" xfId="152"/>
    <cellStyle name="Normal 2 10 3 2" xfId="153"/>
    <cellStyle name="Normal 2 10 4" xfId="154"/>
    <cellStyle name="Normal 2 10 4 2" xfId="155"/>
    <cellStyle name="Normal 2 10 5" xfId="156"/>
    <cellStyle name="Normal 2 10 5 2" xfId="157"/>
    <cellStyle name="Normal 2 10 6" xfId="158"/>
    <cellStyle name="Normal 2 10 6 2" xfId="159"/>
    <cellStyle name="Normal 2 10 7" xfId="160"/>
    <cellStyle name="Normal 2 10 7 2" xfId="161"/>
    <cellStyle name="Normal 2 10 8" xfId="162"/>
    <cellStyle name="Normal 2 10 8 2" xfId="163"/>
    <cellStyle name="Normal 2 10 9" xfId="164"/>
    <cellStyle name="Normal 2 11" xfId="165"/>
    <cellStyle name="Normal 2 11 10"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2 3" xfId="195"/>
    <cellStyle name="Normal 2 2 13" xfId="196"/>
    <cellStyle name="Normal 2 2 13 2" xfId="197"/>
    <cellStyle name="Normal 2 2 13 2 2" xfId="198"/>
    <cellStyle name="Normal 2 2 13 3" xfId="199"/>
    <cellStyle name="Normal 2 2 14" xfId="200"/>
    <cellStyle name="Normal 2 2 14 2" xfId="201"/>
    <cellStyle name="Normal 2 2 15" xfId="202"/>
    <cellStyle name="Normal 2 2 15 2" xfId="203"/>
    <cellStyle name="Normal 2 2 16" xfId="204"/>
    <cellStyle name="Normal 2 2 16 2" xfId="205"/>
    <cellStyle name="Normal 2 2 16 3" xfId="206"/>
    <cellStyle name="Normal 2 2 17" xfId="207"/>
    <cellStyle name="Normal 2 2 18" xfId="208"/>
    <cellStyle name="Normal 2 2 19" xfId="209"/>
    <cellStyle name="Normal 2 2 2" xfId="210"/>
    <cellStyle name="Normal 2 2 2 2" xfId="211"/>
    <cellStyle name="Normal 2 2 2 2 2" xfId="212"/>
    <cellStyle name="Normal 2 2 2 2 3" xfId="213"/>
    <cellStyle name="Normal 2 2 2 3" xfId="214"/>
    <cellStyle name="Normal 2 2 2 3 2" xfId="215"/>
    <cellStyle name="Normal 2 2 2 4" xfId="216"/>
    <cellStyle name="Normal 2 2 2 4 2" xfId="217"/>
    <cellStyle name="Normal 2 2 2 5" xfId="218"/>
    <cellStyle name="Normal 2 2 2 5 2" xfId="219"/>
    <cellStyle name="Normal 2 2 2 6" xfId="220"/>
    <cellStyle name="Normal 2 2 2 6 2" xfId="221"/>
    <cellStyle name="Normal 2 2 2 7" xfId="222"/>
    <cellStyle name="Normal 2 2 2 8" xfId="223"/>
    <cellStyle name="Normal 2 2 20" xfId="224"/>
    <cellStyle name="Normal 2 2 21"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3" xfId="253"/>
    <cellStyle name="Normal 2 3 3 2" xfId="254"/>
    <cellStyle name="Normal 2 3 3 3" xfId="255"/>
    <cellStyle name="Normal 2 3 4" xfId="256"/>
    <cellStyle name="Normal 2 3 5" xfId="257"/>
    <cellStyle name="Normal 2 3 6" xfId="258"/>
    <cellStyle name="Normal 2 3 7" xfId="259"/>
    <cellStyle name="Normal 2 3 8" xfId="260"/>
    <cellStyle name="Normal 2 3 9" xfId="261"/>
    <cellStyle name="Normal 2 4" xfId="262"/>
    <cellStyle name="Normal 2 4 10" xfId="263"/>
    <cellStyle name="Normal 2 4 11" xfId="264"/>
    <cellStyle name="Normal 2 4 12" xfId="265"/>
    <cellStyle name="Normal 2 4 13" xfId="266"/>
    <cellStyle name="Normal 2 4 2" xfId="267"/>
    <cellStyle name="Normal 2 4 2 2" xfId="268"/>
    <cellStyle name="Normal 2 4 2 2 2" xfId="269"/>
    <cellStyle name="Normal 2 4 2 2 3" xfId="270"/>
    <cellStyle name="Normal 2 4 2 3" xfId="271"/>
    <cellStyle name="Normal 2 4 2 4" xfId="272"/>
    <cellStyle name="Normal 2 4 3" xfId="273"/>
    <cellStyle name="Normal 2 4 3 2" xfId="274"/>
    <cellStyle name="Normal 2 4 3 3" xfId="275"/>
    <cellStyle name="Normal 2 4 4" xfId="276"/>
    <cellStyle name="Normal 2 4 5" xfId="277"/>
    <cellStyle name="Normal 2 4 6" xfId="278"/>
    <cellStyle name="Normal 2 4 7" xfId="279"/>
    <cellStyle name="Normal 2 4 8" xfId="280"/>
    <cellStyle name="Normal 2 4 9" xfId="281"/>
    <cellStyle name="Normal 2 5" xfId="282"/>
    <cellStyle name="Normal 2 5 10" xfId="283"/>
    <cellStyle name="Normal 2 5 11" xfId="284"/>
    <cellStyle name="Normal 2 5 12" xfId="285"/>
    <cellStyle name="Normal 2 5 12 2" xfId="286"/>
    <cellStyle name="Normal 2 5 2" xfId="287"/>
    <cellStyle name="Normal 2 5 2 2" xfId="288"/>
    <cellStyle name="Normal 2 5 3" xfId="289"/>
    <cellStyle name="Normal 2 5 3 2" xfId="290"/>
    <cellStyle name="Normal 2 5 4" xfId="291"/>
    <cellStyle name="Normal 2 5 5" xfId="292"/>
    <cellStyle name="Normal 2 5 6" xfId="293"/>
    <cellStyle name="Normal 2 5 7" xfId="294"/>
    <cellStyle name="Normal 2 5 8" xfId="295"/>
    <cellStyle name="Normal 2 5 9" xfId="296"/>
    <cellStyle name="Normal 2 6" xfId="297"/>
    <cellStyle name="Normal 2 6 10" xfId="298"/>
    <cellStyle name="Normal 2 6 11" xfId="299"/>
    <cellStyle name="Normal 2 6 12" xfId="300"/>
    <cellStyle name="Normal 2 6 2" xfId="301"/>
    <cellStyle name="Normal 2 6 2 2" xfId="302"/>
    <cellStyle name="Normal 2 6 3" xfId="303"/>
    <cellStyle name="Normal 2 6 3 2" xfId="304"/>
    <cellStyle name="Normal 2 6 4" xfId="305"/>
    <cellStyle name="Normal 2 6 5" xfId="306"/>
    <cellStyle name="Normal 2 6 6" xfId="307"/>
    <cellStyle name="Normal 2 6 7" xfId="308"/>
    <cellStyle name="Normal 2 6 8" xfId="309"/>
    <cellStyle name="Normal 2 6 9" xfId="310"/>
    <cellStyle name="Normal 2 7" xfId="311"/>
    <cellStyle name="Normal 2 7 10"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2" xfId="331"/>
    <cellStyle name="Normal 2 8 2 2" xfId="332"/>
    <cellStyle name="Normal 2 8 3" xfId="333"/>
    <cellStyle name="Normal 2 8 3 2" xfId="334"/>
    <cellStyle name="Normal 2 8 4" xfId="335"/>
    <cellStyle name="Normal 2 8 4 2" xfId="336"/>
    <cellStyle name="Normal 2 8 5" xfId="337"/>
    <cellStyle name="Normal 2 8 5 2" xfId="338"/>
    <cellStyle name="Normal 2 8 6" xfId="339"/>
    <cellStyle name="Normal 2 8 6 2" xfId="340"/>
    <cellStyle name="Normal 2 8 7" xfId="341"/>
    <cellStyle name="Normal 2 8 7 2" xfId="342"/>
    <cellStyle name="Normal 2 8 8" xfId="343"/>
    <cellStyle name="Normal 2 8 8 2" xfId="344"/>
    <cellStyle name="Normal 2 8 9" xfId="345"/>
    <cellStyle name="Normal 2 9" xfId="346"/>
    <cellStyle name="Normal 2 9 10" xfId="347"/>
    <cellStyle name="Normal 2 9 2" xfId="348"/>
    <cellStyle name="Normal 2 9 2 2" xfId="349"/>
    <cellStyle name="Normal 2 9 3" xfId="350"/>
    <cellStyle name="Normal 2 9 3 2" xfId="351"/>
    <cellStyle name="Normal 2 9 4" xfId="352"/>
    <cellStyle name="Normal 2 9 4 2" xfId="353"/>
    <cellStyle name="Normal 2 9 5" xfId="354"/>
    <cellStyle name="Normal 2 9 5 2" xfId="355"/>
    <cellStyle name="Normal 2 9 6" xfId="356"/>
    <cellStyle name="Normal 2 9 6 2" xfId="357"/>
    <cellStyle name="Normal 2 9 7" xfId="358"/>
    <cellStyle name="Normal 2 9 7 2" xfId="359"/>
    <cellStyle name="Normal 2 9 8" xfId="360"/>
    <cellStyle name="Normal 2 9 8 2" xfId="361"/>
    <cellStyle name="Normal 2 9 9" xfId="362"/>
    <cellStyle name="Normal 20" xfId="363"/>
    <cellStyle name="Normal 20 2" xfId="364"/>
    <cellStyle name="Normal 20 3"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2 3" xfId="382"/>
    <cellStyle name="Normal 3 2 3" xfId="383"/>
    <cellStyle name="Normal 3 2 4" xfId="384"/>
    <cellStyle name="Normal 3 3" xfId="385"/>
    <cellStyle name="Normal 3 3 2" xfId="386"/>
    <cellStyle name="Normal 3 3 2 2" xfId="387"/>
    <cellStyle name="Normal 3 3 2 3" xfId="388"/>
    <cellStyle name="Normal 3 3 3" xfId="389"/>
    <cellStyle name="Normal 3 4" xfId="390"/>
    <cellStyle name="Normal 3 5" xfId="391"/>
    <cellStyle name="Normal 3 6" xfId="392"/>
    <cellStyle name="Normal 3 7" xfId="393"/>
    <cellStyle name="Normal 3 8" xfId="394"/>
    <cellStyle name="Normal 3 9" xfId="395"/>
    <cellStyle name="Normal 4 2" xfId="396"/>
    <cellStyle name="Normal 4 2 2" xfId="397"/>
    <cellStyle name="Normal 4 2 2 2" xfId="398"/>
    <cellStyle name="Normal 4 2 2 3"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xfId="408"/>
    <cellStyle name="Normal 5 2" xfId="409"/>
    <cellStyle name="Normal 5 3" xfId="410"/>
    <cellStyle name="Normal 5 3 2" xfId="411"/>
    <cellStyle name="Normal 5 3 3" xfId="412"/>
    <cellStyle name="Normal 5 4" xfId="413"/>
    <cellStyle name="Normal 6" xfId="414"/>
    <cellStyle name="Normal 6 2" xfId="415"/>
    <cellStyle name="Normal 6 3" xfId="416"/>
    <cellStyle name="Normal 6 4" xfId="417"/>
    <cellStyle name="Normal 6 5" xfId="418"/>
    <cellStyle name="Normal 7" xfId="419"/>
    <cellStyle name="Normal 7 2" xfId="420"/>
    <cellStyle name="Normal 7 2 2" xfId="421"/>
    <cellStyle name="Normal 7 2 2 2" xfId="422"/>
    <cellStyle name="Normal 7 2 3" xfId="423"/>
    <cellStyle name="Normal 7 2 4" xfId="424"/>
    <cellStyle name="Normal 7 3" xfId="425"/>
    <cellStyle name="Normal 7 4" xfId="426"/>
    <cellStyle name="Normal 7 4 2" xfId="427"/>
    <cellStyle name="Normal 7 4 3" xfId="428"/>
    <cellStyle name="Normal 7 5" xfId="429"/>
    <cellStyle name="Normal 7 5 2" xfId="430"/>
    <cellStyle name="Normal 7 5 3" xfId="431"/>
    <cellStyle name="Normal 7 5 4" xfId="432"/>
    <cellStyle name="Normal 7 6" xfId="433"/>
    <cellStyle name="Normal 8" xfId="434"/>
    <cellStyle name="Normal 8 2" xfId="435"/>
    <cellStyle name="Normal 9" xfId="436"/>
    <cellStyle name="Normal 9 2" xfId="437"/>
    <cellStyle name="Normal 9 2 2" xfId="438"/>
    <cellStyle name="Normal 9 3" xfId="439"/>
    <cellStyle name="Normal 9 4" xfId="440"/>
    <cellStyle name="Normal 9 5" xfId="441"/>
    <cellStyle name="Normal_debt" xfId="442"/>
    <cellStyle name="Normal_lpform" xfId="443"/>
    <cellStyle name="Normal_Township 07" xfId="444"/>
    <cellStyle name="Note" xfId="445"/>
    <cellStyle name="Output" xfId="446"/>
    <cellStyle name="Percent" xfId="447"/>
    <cellStyle name="Title" xfId="448"/>
    <cellStyle name="Total" xfId="449"/>
    <cellStyle name="Warning Text" xfId="45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39" t="s">
        <v>279</v>
      </c>
      <c r="B1" s="340"/>
    </row>
    <row r="2" spans="1:2" ht="15.75">
      <c r="A2" s="339"/>
      <c r="B2" s="340"/>
    </row>
    <row r="3" ht="35.25" customHeight="1">
      <c r="A3" s="341" t="s">
        <v>381</v>
      </c>
    </row>
    <row r="4" ht="15.75">
      <c r="A4" s="342"/>
    </row>
    <row r="5" ht="15.75">
      <c r="A5" s="342" t="s">
        <v>436</v>
      </c>
    </row>
    <row r="6" ht="15.75">
      <c r="A6" s="342"/>
    </row>
    <row r="7" ht="57.75" customHeight="1">
      <c r="A7" s="343" t="s">
        <v>475</v>
      </c>
    </row>
    <row r="8" ht="15.75">
      <c r="A8" s="342"/>
    </row>
    <row r="9" spans="1:2" ht="15.75">
      <c r="A9" s="344" t="s">
        <v>430</v>
      </c>
      <c r="B9" s="340"/>
    </row>
    <row r="10" spans="1:2" ht="15.75">
      <c r="A10" s="344"/>
      <c r="B10" s="340"/>
    </row>
    <row r="11" spans="1:2" ht="15.75">
      <c r="A11" s="342" t="s">
        <v>431</v>
      </c>
      <c r="B11" s="340"/>
    </row>
    <row r="12" ht="14.25" customHeight="1">
      <c r="A12" s="148"/>
    </row>
    <row r="13" s="333" customFormat="1" ht="42" customHeight="1">
      <c r="A13" s="345" t="s">
        <v>476</v>
      </c>
    </row>
    <row r="16" ht="15.75">
      <c r="A16" s="344" t="s">
        <v>208</v>
      </c>
    </row>
    <row r="17" ht="15.75">
      <c r="A17" s="148"/>
    </row>
    <row r="18" ht="15.75">
      <c r="A18" s="268" t="s">
        <v>425</v>
      </c>
    </row>
    <row r="19" ht="17.25" customHeight="1">
      <c r="A19" s="345" t="s">
        <v>331</v>
      </c>
    </row>
    <row r="20" ht="24.75" customHeight="1">
      <c r="A20" s="346" t="s">
        <v>330</v>
      </c>
    </row>
    <row r="21" ht="52.5" customHeight="1">
      <c r="A21" s="347" t="s">
        <v>332</v>
      </c>
    </row>
    <row r="22" ht="20.25" customHeight="1">
      <c r="A22" s="348" t="s">
        <v>382</v>
      </c>
    </row>
    <row r="23" s="349" customFormat="1" ht="20.25" customHeight="1">
      <c r="A23" s="303" t="s">
        <v>429</v>
      </c>
    </row>
    <row r="24" ht="21" customHeight="1">
      <c r="A24" s="345" t="s">
        <v>278</v>
      </c>
    </row>
    <row r="25" ht="15.75">
      <c r="A25" s="148"/>
    </row>
    <row r="26" ht="15.75">
      <c r="A26" s="350" t="s">
        <v>209</v>
      </c>
    </row>
    <row r="28" ht="21" customHeight="1">
      <c r="A28" s="333" t="s">
        <v>350</v>
      </c>
    </row>
    <row r="30" ht="71.25" customHeight="1">
      <c r="A30" s="333" t="s">
        <v>157</v>
      </c>
    </row>
    <row r="31" ht="49.5" customHeight="1">
      <c r="A31" s="351" t="s">
        <v>428</v>
      </c>
    </row>
    <row r="32" ht="73.5" customHeight="1">
      <c r="A32" s="380" t="s">
        <v>740</v>
      </c>
    </row>
    <row r="33" ht="69.75" customHeight="1">
      <c r="A33" s="381" t="s">
        <v>741</v>
      </c>
    </row>
    <row r="35" ht="71.25" customHeight="1">
      <c r="A35" s="333" t="s">
        <v>158</v>
      </c>
    </row>
    <row r="36" ht="57.75" customHeight="1">
      <c r="A36" s="333" t="s">
        <v>742</v>
      </c>
    </row>
    <row r="37" ht="105" customHeight="1">
      <c r="A37" s="333" t="s">
        <v>743</v>
      </c>
    </row>
    <row r="38" ht="15.75">
      <c r="A38" s="333"/>
    </row>
    <row r="39" ht="70.5" customHeight="1">
      <c r="A39" s="333" t="s">
        <v>744</v>
      </c>
    </row>
    <row r="40" ht="70.5" customHeight="1">
      <c r="A40" s="333" t="s">
        <v>745</v>
      </c>
    </row>
    <row r="41" ht="39" customHeight="1">
      <c r="A41" s="333" t="s">
        <v>746</v>
      </c>
    </row>
    <row r="42" ht="15.75">
      <c r="A42" s="333"/>
    </row>
    <row r="43" ht="71.25" customHeight="1">
      <c r="A43" s="333" t="s">
        <v>747</v>
      </c>
    </row>
    <row r="44" ht="42" customHeight="1">
      <c r="A44" s="333" t="s">
        <v>748</v>
      </c>
    </row>
    <row r="45" ht="44.25" customHeight="1">
      <c r="A45" s="333" t="s">
        <v>749</v>
      </c>
    </row>
    <row r="47" ht="51.75" customHeight="1">
      <c r="A47" s="333" t="s">
        <v>750</v>
      </c>
    </row>
    <row r="49" ht="35.25" customHeight="1">
      <c r="A49" s="333" t="s">
        <v>751</v>
      </c>
    </row>
    <row r="50" ht="23.25" customHeight="1">
      <c r="A50" s="98" t="s">
        <v>752</v>
      </c>
    </row>
    <row r="51" ht="72.75" customHeight="1">
      <c r="A51" s="333" t="s">
        <v>11</v>
      </c>
    </row>
    <row r="52" ht="29.25" customHeight="1">
      <c r="A52" s="333" t="s">
        <v>753</v>
      </c>
    </row>
    <row r="54" ht="72" customHeight="1">
      <c r="A54" s="333" t="s">
        <v>754</v>
      </c>
    </row>
    <row r="56" ht="67.5" customHeight="1">
      <c r="A56" s="333" t="s">
        <v>755</v>
      </c>
    </row>
    <row r="57" ht="15.75">
      <c r="A57" s="333"/>
    </row>
    <row r="58" ht="53.25" customHeight="1">
      <c r="A58" s="333" t="s">
        <v>0</v>
      </c>
    </row>
    <row r="59" ht="70.5" customHeight="1">
      <c r="A59" s="565" t="s">
        <v>159</v>
      </c>
    </row>
    <row r="60" ht="53.25" customHeight="1">
      <c r="A60" s="565" t="s">
        <v>160</v>
      </c>
    </row>
    <row r="61" ht="53.25" customHeight="1">
      <c r="A61" s="566" t="s">
        <v>161</v>
      </c>
    </row>
    <row r="62" ht="68.25" customHeight="1">
      <c r="A62" s="565" t="s">
        <v>162</v>
      </c>
    </row>
    <row r="63" ht="69" customHeight="1">
      <c r="A63" s="333" t="s">
        <v>163</v>
      </c>
    </row>
    <row r="64" ht="90" customHeight="1">
      <c r="A64" s="333" t="s">
        <v>164</v>
      </c>
    </row>
    <row r="65" ht="113.25" customHeight="1">
      <c r="A65" s="353" t="s">
        <v>165</v>
      </c>
    </row>
    <row r="66" ht="105.75" customHeight="1">
      <c r="A66" s="354" t="s">
        <v>166</v>
      </c>
    </row>
    <row r="67" ht="77.25" customHeight="1">
      <c r="A67" s="355" t="s">
        <v>167</v>
      </c>
    </row>
    <row r="68" ht="91.5" customHeight="1">
      <c r="A68" s="333" t="s">
        <v>168</v>
      </c>
    </row>
    <row r="69" ht="113.25" customHeight="1">
      <c r="A69" s="356" t="s">
        <v>169</v>
      </c>
    </row>
    <row r="70" ht="11.25" customHeight="1">
      <c r="A70" s="333"/>
    </row>
    <row r="71" ht="120.75" customHeight="1">
      <c r="A71" s="333" t="s">
        <v>1</v>
      </c>
    </row>
    <row r="72" ht="108" customHeight="1">
      <c r="A72" s="352" t="s">
        <v>2</v>
      </c>
    </row>
    <row r="73" ht="66" customHeight="1">
      <c r="A73" s="352" t="s">
        <v>3</v>
      </c>
    </row>
    <row r="74" ht="21" customHeight="1">
      <c r="A74" s="333" t="s">
        <v>4</v>
      </c>
    </row>
    <row r="75" ht="11.25" customHeight="1">
      <c r="A75" s="333"/>
    </row>
    <row r="76" s="333" customFormat="1" ht="50.25" customHeight="1">
      <c r="A76" s="333" t="s">
        <v>5</v>
      </c>
    </row>
    <row r="77" s="333" customFormat="1" ht="23.25" customHeight="1">
      <c r="A77" s="333" t="s">
        <v>8</v>
      </c>
    </row>
    <row r="78" s="333" customFormat="1" ht="70.5" customHeight="1">
      <c r="A78" s="565" t="s">
        <v>170</v>
      </c>
    </row>
    <row r="79" s="333" customFormat="1" ht="88.5" customHeight="1">
      <c r="A79" s="565" t="s">
        <v>171</v>
      </c>
    </row>
    <row r="80" s="333" customFormat="1" ht="43.5" customHeight="1">
      <c r="A80" s="333" t="s">
        <v>172</v>
      </c>
    </row>
    <row r="81" s="333" customFormat="1" ht="54" customHeight="1">
      <c r="A81" s="333" t="s">
        <v>173</v>
      </c>
    </row>
    <row r="83" s="333" customFormat="1" ht="33.75" customHeight="1">
      <c r="A83" s="333" t="s">
        <v>6</v>
      </c>
    </row>
    <row r="85" ht="21.75" customHeight="1">
      <c r="A85" s="333" t="s">
        <v>7</v>
      </c>
    </row>
    <row r="87" ht="49.5" customHeight="1">
      <c r="A87" s="565" t="s">
        <v>174</v>
      </c>
    </row>
    <row r="88" ht="81.75" customHeight="1">
      <c r="A88" s="565" t="s">
        <v>175</v>
      </c>
    </row>
    <row r="89" ht="97.5" customHeight="1">
      <c r="A89" s="565" t="s">
        <v>176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N. Centropolis Fire</v>
      </c>
      <c r="B1" s="18"/>
      <c r="C1" s="18"/>
      <c r="D1" s="18"/>
      <c r="E1" s="18"/>
      <c r="F1" s="18"/>
      <c r="G1" s="18"/>
      <c r="H1" s="18"/>
      <c r="I1" s="18"/>
      <c r="J1" s="18"/>
      <c r="K1" s="187">
        <f>inputPrYr!D6</f>
        <v>2012</v>
      </c>
    </row>
    <row r="2" spans="1:11" ht="15.75">
      <c r="A2" s="18" t="str">
        <f>inputPrYr!$D$4</f>
        <v>Franklin County</v>
      </c>
      <c r="B2" s="18"/>
      <c r="C2" s="18"/>
      <c r="D2" s="18"/>
      <c r="E2" s="18"/>
      <c r="F2" s="18"/>
      <c r="G2" s="18"/>
      <c r="H2" s="18"/>
      <c r="I2" s="18"/>
      <c r="J2" s="18"/>
      <c r="K2" s="140"/>
    </row>
    <row r="3" spans="1:11" ht="15.75">
      <c r="A3" s="18"/>
      <c r="B3" s="18"/>
      <c r="C3" s="18"/>
      <c r="D3" s="18"/>
      <c r="E3" s="18"/>
      <c r="F3" s="18"/>
      <c r="G3" s="18"/>
      <c r="H3" s="18"/>
      <c r="I3" s="18"/>
      <c r="J3" s="18"/>
      <c r="K3" s="140"/>
    </row>
    <row r="4" spans="1:11" s="190" customFormat="1" ht="15.75">
      <c r="A4" s="188" t="s">
        <v>287</v>
      </c>
      <c r="B4" s="189"/>
      <c r="C4" s="189"/>
      <c r="D4" s="26"/>
      <c r="E4" s="189"/>
      <c r="F4" s="189"/>
      <c r="G4" s="189"/>
      <c r="H4" s="189"/>
      <c r="I4" s="189"/>
      <c r="J4" s="189"/>
      <c r="K4" s="189"/>
    </row>
    <row r="5" spans="1:11" s="190" customFormat="1" ht="15.75">
      <c r="A5" s="191"/>
      <c r="B5" s="191"/>
      <c r="C5" s="191"/>
      <c r="D5" s="191"/>
      <c r="E5" s="191"/>
      <c r="F5" s="191"/>
      <c r="G5" s="191"/>
      <c r="H5" s="191"/>
      <c r="I5" s="191"/>
      <c r="J5" s="191"/>
      <c r="K5" s="191"/>
    </row>
    <row r="6" spans="1:11" s="190" customFormat="1" ht="15.75">
      <c r="A6" s="18"/>
      <c r="B6" s="104" t="s">
        <v>260</v>
      </c>
      <c r="C6" s="104" t="s">
        <v>269</v>
      </c>
      <c r="D6" s="104"/>
      <c r="E6" s="104" t="s">
        <v>234</v>
      </c>
      <c r="F6" s="192"/>
      <c r="G6" s="193"/>
      <c r="H6" s="192" t="s">
        <v>261</v>
      </c>
      <c r="I6" s="193"/>
      <c r="J6" s="192" t="s">
        <v>261</v>
      </c>
      <c r="K6" s="193"/>
    </row>
    <row r="7" spans="1:11" s="190" customFormat="1" ht="15.75">
      <c r="A7" s="18"/>
      <c r="B7" s="107" t="s">
        <v>262</v>
      </c>
      <c r="C7" s="107" t="s">
        <v>263</v>
      </c>
      <c r="D7" s="107" t="s">
        <v>234</v>
      </c>
      <c r="E7" s="107" t="s">
        <v>334</v>
      </c>
      <c r="F7" s="194" t="s">
        <v>264</v>
      </c>
      <c r="G7" s="195"/>
      <c r="H7" s="194">
        <f>K1-1</f>
        <v>2011</v>
      </c>
      <c r="I7" s="195"/>
      <c r="J7" s="194">
        <f>K1</f>
        <v>2012</v>
      </c>
      <c r="K7" s="195"/>
    </row>
    <row r="8" spans="1:11" s="190" customFormat="1" ht="15.75">
      <c r="A8" s="196" t="s">
        <v>265</v>
      </c>
      <c r="B8" s="116" t="s">
        <v>266</v>
      </c>
      <c r="C8" s="116" t="s">
        <v>246</v>
      </c>
      <c r="D8" s="116" t="s">
        <v>267</v>
      </c>
      <c r="E8" s="197" t="str">
        <f>CONCATENATE("Jan 1,",K1-1,"")</f>
        <v>Jan 1,2011</v>
      </c>
      <c r="F8" s="113" t="s">
        <v>269</v>
      </c>
      <c r="G8" s="113" t="s">
        <v>270</v>
      </c>
      <c r="H8" s="113" t="s">
        <v>269</v>
      </c>
      <c r="I8" s="113" t="s">
        <v>270</v>
      </c>
      <c r="J8" s="113" t="s">
        <v>269</v>
      </c>
      <c r="K8" s="113" t="s">
        <v>270</v>
      </c>
    </row>
    <row r="9" spans="1:11" s="190" customFormat="1" ht="15.75">
      <c r="A9" s="35" t="s">
        <v>383</v>
      </c>
      <c r="B9" s="198"/>
      <c r="C9" s="35"/>
      <c r="D9" s="35"/>
      <c r="E9" s="35"/>
      <c r="F9" s="199"/>
      <c r="G9" s="199"/>
      <c r="H9" s="35"/>
      <c r="I9" s="35"/>
      <c r="J9" s="35"/>
      <c r="K9" s="35"/>
    </row>
    <row r="10" spans="1:11" s="190" customFormat="1" ht="15.75">
      <c r="A10" s="200"/>
      <c r="B10" s="401"/>
      <c r="C10" s="200"/>
      <c r="D10" s="200"/>
      <c r="E10" s="58"/>
      <c r="F10" s="201"/>
      <c r="G10" s="201"/>
      <c r="H10" s="200"/>
      <c r="I10" s="200"/>
      <c r="J10" s="200"/>
      <c r="K10" s="200"/>
    </row>
    <row r="11" spans="1:11" s="190" customFormat="1" ht="15.75">
      <c r="A11" s="36"/>
      <c r="B11" s="402"/>
      <c r="C11" s="202"/>
      <c r="D11" s="37"/>
      <c r="E11" s="37"/>
      <c r="F11" s="203"/>
      <c r="G11" s="203"/>
      <c r="H11" s="204"/>
      <c r="I11" s="204"/>
      <c r="J11" s="204"/>
      <c r="K11" s="204"/>
    </row>
    <row r="12" spans="1:11" s="190" customFormat="1" ht="15.75">
      <c r="A12" s="205" t="s">
        <v>384</v>
      </c>
      <c r="B12" s="206"/>
      <c r="C12" s="207"/>
      <c r="D12" s="208"/>
      <c r="E12" s="209">
        <f>SUM(E10:E11)</f>
        <v>0</v>
      </c>
      <c r="F12" s="210"/>
      <c r="G12" s="210"/>
      <c r="H12" s="209">
        <f>SUM(H10:H11)</f>
        <v>0</v>
      </c>
      <c r="I12" s="209">
        <f>SUM(I10:I11)</f>
        <v>0</v>
      </c>
      <c r="J12" s="209">
        <f>SUM(J10:J11)</f>
        <v>0</v>
      </c>
      <c r="K12" s="209">
        <f>SUM(K10:K11)</f>
        <v>0</v>
      </c>
    </row>
    <row r="13" spans="1:11" s="190" customFormat="1" ht="15.75">
      <c r="A13" s="205" t="s">
        <v>385</v>
      </c>
      <c r="B13" s="206"/>
      <c r="C13" s="207"/>
      <c r="D13" s="208"/>
      <c r="E13" s="126"/>
      <c r="F13" s="210"/>
      <c r="G13" s="210"/>
      <c r="H13" s="126"/>
      <c r="I13" s="126"/>
      <c r="J13" s="126"/>
      <c r="K13" s="126"/>
    </row>
    <row r="14" spans="1:11" s="190" customFormat="1" ht="15.75">
      <c r="A14" s="36"/>
      <c r="B14" s="402"/>
      <c r="C14" s="202"/>
      <c r="D14" s="37"/>
      <c r="E14" s="204"/>
      <c r="F14" s="203"/>
      <c r="G14" s="203"/>
      <c r="H14" s="204"/>
      <c r="I14" s="204"/>
      <c r="J14" s="204"/>
      <c r="K14" s="204"/>
    </row>
    <row r="15" spans="1:11" s="190" customFormat="1" ht="15.75">
      <c r="A15" s="36"/>
      <c r="B15" s="402"/>
      <c r="C15" s="202"/>
      <c r="D15" s="37"/>
      <c r="E15" s="204"/>
      <c r="F15" s="203"/>
      <c r="G15" s="203"/>
      <c r="H15" s="204"/>
      <c r="I15" s="204"/>
      <c r="J15" s="204"/>
      <c r="K15" s="204"/>
    </row>
    <row r="16" spans="1:11" s="190" customFormat="1" ht="15.75">
      <c r="A16" s="205" t="s">
        <v>386</v>
      </c>
      <c r="B16" s="206"/>
      <c r="C16" s="207"/>
      <c r="D16" s="208"/>
      <c r="E16" s="126">
        <f>SUM(E14:E15)</f>
        <v>0</v>
      </c>
      <c r="F16" s="210"/>
      <c r="G16" s="210"/>
      <c r="H16" s="209">
        <f>SUM(H14:H15)</f>
        <v>0</v>
      </c>
      <c r="I16" s="209">
        <f>SUM(I14:I15)</f>
        <v>0</v>
      </c>
      <c r="J16" s="209">
        <f>SUM(J14:J15)</f>
        <v>0</v>
      </c>
      <c r="K16" s="209">
        <f>SUM(K14:K15)</f>
        <v>0</v>
      </c>
    </row>
    <row r="17" spans="1:11" s="190" customFormat="1" ht="15.75">
      <c r="A17" s="205" t="s">
        <v>387</v>
      </c>
      <c r="B17" s="206"/>
      <c r="C17" s="207"/>
      <c r="D17" s="208"/>
      <c r="E17" s="126"/>
      <c r="F17" s="210"/>
      <c r="G17" s="210"/>
      <c r="H17" s="126"/>
      <c r="I17" s="126"/>
      <c r="J17" s="126"/>
      <c r="K17" s="126"/>
    </row>
    <row r="18" spans="1:11" s="190" customFormat="1" ht="15.75">
      <c r="A18" s="36"/>
      <c r="B18" s="402"/>
      <c r="C18" s="202"/>
      <c r="D18" s="37"/>
      <c r="E18" s="204"/>
      <c r="F18" s="203"/>
      <c r="G18" s="203"/>
      <c r="H18" s="204"/>
      <c r="I18" s="204"/>
      <c r="J18" s="204"/>
      <c r="K18" s="204"/>
    </row>
    <row r="19" spans="1:11" s="190" customFormat="1" ht="15.75">
      <c r="A19" s="36"/>
      <c r="B19" s="402"/>
      <c r="C19" s="202"/>
      <c r="D19" s="37"/>
      <c r="E19" s="204"/>
      <c r="F19" s="203"/>
      <c r="G19" s="203"/>
      <c r="H19" s="204"/>
      <c r="I19" s="204"/>
      <c r="J19" s="204"/>
      <c r="K19" s="204"/>
    </row>
    <row r="20" spans="1:11" s="190" customFormat="1" ht="15.75">
      <c r="A20" s="38" t="s">
        <v>388</v>
      </c>
      <c r="B20" s="211"/>
      <c r="C20" s="212"/>
      <c r="D20" s="47"/>
      <c r="E20" s="209">
        <f>SUM(E18:E19)</f>
        <v>0</v>
      </c>
      <c r="F20" s="210"/>
      <c r="G20" s="210"/>
      <c r="H20" s="209">
        <f>SUM(H18:H19)</f>
        <v>0</v>
      </c>
      <c r="I20" s="209">
        <f>SUM(I18:I19)</f>
        <v>0</v>
      </c>
      <c r="J20" s="209">
        <f>SUM(J18:J19)</f>
        <v>0</v>
      </c>
      <c r="K20" s="209">
        <f>SUM(K18:K19)</f>
        <v>0</v>
      </c>
    </row>
    <row r="21" spans="1:11" s="190" customFormat="1" ht="15.75">
      <c r="A21" s="213" t="s">
        <v>288</v>
      </c>
      <c r="B21" s="214"/>
      <c r="C21" s="215"/>
      <c r="D21" s="216"/>
      <c r="E21" s="217">
        <f>SUM(E12+E16+E20)</f>
        <v>0</v>
      </c>
      <c r="F21" s="214"/>
      <c r="G21" s="218"/>
      <c r="H21" s="217">
        <f>SUM(H12+H16+H20)</f>
        <v>0</v>
      </c>
      <c r="I21" s="217">
        <f>SUM(I12+I16+I20)</f>
        <v>0</v>
      </c>
      <c r="J21" s="217">
        <f>SUM(J12+J16+J20)</f>
        <v>0</v>
      </c>
      <c r="K21" s="217">
        <f>SUM(K12+K16+K20)</f>
        <v>0</v>
      </c>
    </row>
    <row r="22" spans="1:24" s="190"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1" customFormat="1" ht="15.75">
      <c r="A23" s="188" t="s">
        <v>282</v>
      </c>
      <c r="B23" s="219"/>
      <c r="C23" s="219"/>
      <c r="D23" s="219"/>
      <c r="E23" s="26"/>
      <c r="F23" s="219"/>
      <c r="G23" s="219"/>
      <c r="H23" s="219"/>
      <c r="I23" s="219"/>
      <c r="J23" s="219"/>
      <c r="K23" s="220"/>
    </row>
    <row r="24" spans="1:11" s="221" customFormat="1" ht="15.75">
      <c r="A24" s="71"/>
      <c r="B24" s="108"/>
      <c r="C24" s="108"/>
      <c r="D24" s="108"/>
      <c r="E24" s="108"/>
      <c r="F24" s="108"/>
      <c r="G24" s="108"/>
      <c r="H24" s="108"/>
      <c r="I24" s="102"/>
      <c r="J24" s="102"/>
      <c r="K24" s="220"/>
    </row>
    <row r="25" spans="1:11" s="221" customFormat="1" ht="15.75">
      <c r="A25" s="222"/>
      <c r="B25" s="222"/>
      <c r="C25" s="104" t="s">
        <v>268</v>
      </c>
      <c r="D25" s="222"/>
      <c r="E25" s="104" t="s">
        <v>216</v>
      </c>
      <c r="F25" s="222"/>
      <c r="G25" s="222"/>
      <c r="H25" s="222"/>
      <c r="I25" s="223"/>
      <c r="J25" s="224"/>
      <c r="K25" s="220"/>
    </row>
    <row r="26" spans="1:11" s="221" customFormat="1" ht="15.75">
      <c r="A26" s="225"/>
      <c r="B26" s="107"/>
      <c r="C26" s="107" t="s">
        <v>262</v>
      </c>
      <c r="D26" s="107" t="s">
        <v>269</v>
      </c>
      <c r="E26" s="107" t="s">
        <v>234</v>
      </c>
      <c r="F26" s="107" t="s">
        <v>270</v>
      </c>
      <c r="G26" s="107" t="s">
        <v>271</v>
      </c>
      <c r="H26" s="107" t="s">
        <v>271</v>
      </c>
      <c r="I26" s="220"/>
      <c r="J26" s="220"/>
      <c r="K26" s="220"/>
    </row>
    <row r="27" spans="1:11" s="221" customFormat="1" ht="15.75">
      <c r="A27" s="225"/>
      <c r="B27" s="107" t="s">
        <v>272</v>
      </c>
      <c r="C27" s="107" t="s">
        <v>273</v>
      </c>
      <c r="D27" s="107" t="s">
        <v>263</v>
      </c>
      <c r="E27" s="107" t="s">
        <v>274</v>
      </c>
      <c r="F27" s="107" t="s">
        <v>314</v>
      </c>
      <c r="G27" s="107" t="s">
        <v>275</v>
      </c>
      <c r="H27" s="107" t="s">
        <v>275</v>
      </c>
      <c r="I27" s="220"/>
      <c r="J27" s="220"/>
      <c r="K27" s="220"/>
    </row>
    <row r="28" spans="1:11" s="221" customFormat="1" ht="15.75">
      <c r="A28" s="226" t="s">
        <v>276</v>
      </c>
      <c r="B28" s="116" t="s">
        <v>260</v>
      </c>
      <c r="C28" s="227" t="s">
        <v>277</v>
      </c>
      <c r="D28" s="116" t="s">
        <v>246</v>
      </c>
      <c r="E28" s="227" t="s">
        <v>335</v>
      </c>
      <c r="F28" s="197" t="str">
        <f>E8</f>
        <v>Jan 1,2011</v>
      </c>
      <c r="G28" s="116">
        <f>K1-1</f>
        <v>2011</v>
      </c>
      <c r="H28" s="116">
        <f>K1</f>
        <v>2012</v>
      </c>
      <c r="I28" s="220"/>
      <c r="J28" s="220"/>
      <c r="K28" s="220"/>
    </row>
    <row r="29" spans="1:11" s="221" customFormat="1" ht="15.75">
      <c r="A29" s="36"/>
      <c r="B29" s="402"/>
      <c r="C29" s="228"/>
      <c r="D29" s="202"/>
      <c r="E29" s="37"/>
      <c r="F29" s="37"/>
      <c r="G29" s="37"/>
      <c r="H29" s="37"/>
      <c r="I29" s="220"/>
      <c r="J29" s="220"/>
      <c r="K29" s="220"/>
    </row>
    <row r="30" spans="1:11" s="221" customFormat="1" ht="15.75">
      <c r="A30" s="36"/>
      <c r="B30" s="402"/>
      <c r="C30" s="228"/>
      <c r="D30" s="202"/>
      <c r="E30" s="37"/>
      <c r="F30" s="37"/>
      <c r="G30" s="37"/>
      <c r="H30" s="37"/>
      <c r="I30" s="220"/>
      <c r="J30" s="220"/>
      <c r="K30" s="220"/>
    </row>
    <row r="31" spans="1:11" s="221" customFormat="1" ht="15.75">
      <c r="A31" s="36"/>
      <c r="B31" s="402"/>
      <c r="C31" s="228"/>
      <c r="D31" s="202"/>
      <c r="E31" s="37"/>
      <c r="F31" s="37"/>
      <c r="G31" s="37"/>
      <c r="H31" s="37"/>
      <c r="I31" s="220"/>
      <c r="J31" s="220"/>
      <c r="K31" s="220"/>
    </row>
    <row r="32" spans="1:11" s="221" customFormat="1" ht="15.75">
      <c r="A32" s="36"/>
      <c r="B32" s="402"/>
      <c r="C32" s="228"/>
      <c r="D32" s="202"/>
      <c r="E32" s="37"/>
      <c r="F32" s="37"/>
      <c r="G32" s="37"/>
      <c r="H32" s="37"/>
      <c r="I32" s="220"/>
      <c r="J32" s="220"/>
      <c r="K32" s="220"/>
    </row>
    <row r="33" spans="1:11" s="221" customFormat="1" ht="15.75">
      <c r="A33" s="36"/>
      <c r="B33" s="402"/>
      <c r="C33" s="228"/>
      <c r="D33" s="202"/>
      <c r="E33" s="37"/>
      <c r="F33" s="37"/>
      <c r="G33" s="37"/>
      <c r="H33" s="37"/>
      <c r="I33" s="220"/>
      <c r="J33" s="220"/>
      <c r="K33" s="220"/>
    </row>
    <row r="34" spans="1:11" s="221" customFormat="1" ht="15.75">
      <c r="A34" s="36"/>
      <c r="B34" s="402"/>
      <c r="C34" s="228"/>
      <c r="D34" s="202"/>
      <c r="E34" s="37"/>
      <c r="F34" s="37"/>
      <c r="G34" s="37"/>
      <c r="H34" s="37"/>
      <c r="I34" s="220"/>
      <c r="J34" s="220"/>
      <c r="K34" s="220"/>
    </row>
    <row r="35" spans="1:11" s="221" customFormat="1" ht="15.75">
      <c r="A35" s="36"/>
      <c r="B35" s="402"/>
      <c r="C35" s="228"/>
      <c r="D35" s="202"/>
      <c r="E35" s="37"/>
      <c r="F35" s="37"/>
      <c r="G35" s="37"/>
      <c r="H35" s="37"/>
      <c r="I35" s="220"/>
      <c r="J35" s="220"/>
      <c r="K35" s="220"/>
    </row>
    <row r="36" spans="1:11" s="221" customFormat="1" ht="15.75">
      <c r="A36" s="36"/>
      <c r="B36" s="402"/>
      <c r="C36" s="228"/>
      <c r="D36" s="202"/>
      <c r="E36" s="37"/>
      <c r="F36" s="37"/>
      <c r="G36" s="37"/>
      <c r="H36" s="37"/>
      <c r="I36" s="220"/>
      <c r="J36" s="220"/>
      <c r="K36" s="220"/>
    </row>
    <row r="37" spans="1:11" s="221" customFormat="1" ht="15.75">
      <c r="A37" s="36"/>
      <c r="B37" s="402"/>
      <c r="C37" s="228"/>
      <c r="D37" s="202"/>
      <c r="E37" s="37"/>
      <c r="F37" s="37"/>
      <c r="G37" s="37"/>
      <c r="H37" s="37"/>
      <c r="I37" s="220"/>
      <c r="J37" s="220"/>
      <c r="K37" s="220"/>
    </row>
    <row r="38" spans="1:11" s="221" customFormat="1" ht="15.75">
      <c r="A38" s="36"/>
      <c r="B38" s="402"/>
      <c r="C38" s="228"/>
      <c r="D38" s="202"/>
      <c r="E38" s="37"/>
      <c r="F38" s="37"/>
      <c r="G38" s="37"/>
      <c r="H38" s="37"/>
      <c r="I38" s="220"/>
      <c r="J38" s="220"/>
      <c r="K38" s="220"/>
    </row>
    <row r="39" spans="1:11" s="221" customFormat="1" ht="15.75">
      <c r="A39" s="36"/>
      <c r="B39" s="402"/>
      <c r="C39" s="228"/>
      <c r="D39" s="202"/>
      <c r="E39" s="37"/>
      <c r="F39" s="37"/>
      <c r="G39" s="37"/>
      <c r="H39" s="37"/>
      <c r="I39" s="220"/>
      <c r="J39" s="220"/>
      <c r="K39" s="220"/>
    </row>
    <row r="40" spans="1:11" s="221" customFormat="1" ht="15.75">
      <c r="A40" s="36"/>
      <c r="B40" s="402"/>
      <c r="C40" s="228"/>
      <c r="D40" s="202"/>
      <c r="E40" s="37"/>
      <c r="F40" s="37"/>
      <c r="G40" s="37"/>
      <c r="H40" s="37"/>
      <c r="I40" s="220"/>
      <c r="J40" s="220"/>
      <c r="K40" s="220"/>
    </row>
    <row r="41" spans="1:11" s="190" customFormat="1" ht="15.75">
      <c r="A41" s="229" t="s">
        <v>288</v>
      </c>
      <c r="B41" s="230"/>
      <c r="C41" s="231"/>
      <c r="D41" s="232"/>
      <c r="E41" s="233">
        <f>SUM(E29:E40)</f>
        <v>0</v>
      </c>
      <c r="F41" s="234">
        <f>SUM(F29:F40)</f>
        <v>0</v>
      </c>
      <c r="G41" s="234">
        <f>SUM(G29:G40)</f>
        <v>0</v>
      </c>
      <c r="H41" s="234">
        <f>SUM(H29:H40)</f>
        <v>0</v>
      </c>
      <c r="I41" s="191"/>
      <c r="J41" s="191"/>
      <c r="K41" s="79"/>
    </row>
    <row r="42" spans="1:11" ht="15.75">
      <c r="A42" s="54"/>
      <c r="B42" s="54"/>
      <c r="C42" s="54"/>
      <c r="D42" s="54"/>
      <c r="E42" s="54"/>
      <c r="F42" s="54"/>
      <c r="G42" s="54"/>
      <c r="H42" s="54"/>
      <c r="I42" s="18"/>
      <c r="J42" s="18"/>
      <c r="K42" s="18"/>
    </row>
    <row r="43" spans="1:11" ht="15.75">
      <c r="A43" s="235" t="s">
        <v>439</v>
      </c>
      <c r="B43" s="186"/>
      <c r="C43" s="186"/>
      <c r="D43" s="186"/>
      <c r="E43" s="186"/>
      <c r="F43" s="186"/>
      <c r="G43" s="186"/>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5">
      <selection activeCell="E40" sqref="E4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 Centropolis Fire</v>
      </c>
      <c r="C1" s="236"/>
      <c r="D1" s="18"/>
      <c r="E1" s="187"/>
    </row>
    <row r="2" spans="2:5" ht="15.75">
      <c r="B2" s="18" t="str">
        <f>inputPrYr!D4</f>
        <v>Franklin County</v>
      </c>
      <c r="C2" s="236"/>
      <c r="D2" s="18"/>
      <c r="E2" s="140"/>
    </row>
    <row r="3" spans="2:6" ht="15.75">
      <c r="B3" s="540" t="s">
        <v>283</v>
      </c>
      <c r="C3" s="236"/>
      <c r="D3" s="18"/>
      <c r="E3" s="237"/>
      <c r="F3" s="187">
        <f>inputPrYr!$D$6</f>
        <v>2012</v>
      </c>
    </row>
    <row r="4" spans="2:5" ht="15.75">
      <c r="B4" s="18"/>
      <c r="C4" s="102"/>
      <c r="D4" s="102"/>
      <c r="E4" s="102"/>
    </row>
    <row r="5" spans="2:5" ht="15.75">
      <c r="B5" s="17" t="s">
        <v>235</v>
      </c>
      <c r="C5" s="391" t="s">
        <v>457</v>
      </c>
      <c r="D5" s="392" t="s">
        <v>456</v>
      </c>
      <c r="E5" s="238" t="s">
        <v>453</v>
      </c>
    </row>
    <row r="6" spans="2:5" ht="15.75">
      <c r="B6" s="415" t="str">
        <f>inputPrYr!B19</f>
        <v>General</v>
      </c>
      <c r="C6" s="393" t="str">
        <f>CONCATENATE("Actual ",F3-2,"")</f>
        <v>Actual 2010</v>
      </c>
      <c r="D6" s="393" t="str">
        <f>CONCATENATE("Estimate ",F3-1,"")</f>
        <v>Estimate 2011</v>
      </c>
      <c r="E6" s="239" t="str">
        <f>CONCATENATE("Year ",F3,"")</f>
        <v>Year 2012</v>
      </c>
    </row>
    <row r="7" spans="2:5" ht="15.75">
      <c r="B7" s="121" t="s">
        <v>327</v>
      </c>
      <c r="C7" s="387">
        <v>7079</v>
      </c>
      <c r="D7" s="394">
        <f>C51</f>
        <v>9941</v>
      </c>
      <c r="E7" s="47">
        <f>D51</f>
        <v>9161</v>
      </c>
    </row>
    <row r="8" spans="2:5" ht="15.75">
      <c r="B8" s="241" t="s">
        <v>329</v>
      </c>
      <c r="C8" s="242"/>
      <c r="D8" s="242"/>
      <c r="E8" s="126"/>
    </row>
    <row r="9" spans="2:5" ht="15.75">
      <c r="B9" s="121" t="s">
        <v>236</v>
      </c>
      <c r="C9" s="387">
        <v>11007</v>
      </c>
      <c r="D9" s="394">
        <f>inputPrYr!E19</f>
        <v>8622</v>
      </c>
      <c r="E9" s="130" t="s">
        <v>231</v>
      </c>
    </row>
    <row r="10" spans="2:5" ht="15.75">
      <c r="B10" s="121" t="s">
        <v>237</v>
      </c>
      <c r="C10" s="387"/>
      <c r="D10" s="387"/>
      <c r="E10" s="204"/>
    </row>
    <row r="11" spans="2:5" ht="15.75">
      <c r="B11" s="121" t="s">
        <v>238</v>
      </c>
      <c r="C11" s="387"/>
      <c r="D11" s="387">
        <v>1778</v>
      </c>
      <c r="E11" s="47">
        <f>mvalloc!D11</f>
        <v>1685</v>
      </c>
    </row>
    <row r="12" spans="2:5" ht="15.75">
      <c r="B12" s="121" t="s">
        <v>239</v>
      </c>
      <c r="C12" s="387"/>
      <c r="D12" s="387">
        <v>42</v>
      </c>
      <c r="E12" s="47">
        <f>mvalloc!E11</f>
        <v>36</v>
      </c>
    </row>
    <row r="13" spans="2:5" ht="15.75">
      <c r="B13" s="242" t="s">
        <v>311</v>
      </c>
      <c r="C13" s="387"/>
      <c r="D13" s="387">
        <v>78</v>
      </c>
      <c r="E13" s="47">
        <f>mvalloc!F11</f>
        <v>69</v>
      </c>
    </row>
    <row r="14" spans="2:5" ht="15.75">
      <c r="B14" s="242" t="s">
        <v>362</v>
      </c>
      <c r="C14" s="387"/>
      <c r="D14" s="387"/>
      <c r="E14" s="47">
        <f>inputOth!E30</f>
        <v>0</v>
      </c>
    </row>
    <row r="15" spans="2:5" ht="15.75">
      <c r="B15" s="242" t="s">
        <v>363</v>
      </c>
      <c r="C15" s="387"/>
      <c r="D15" s="387"/>
      <c r="E15" s="47">
        <f>mvalloc!G11</f>
        <v>0</v>
      </c>
    </row>
    <row r="16" spans="2:5" ht="15.75">
      <c r="B16" s="243" t="s">
        <v>240</v>
      </c>
      <c r="C16" s="387"/>
      <c r="D16" s="387"/>
      <c r="E16" s="204"/>
    </row>
    <row r="17" spans="2:5" ht="15.75">
      <c r="B17" s="243" t="s">
        <v>193</v>
      </c>
      <c r="C17" s="387">
        <v>1800</v>
      </c>
      <c r="D17" s="387">
        <v>1800</v>
      </c>
      <c r="E17" s="204">
        <v>1800</v>
      </c>
    </row>
    <row r="18" spans="2:5" ht="15.75">
      <c r="B18" s="243"/>
      <c r="C18" s="387"/>
      <c r="D18" s="387"/>
      <c r="E18" s="204"/>
    </row>
    <row r="19" spans="2:5" ht="15.75">
      <c r="B19" s="243"/>
      <c r="C19" s="387"/>
      <c r="D19" s="387"/>
      <c r="E19" s="204"/>
    </row>
    <row r="20" spans="2:5" ht="15.75">
      <c r="B20" s="243"/>
      <c r="C20" s="387"/>
      <c r="D20" s="387"/>
      <c r="E20" s="204"/>
    </row>
    <row r="21" spans="2:5" ht="15.75">
      <c r="B21" s="243"/>
      <c r="C21" s="387"/>
      <c r="D21" s="387"/>
      <c r="E21" s="204"/>
    </row>
    <row r="22" spans="2:5" ht="15.75">
      <c r="B22" s="243"/>
      <c r="C22" s="387"/>
      <c r="D22" s="387"/>
      <c r="E22" s="204"/>
    </row>
    <row r="23" spans="2:5" ht="15.75">
      <c r="B23" s="243"/>
      <c r="C23" s="387"/>
      <c r="D23" s="387"/>
      <c r="E23" s="204"/>
    </row>
    <row r="24" spans="2:5" ht="15.75">
      <c r="B24" s="244"/>
      <c r="C24" s="387"/>
      <c r="D24" s="387"/>
      <c r="E24" s="204"/>
    </row>
    <row r="25" spans="2:5" ht="15.75">
      <c r="B25" s="244" t="s">
        <v>241</v>
      </c>
      <c r="C25" s="387"/>
      <c r="D25" s="387"/>
      <c r="E25" s="204"/>
    </row>
    <row r="26" spans="2:5" ht="15.75">
      <c r="B26" s="245" t="s">
        <v>426</v>
      </c>
      <c r="C26" s="243">
        <v>735</v>
      </c>
      <c r="D26" s="243"/>
      <c r="E26" s="204"/>
    </row>
    <row r="27" spans="2:5" ht="15.75">
      <c r="B27" s="245" t="s">
        <v>24</v>
      </c>
      <c r="C27" s="388">
        <f>IF(C28*0.1&lt;C26,"Exceed 10% Rule","")</f>
      </c>
      <c r="D27" s="388">
        <f>IF(D28*0.1&lt;D26,"Exceed 10% Rule","")</f>
      </c>
      <c r="E27" s="413">
        <f>IF(E28*0.1+E57&lt;E26,"Exceed 10% Rule","")</f>
      </c>
    </row>
    <row r="28" spans="2:5" ht="15.75">
      <c r="B28" s="248" t="s">
        <v>242</v>
      </c>
      <c r="C28" s="389">
        <f>SUM(C9:C26)</f>
        <v>13542</v>
      </c>
      <c r="D28" s="389">
        <f>SUM(D9:D26)</f>
        <v>12320</v>
      </c>
      <c r="E28" s="249">
        <f>SUM(E9:E26)</f>
        <v>3590</v>
      </c>
    </row>
    <row r="29" spans="2:5" ht="15.75">
      <c r="B29" s="248" t="s">
        <v>243</v>
      </c>
      <c r="C29" s="389">
        <f>C7+C28</f>
        <v>20621</v>
      </c>
      <c r="D29" s="389">
        <f>D7+D28</f>
        <v>22261</v>
      </c>
      <c r="E29" s="249">
        <f>E7+E28</f>
        <v>12751</v>
      </c>
    </row>
    <row r="30" spans="2:5" ht="15.75">
      <c r="B30" s="121" t="s">
        <v>244</v>
      </c>
      <c r="C30" s="125"/>
      <c r="D30" s="125"/>
      <c r="E30" s="38"/>
    </row>
    <row r="31" spans="2:5" ht="15.75">
      <c r="B31" s="243" t="s">
        <v>194</v>
      </c>
      <c r="C31" s="387">
        <v>460</v>
      </c>
      <c r="D31" s="387">
        <v>500</v>
      </c>
      <c r="E31" s="204">
        <v>3000</v>
      </c>
    </row>
    <row r="32" spans="2:5" ht="15.75">
      <c r="B32" s="243" t="s">
        <v>195</v>
      </c>
      <c r="C32" s="387"/>
      <c r="D32" s="387">
        <v>400</v>
      </c>
      <c r="E32" s="204">
        <v>1600</v>
      </c>
    </row>
    <row r="33" spans="2:5" ht="15.75">
      <c r="B33" s="243" t="s">
        <v>196</v>
      </c>
      <c r="C33" s="387">
        <v>2644</v>
      </c>
      <c r="D33" s="387">
        <v>2800</v>
      </c>
      <c r="E33" s="204">
        <v>6000</v>
      </c>
    </row>
    <row r="34" spans="2:5" ht="15.75">
      <c r="B34" s="243" t="s">
        <v>197</v>
      </c>
      <c r="C34" s="387">
        <v>116</v>
      </c>
      <c r="D34" s="387">
        <v>200</v>
      </c>
      <c r="E34" s="204">
        <v>1000</v>
      </c>
    </row>
    <row r="35" spans="2:5" ht="15.75">
      <c r="B35" s="243" t="s">
        <v>198</v>
      </c>
      <c r="C35" s="387">
        <v>4633</v>
      </c>
      <c r="D35" s="387">
        <v>4900</v>
      </c>
      <c r="E35" s="204">
        <v>5000</v>
      </c>
    </row>
    <row r="36" spans="2:5" ht="15.75">
      <c r="B36" s="243" t="s">
        <v>199</v>
      </c>
      <c r="C36" s="387">
        <v>2306</v>
      </c>
      <c r="D36" s="387">
        <v>2750</v>
      </c>
      <c r="E36" s="204">
        <v>2800</v>
      </c>
    </row>
    <row r="37" spans="2:5" ht="15.75">
      <c r="B37" s="243" t="s">
        <v>200</v>
      </c>
      <c r="C37" s="387">
        <v>521</v>
      </c>
      <c r="D37" s="387">
        <v>550</v>
      </c>
      <c r="E37" s="204">
        <v>570</v>
      </c>
    </row>
    <row r="38" spans="2:5" ht="15.75">
      <c r="B38" s="243" t="s">
        <v>201</v>
      </c>
      <c r="C38" s="387"/>
      <c r="D38" s="387">
        <v>500</v>
      </c>
      <c r="E38" s="204">
        <v>1000</v>
      </c>
    </row>
    <row r="39" spans="2:5" ht="15.75">
      <c r="B39" s="243" t="s">
        <v>202</v>
      </c>
      <c r="C39" s="387"/>
      <c r="D39" s="387">
        <v>500</v>
      </c>
      <c r="E39" s="204">
        <v>505</v>
      </c>
    </row>
    <row r="40" spans="2:5" ht="15.75">
      <c r="B40" s="243"/>
      <c r="C40" s="387"/>
      <c r="D40" s="387"/>
      <c r="E40" s="204"/>
    </row>
    <row r="41" spans="2:5" ht="15.75">
      <c r="B41" s="243"/>
      <c r="C41" s="387"/>
      <c r="D41" s="387"/>
      <c r="E41" s="204"/>
    </row>
    <row r="42" spans="2:5" ht="15.75">
      <c r="B42" s="243"/>
      <c r="C42" s="387"/>
      <c r="D42" s="387"/>
      <c r="E42" s="204"/>
    </row>
    <row r="43" spans="2:10" ht="15.75">
      <c r="B43" s="243"/>
      <c r="C43" s="387"/>
      <c r="D43" s="387"/>
      <c r="E43" s="204"/>
      <c r="G43" s="614" t="str">
        <f>CONCATENATE("Projected Carryover Into ",F3+1,"")</f>
        <v>Projected Carryover Into 2013</v>
      </c>
      <c r="H43" s="615"/>
      <c r="I43" s="615"/>
      <c r="J43" s="616"/>
    </row>
    <row r="44" spans="2:10" ht="15.75">
      <c r="B44" s="243"/>
      <c r="C44" s="387"/>
      <c r="D44" s="387"/>
      <c r="E44" s="204"/>
      <c r="G44" s="545"/>
      <c r="H44" s="71"/>
      <c r="I44" s="71"/>
      <c r="J44" s="533"/>
    </row>
    <row r="45" spans="2:10" ht="15.75">
      <c r="B45" s="243"/>
      <c r="C45" s="387"/>
      <c r="D45" s="387"/>
      <c r="E45" s="204"/>
      <c r="G45" s="539">
        <f>D51</f>
        <v>9161</v>
      </c>
      <c r="H45" s="538" t="str">
        <f>CONCATENATE("",F3-1," Ending Cash Balance (est.)")</f>
        <v>2011 Ending Cash Balance (est.)</v>
      </c>
      <c r="I45" s="532"/>
      <c r="J45" s="533"/>
    </row>
    <row r="46" spans="2:10" ht="15.75">
      <c r="B46" s="243"/>
      <c r="C46" s="387"/>
      <c r="D46" s="387"/>
      <c r="E46" s="204"/>
      <c r="G46" s="539">
        <f>E28</f>
        <v>3590</v>
      </c>
      <c r="H46" s="532" t="str">
        <f>CONCATENATE("",F3," Non-AV Receipts (est.)")</f>
        <v>2012 Non-AV Receipts (est.)</v>
      </c>
      <c r="I46" s="532"/>
      <c r="J46" s="533"/>
    </row>
    <row r="47" spans="2:10" ht="15.75">
      <c r="B47" s="125" t="s">
        <v>427</v>
      </c>
      <c r="C47" s="387"/>
      <c r="D47" s="387"/>
      <c r="E47" s="209">
        <f>Nhood!E7</f>
      </c>
      <c r="G47" s="531">
        <f>E57</f>
        <v>8724</v>
      </c>
      <c r="H47" s="532" t="str">
        <f>CONCATENATE("",F3," Ad Valorem Tax (est.)")</f>
        <v>2012 Ad Valorem Tax (est.)</v>
      </c>
      <c r="I47" s="532"/>
      <c r="J47" s="533"/>
    </row>
    <row r="48" spans="2:10" ht="15.75">
      <c r="B48" s="125" t="s">
        <v>426</v>
      </c>
      <c r="C48" s="387"/>
      <c r="D48" s="387"/>
      <c r="E48" s="37"/>
      <c r="G48" s="539">
        <f>SUM(G45:G47)</f>
        <v>21475</v>
      </c>
      <c r="H48" s="532" t="str">
        <f>CONCATENATE("Total ",E4," Resources Available")</f>
        <v>Total  Resources Available</v>
      </c>
      <c r="I48" s="532"/>
      <c r="J48" s="533"/>
    </row>
    <row r="49" spans="2:10" ht="15.75">
      <c r="B49" s="125" t="s">
        <v>23</v>
      </c>
      <c r="C49" s="388">
        <f>IF(C50*0.1&lt;C48,"Exceed 10% Rule","")</f>
      </c>
      <c r="D49" s="388">
        <f>IF(D50*0.1&lt;D48,"Exceed 10% Rule","")</f>
      </c>
      <c r="E49" s="413">
        <f>IF(E50*0.1&lt;E48,"Exceed 10% Rule","")</f>
      </c>
      <c r="G49" s="530"/>
      <c r="H49" s="532"/>
      <c r="I49" s="532"/>
      <c r="J49" s="533"/>
    </row>
    <row r="50" spans="2:10" ht="15.75">
      <c r="B50" s="248" t="s">
        <v>245</v>
      </c>
      <c r="C50" s="389">
        <f>SUM(C31:C48)</f>
        <v>10680</v>
      </c>
      <c r="D50" s="389">
        <f>SUM(D31:D48)</f>
        <v>13100</v>
      </c>
      <c r="E50" s="249">
        <f>SUM(E31:E48)</f>
        <v>21475</v>
      </c>
      <c r="G50" s="531">
        <f>C50*0.05+C50</f>
        <v>11214</v>
      </c>
      <c r="H50" s="532" t="str">
        <f>CONCATENATE("Less ",F3-2," Expenditures + 5%")</f>
        <v>Less 2010 Expenditures + 5%</v>
      </c>
      <c r="I50" s="532"/>
      <c r="J50" s="533"/>
    </row>
    <row r="51" spans="2:10" ht="15.75">
      <c r="B51" s="121" t="s">
        <v>328</v>
      </c>
      <c r="C51" s="390">
        <f>C29-C50</f>
        <v>9941</v>
      </c>
      <c r="D51" s="390">
        <f>D29-D50</f>
        <v>9161</v>
      </c>
      <c r="E51" s="130" t="s">
        <v>231</v>
      </c>
      <c r="G51" s="529">
        <f>G48-G50</f>
        <v>10261</v>
      </c>
      <c r="H51" s="528" t="str">
        <f>CONCATENATE("Projected ",F3+1," Carryover (est.)")</f>
        <v>Projected 2013 Carryover (est.)</v>
      </c>
      <c r="I51" s="514"/>
      <c r="J51" s="527"/>
    </row>
    <row r="52" spans="2:10" ht="15.75">
      <c r="B52" s="140" t="str">
        <f>CONCATENATE("",F3-2,"/",F3-1," Budget Authority Amount:")</f>
        <v>2010/2011 Budget Authority Amount:</v>
      </c>
      <c r="C52" s="122">
        <f>inputOth!B42</f>
        <v>26626</v>
      </c>
      <c r="D52" s="414">
        <f>inputPrYr!D19</f>
        <v>15949</v>
      </c>
      <c r="E52" s="130" t="s">
        <v>231</v>
      </c>
      <c r="F52" s="250"/>
      <c r="G52" s="16"/>
      <c r="H52" s="16"/>
      <c r="I52" s="16"/>
      <c r="J52" s="16"/>
    </row>
    <row r="53" spans="2:10" ht="15.75">
      <c r="B53" s="140"/>
      <c r="C53" s="610" t="s">
        <v>126</v>
      </c>
      <c r="D53" s="611"/>
      <c r="E53" s="37"/>
      <c r="F53" s="250">
        <f>IF(E50/0.95-E50&lt;E53,"Exceeds 5%","")</f>
      </c>
      <c r="G53" s="526">
        <f>IF(inputOth!E7=0,"",ROUND(gen!E57/inputOth!E7*1000,3))</f>
        <v>2.104</v>
      </c>
      <c r="H53" s="525" t="str">
        <f>CONCATENATE("Projected ",F3-1," Mill Rate (est.)")</f>
        <v>Projected 2011 Mill Rate (est.)</v>
      </c>
      <c r="I53" s="524"/>
      <c r="J53" s="523"/>
    </row>
    <row r="54" spans="2:10" ht="15.75">
      <c r="B54" s="412" t="str">
        <f>CONCATENATE(C70,"     ",D70)</f>
        <v>     </v>
      </c>
      <c r="C54" s="612" t="s">
        <v>127</v>
      </c>
      <c r="D54" s="613"/>
      <c r="E54" s="47">
        <f>E50+E53</f>
        <v>21475</v>
      </c>
      <c r="G54" s="522"/>
      <c r="H54" s="522"/>
      <c r="I54" s="522"/>
      <c r="J54" s="522"/>
    </row>
    <row r="55" spans="2:10" ht="15.75">
      <c r="B55" s="412" t="str">
        <f>CONCATENATE(C71,"     ",D71)</f>
        <v>     </v>
      </c>
      <c r="C55" s="544"/>
      <c r="D55" s="543" t="s">
        <v>128</v>
      </c>
      <c r="E55" s="44">
        <f>IF(E54-E29&gt;0,E54-E29,0)</f>
        <v>8724</v>
      </c>
      <c r="G55" s="614" t="str">
        <f>CONCATENATE("Desired Carryover Into ",F3+1,"")</f>
        <v>Desired Carryover Into 2013</v>
      </c>
      <c r="H55" s="617"/>
      <c r="I55" s="617"/>
      <c r="J55" s="616"/>
    </row>
    <row r="56" spans="2:10" ht="15.75">
      <c r="B56" s="160"/>
      <c r="C56" s="541" t="s">
        <v>129</v>
      </c>
      <c r="D56" s="542">
        <f>inputOth!$E$36</f>
        <v>0</v>
      </c>
      <c r="E56" s="47">
        <f>ROUND(IF(D56&gt;0,(E55*D56),0),0)</f>
        <v>0</v>
      </c>
      <c r="G56" s="521"/>
      <c r="H56" s="71"/>
      <c r="I56" s="532"/>
      <c r="J56" s="520"/>
    </row>
    <row r="57" spans="2:10" ht="15.75">
      <c r="B57" s="18"/>
      <c r="C57" s="608" t="str">
        <f>CONCATENATE("Amount of  ",$F$3-1," Ad Valorem Tax")</f>
        <v>Amount of  2011 Ad Valorem Tax</v>
      </c>
      <c r="D57" s="609"/>
      <c r="E57" s="44">
        <f>E55+E56</f>
        <v>8724</v>
      </c>
      <c r="G57" s="519" t="s">
        <v>131</v>
      </c>
      <c r="H57" s="532"/>
      <c r="I57" s="532"/>
      <c r="J57" s="518"/>
    </row>
    <row r="58" spans="2:10" ht="15.75">
      <c r="B58" s="18"/>
      <c r="C58" s="18"/>
      <c r="D58" s="18"/>
      <c r="E58" s="18"/>
      <c r="G58" s="521" t="s">
        <v>132</v>
      </c>
      <c r="H58" s="71"/>
      <c r="I58" s="71"/>
      <c r="J58" s="517">
        <f>IF(gen!J57=0,"",ROUND((J57+E57-G51)/inputOth!E7*1000,3)-G53)</f>
      </c>
    </row>
    <row r="59" spans="2:10" ht="15.75">
      <c r="B59" s="18"/>
      <c r="C59" s="18"/>
      <c r="D59" s="18"/>
      <c r="E59" s="18"/>
      <c r="G59" s="516" t="str">
        <f>CONCATENATE("",F3," Total Expenditures Must Be:")</f>
        <v>2012 Total Expenditures Must Be:</v>
      </c>
      <c r="H59" s="515"/>
      <c r="I59" s="514"/>
      <c r="J59" s="513">
        <f>IF((J57&gt;0),(E50+J57-G51),0)</f>
        <v>0</v>
      </c>
    </row>
    <row r="60" spans="2:5" ht="15.75">
      <c r="B60" s="18"/>
      <c r="C60" s="18"/>
      <c r="D60" s="18"/>
      <c r="E60" s="18"/>
    </row>
    <row r="61" spans="2:5" ht="15.75">
      <c r="B61" s="18"/>
      <c r="C61" s="18"/>
      <c r="D61" s="18"/>
      <c r="E61" s="18"/>
    </row>
    <row r="62" spans="2:5" ht="15.75">
      <c r="B62" s="18"/>
      <c r="C62" s="236"/>
      <c r="D62" s="236"/>
      <c r="E62" s="236"/>
    </row>
    <row r="63" spans="2:5" ht="15.75">
      <c r="B63" s="140"/>
      <c r="C63" s="18" t="s">
        <v>435</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1" t="str">
        <f>inputPrYr!D3</f>
        <v>N. Centropolis Fire</v>
      </c>
      <c r="C1" s="18"/>
      <c r="D1" s="18"/>
      <c r="E1" s="252">
        <f>inputPrYr!$D$6</f>
        <v>2012</v>
      </c>
    </row>
    <row r="2" spans="2:5" ht="15.75">
      <c r="B2" s="18"/>
      <c r="C2" s="18"/>
      <c r="D2" s="18"/>
      <c r="E2" s="160"/>
    </row>
    <row r="3" spans="2:5" ht="15.75">
      <c r="B3" s="540" t="s">
        <v>283</v>
      </c>
      <c r="C3" s="236"/>
      <c r="D3" s="236"/>
      <c r="E3" s="253"/>
    </row>
    <row r="4" spans="2:5" ht="15.75">
      <c r="B4" s="18"/>
      <c r="C4" s="254"/>
      <c r="D4" s="254"/>
      <c r="E4" s="254"/>
    </row>
    <row r="5" spans="2:5" ht="15.75">
      <c r="B5" s="45" t="s">
        <v>235</v>
      </c>
      <c r="C5" s="391" t="s">
        <v>360</v>
      </c>
      <c r="D5" s="392" t="s">
        <v>456</v>
      </c>
      <c r="E5" s="238" t="s">
        <v>453</v>
      </c>
    </row>
    <row r="6" spans="2:5" ht="15.75">
      <c r="B6" s="416" t="s">
        <v>480</v>
      </c>
      <c r="C6" s="399">
        <f>E1-2</f>
        <v>2010</v>
      </c>
      <c r="D6" s="399" t="str">
        <f>CONCATENATE("Estimate ",E1-1,"")</f>
        <v>Estimate 2011</v>
      </c>
      <c r="E6" s="175" t="str">
        <f>CONCATENATE("Year ",E1,"")</f>
        <v>Year 2012</v>
      </c>
    </row>
    <row r="7" spans="2:5" ht="15.75">
      <c r="B7" s="115" t="s">
        <v>327</v>
      </c>
      <c r="C7" s="396"/>
      <c r="D7" s="400">
        <f>C55</f>
        <v>0</v>
      </c>
      <c r="E7" s="256">
        <f>D55</f>
        <v>0</v>
      </c>
    </row>
    <row r="8" spans="2:5" ht="15.75">
      <c r="B8" s="257" t="s">
        <v>329</v>
      </c>
      <c r="C8" s="398"/>
      <c r="D8" s="400"/>
      <c r="E8" s="256"/>
    </row>
    <row r="9" spans="2:5" ht="15.75">
      <c r="B9" s="115" t="s">
        <v>236</v>
      </c>
      <c r="C9" s="387"/>
      <c r="D9" s="398">
        <f>inputPrYr!E20</f>
        <v>0</v>
      </c>
      <c r="E9" s="258" t="s">
        <v>231</v>
      </c>
    </row>
    <row r="10" spans="2:5" ht="15.75">
      <c r="B10" s="115" t="s">
        <v>237</v>
      </c>
      <c r="C10" s="387"/>
      <c r="D10" s="387"/>
      <c r="E10" s="259"/>
    </row>
    <row r="11" spans="2:5" ht="15.75">
      <c r="B11" s="115" t="s">
        <v>238</v>
      </c>
      <c r="C11" s="387"/>
      <c r="D11" s="387"/>
      <c r="E11" s="260">
        <f>mvalloc!D12</f>
        <v>0</v>
      </c>
    </row>
    <row r="12" spans="2:5" ht="15.75">
      <c r="B12" s="115" t="s">
        <v>239</v>
      </c>
      <c r="C12" s="387"/>
      <c r="D12" s="387"/>
      <c r="E12" s="260">
        <f>mvalloc!E12</f>
        <v>0</v>
      </c>
    </row>
    <row r="13" spans="2:5" ht="15.75">
      <c r="B13" s="261" t="s">
        <v>311</v>
      </c>
      <c r="C13" s="387"/>
      <c r="D13" s="387"/>
      <c r="E13" s="260">
        <f>mvalloc!F12</f>
        <v>0</v>
      </c>
    </row>
    <row r="14" spans="2:5" ht="15.75">
      <c r="B14" s="261" t="s">
        <v>363</v>
      </c>
      <c r="C14" s="387"/>
      <c r="D14" s="387"/>
      <c r="E14" s="260">
        <f>mvalloc!G12</f>
        <v>0</v>
      </c>
    </row>
    <row r="15" spans="2:5" ht="15.75">
      <c r="B15" s="261"/>
      <c r="C15" s="387"/>
      <c r="D15" s="387"/>
      <c r="E15" s="260"/>
    </row>
    <row r="16" spans="2:5" ht="15.75">
      <c r="B16" s="537"/>
      <c r="C16" s="387"/>
      <c r="D16" s="387"/>
      <c r="E16" s="263"/>
    </row>
    <row r="17" spans="2:5" ht="15.75">
      <c r="B17" s="262"/>
      <c r="C17" s="387"/>
      <c r="D17" s="387"/>
      <c r="E17" s="259"/>
    </row>
    <row r="18" spans="2:5" ht="15.75">
      <c r="B18" s="262"/>
      <c r="C18" s="387"/>
      <c r="D18" s="387"/>
      <c r="E18" s="263"/>
    </row>
    <row r="19" spans="2:5" ht="15.75">
      <c r="B19" s="262"/>
      <c r="C19" s="387"/>
      <c r="D19" s="387"/>
      <c r="E19" s="259"/>
    </row>
    <row r="20" spans="2:5" ht="15.75">
      <c r="B20" s="262"/>
      <c r="C20" s="387"/>
      <c r="D20" s="387"/>
      <c r="E20" s="259"/>
    </row>
    <row r="21" spans="2:5" ht="15.75">
      <c r="B21" s="262"/>
      <c r="C21" s="387"/>
      <c r="D21" s="387"/>
      <c r="E21" s="259"/>
    </row>
    <row r="22" spans="2:5" ht="15.75">
      <c r="B22" s="262"/>
      <c r="C22" s="387"/>
      <c r="D22" s="387"/>
      <c r="E22" s="259"/>
    </row>
    <row r="23" spans="2:5" ht="15.75">
      <c r="B23" s="262"/>
      <c r="C23" s="387"/>
      <c r="D23" s="387"/>
      <c r="E23" s="259"/>
    </row>
    <row r="24" spans="2:5" ht="15.75">
      <c r="B24" s="262"/>
      <c r="C24" s="387"/>
      <c r="D24" s="387"/>
      <c r="E24" s="259"/>
    </row>
    <row r="25" spans="2:5" ht="15.75">
      <c r="B25" s="262"/>
      <c r="C25" s="387"/>
      <c r="D25" s="387"/>
      <c r="E25" s="259"/>
    </row>
    <row r="26" spans="2:5" ht="15.75">
      <c r="B26" s="262" t="s">
        <v>361</v>
      </c>
      <c r="C26" s="387"/>
      <c r="D26" s="387"/>
      <c r="E26" s="259"/>
    </row>
    <row r="27" spans="2:5" ht="15.75">
      <c r="B27" s="264" t="s">
        <v>241</v>
      </c>
      <c r="C27" s="387"/>
      <c r="D27" s="387"/>
      <c r="E27" s="259"/>
    </row>
    <row r="28" spans="2:5" ht="15.75">
      <c r="B28" s="245" t="s">
        <v>426</v>
      </c>
      <c r="C28" s="396"/>
      <c r="D28" s="396"/>
      <c r="E28" s="259"/>
    </row>
    <row r="29" spans="2:5" ht="15.75">
      <c r="B29" s="245" t="s">
        <v>24</v>
      </c>
      <c r="C29" s="388">
        <f>IF(C30*0.1&lt;C28,"Exceed 10% Rule","")</f>
      </c>
      <c r="D29" s="388">
        <f>IF(D30*0.1&lt;D28,"Exceed 10% Rule","")</f>
      </c>
      <c r="E29" s="413">
        <f>IF(E30*0.1+E61&lt;E28,"Exceed 10% Rule","")</f>
      </c>
    </row>
    <row r="30" spans="2:5" ht="15.75">
      <c r="B30" s="248" t="s">
        <v>242</v>
      </c>
      <c r="C30" s="397">
        <f>SUM(C9:C28)</f>
        <v>0</v>
      </c>
      <c r="D30" s="397">
        <f>SUM(D9:D28)</f>
        <v>0</v>
      </c>
      <c r="E30" s="265">
        <f>SUM(E9:E28)</f>
        <v>0</v>
      </c>
    </row>
    <row r="31" spans="2:5" ht="15.75">
      <c r="B31" s="248" t="s">
        <v>243</v>
      </c>
      <c r="C31" s="397">
        <f>C7+C30</f>
        <v>0</v>
      </c>
      <c r="D31" s="397">
        <f>D7+D30</f>
        <v>0</v>
      </c>
      <c r="E31" s="266">
        <f>E7+E30</f>
        <v>0</v>
      </c>
    </row>
    <row r="32" spans="2:5" ht="15.75">
      <c r="B32" s="257" t="s">
        <v>244</v>
      </c>
      <c r="C32" s="398"/>
      <c r="D32" s="398"/>
      <c r="E32" s="260"/>
    </row>
    <row r="33" spans="2:5" ht="15.75">
      <c r="B33" s="267"/>
      <c r="C33" s="387"/>
      <c r="D33" s="387"/>
      <c r="E33" s="259"/>
    </row>
    <row r="34" spans="2:5" ht="15.75">
      <c r="B34" s="267"/>
      <c r="C34" s="387"/>
      <c r="D34" s="387"/>
      <c r="E34" s="259"/>
    </row>
    <row r="35" spans="2:5" ht="15.75">
      <c r="B35" s="267"/>
      <c r="C35" s="387"/>
      <c r="D35" s="387"/>
      <c r="E35" s="259"/>
    </row>
    <row r="36" spans="2:5" ht="15.75">
      <c r="B36" s="267"/>
      <c r="C36" s="387"/>
      <c r="D36" s="387"/>
      <c r="E36" s="259"/>
    </row>
    <row r="37" spans="2:5" ht="15.75">
      <c r="B37" s="267"/>
      <c r="C37" s="387"/>
      <c r="D37" s="387"/>
      <c r="E37" s="259"/>
    </row>
    <row r="38" spans="2:5" ht="15.75">
      <c r="B38" s="267"/>
      <c r="C38" s="387"/>
      <c r="D38" s="387"/>
      <c r="E38" s="259"/>
    </row>
    <row r="39" spans="2:5" ht="15.75">
      <c r="B39" s="267"/>
      <c r="C39" s="387"/>
      <c r="D39" s="387"/>
      <c r="E39" s="259"/>
    </row>
    <row r="40" spans="2:5" ht="15.75">
      <c r="B40" s="267"/>
      <c r="C40" s="387"/>
      <c r="D40" s="387"/>
      <c r="E40" s="259"/>
    </row>
    <row r="41" spans="2:5" ht="15.75">
      <c r="B41" s="267"/>
      <c r="C41" s="387"/>
      <c r="D41" s="387"/>
      <c r="E41" s="259"/>
    </row>
    <row r="42" spans="2:5" ht="15.75">
      <c r="B42" s="267"/>
      <c r="C42" s="387"/>
      <c r="D42" s="387"/>
      <c r="E42" s="259"/>
    </row>
    <row r="43" spans="2:5" ht="15.75">
      <c r="B43" s="267"/>
      <c r="C43" s="387"/>
      <c r="D43" s="387"/>
      <c r="E43" s="259"/>
    </row>
    <row r="44" spans="2:5" ht="15.75">
      <c r="B44" s="267"/>
      <c r="C44" s="387"/>
      <c r="D44" s="387"/>
      <c r="E44" s="259"/>
    </row>
    <row r="45" spans="2:5" ht="15.75">
      <c r="B45" s="267"/>
      <c r="C45" s="387"/>
      <c r="D45" s="387"/>
      <c r="E45" s="259"/>
    </row>
    <row r="46" spans="2:5" ht="15.75">
      <c r="B46" s="267"/>
      <c r="C46" s="387"/>
      <c r="D46" s="387"/>
      <c r="E46" s="259"/>
    </row>
    <row r="47" spans="2:5" ht="15.75">
      <c r="B47" s="267"/>
      <c r="C47" s="387"/>
      <c r="D47" s="387"/>
      <c r="E47" s="259"/>
    </row>
    <row r="48" spans="2:5" ht="15.75">
      <c r="B48" s="267"/>
      <c r="C48" s="387"/>
      <c r="D48" s="387"/>
      <c r="E48" s="259"/>
    </row>
    <row r="49" spans="2:5" ht="15.75">
      <c r="B49" s="267"/>
      <c r="C49" s="387"/>
      <c r="D49" s="387"/>
      <c r="E49" s="259"/>
    </row>
    <row r="50" spans="2:5" ht="15.75">
      <c r="B50" s="267"/>
      <c r="C50" s="387"/>
      <c r="D50" s="387"/>
      <c r="E50" s="259"/>
    </row>
    <row r="51" spans="2:5" ht="15.75">
      <c r="B51" s="125" t="s">
        <v>427</v>
      </c>
      <c r="C51" s="396"/>
      <c r="D51" s="396"/>
      <c r="E51" s="181">
        <f>Nhood!E8</f>
      </c>
    </row>
    <row r="52" spans="2:9" ht="15.75">
      <c r="B52" s="125" t="s">
        <v>426</v>
      </c>
      <c r="C52" s="396"/>
      <c r="D52" s="396"/>
      <c r="E52" s="259"/>
      <c r="G52" s="618" t="str">
        <f>CONCATENATE("Projected Carryover Into ",E1+1,"")</f>
        <v>Projected Carryover Into 2013</v>
      </c>
      <c r="H52" s="619"/>
      <c r="I52" s="620"/>
    </row>
    <row r="53" spans="2:9" ht="15.75">
      <c r="B53" s="125" t="s">
        <v>23</v>
      </c>
      <c r="C53" s="388">
        <f>IF(C54*0.1&lt;C52,"Exceed 10% Rule","")</f>
      </c>
      <c r="D53" s="388">
        <f>IF(D54*0.1&lt;D52,"Exceed 10% Rule","")</f>
      </c>
      <c r="E53" s="413">
        <f>IF(E54*0.1&lt;E52,"Exceed 10% Rule","")</f>
      </c>
      <c r="G53" s="545"/>
      <c r="H53" s="71"/>
      <c r="I53" s="533"/>
    </row>
    <row r="54" spans="2:9" ht="15.75">
      <c r="B54" s="248" t="s">
        <v>245</v>
      </c>
      <c r="C54" s="397">
        <f>SUM(C33:C52)</f>
        <v>0</v>
      </c>
      <c r="D54" s="397">
        <f>SUM(D33:D52)</f>
        <v>0</v>
      </c>
      <c r="E54" s="265">
        <f>SUM(E33:E52)</f>
        <v>0</v>
      </c>
      <c r="G54" s="539">
        <f>D54</f>
        <v>0</v>
      </c>
      <c r="H54" s="546" t="str">
        <f>CONCATENATE("",E1-1," Ending Cash Balance (est.)")</f>
        <v>2011 Ending Cash Balance (est.)</v>
      </c>
      <c r="I54" s="533"/>
    </row>
    <row r="55" spans="2:9" ht="15.75">
      <c r="B55" s="115" t="s">
        <v>328</v>
      </c>
      <c r="C55" s="395">
        <f>C31-C54</f>
        <v>0</v>
      </c>
      <c r="D55" s="395">
        <f>D31-D54</f>
        <v>0</v>
      </c>
      <c r="E55" s="258" t="s">
        <v>231</v>
      </c>
      <c r="G55" s="539">
        <f>E30</f>
        <v>0</v>
      </c>
      <c r="H55" s="547" t="str">
        <f>CONCATENATE("",E1," Non-AV Receipts (est.)")</f>
        <v>2012 Non-AV Receipts (est.)</v>
      </c>
      <c r="I55" s="533"/>
    </row>
    <row r="56" spans="2:9" ht="15.75">
      <c r="B56" s="140" t="str">
        <f>CONCATENATE("",E1-2,"/",E1-1," Budget Authority Amount:")</f>
        <v>2010/2011 Budget Authority Amount:</v>
      </c>
      <c r="C56" s="122">
        <f>inputOth!B43</f>
        <v>0</v>
      </c>
      <c r="D56" s="414">
        <f>inputPrYr!D20</f>
        <v>0</v>
      </c>
      <c r="E56" s="258" t="s">
        <v>231</v>
      </c>
      <c r="F56" s="268"/>
      <c r="G56" s="531">
        <f>E61</f>
        <v>0</v>
      </c>
      <c r="H56" s="547" t="str">
        <f>CONCATENATE("",E1," Ad Valorem Tax (est.)")</f>
        <v>2012 Ad Valorem Tax (est.)</v>
      </c>
      <c r="I56" s="533"/>
    </row>
    <row r="57" spans="2:9" ht="15.75">
      <c r="B57" s="140"/>
      <c r="C57" s="610" t="s">
        <v>126</v>
      </c>
      <c r="D57" s="611"/>
      <c r="E57" s="37"/>
      <c r="F57" s="268">
        <f>IF(E54/0.95-E54&lt;E57,"Exceeds 5%","")</f>
      </c>
      <c r="G57" s="539">
        <f>SUM(G54:G56)</f>
        <v>0</v>
      </c>
      <c r="H57" s="547" t="str">
        <f>CONCATENATE("Total ",E1," Resources Available")</f>
        <v>Total 2012 Resources Available</v>
      </c>
      <c r="I57" s="533"/>
    </row>
    <row r="58" spans="2:9" ht="15.75">
      <c r="B58" s="412" t="str">
        <f>CONCATENATE(C69,"     ",D69)</f>
        <v>     </v>
      </c>
      <c r="C58" s="612" t="s">
        <v>127</v>
      </c>
      <c r="D58" s="613"/>
      <c r="E58" s="47">
        <f>E54+E57</f>
        <v>0</v>
      </c>
      <c r="G58" s="530"/>
      <c r="H58" s="547"/>
      <c r="I58" s="533"/>
    </row>
    <row r="59" spans="2:9" ht="15.75">
      <c r="B59" s="412" t="str">
        <f>CONCATENATE(C70,"     ",D70)</f>
        <v>     </v>
      </c>
      <c r="C59" s="544"/>
      <c r="D59" s="543" t="s">
        <v>128</v>
      </c>
      <c r="E59" s="44">
        <f>IF(E58-E31&gt;0,E58-E31,0)</f>
        <v>0</v>
      </c>
      <c r="G59" s="531">
        <f>C54</f>
        <v>0</v>
      </c>
      <c r="H59" s="547" t="str">
        <f>CONCATENATE("Less ",E1-2," Expenditures")</f>
        <v>Less 2010 Expenditures</v>
      </c>
      <c r="I59" s="533"/>
    </row>
    <row r="60" spans="2:9" ht="15.75">
      <c r="B60" s="160"/>
      <c r="C60" s="541" t="s">
        <v>129</v>
      </c>
      <c r="D60" s="542">
        <f>inputOth!$E$36</f>
        <v>0</v>
      </c>
      <c r="E60" s="47">
        <f>ROUND(IF(D60&gt;0,(E59*D60),0),0)</f>
        <v>0</v>
      </c>
      <c r="G60" s="560">
        <f>G57-G59</f>
        <v>0</v>
      </c>
      <c r="H60" s="548" t="str">
        <f>CONCATENATE("Projected ",E1+1," carryover (est.)")</f>
        <v>Projected 2013 carryover (est.)</v>
      </c>
      <c r="I60" s="527"/>
    </row>
    <row r="61" spans="2:5" ht="15.75">
      <c r="B61" s="18"/>
      <c r="C61" s="608" t="str">
        <f>CONCATENATE("Amount of  ",$E$1-1," Ad Valorem Tax")</f>
        <v>Amount of  2011 Ad Valorem Tax</v>
      </c>
      <c r="D61" s="609"/>
      <c r="E61" s="44">
        <f>E59+E60</f>
        <v>0</v>
      </c>
    </row>
    <row r="62" spans="2:9" ht="15.75">
      <c r="B62" s="160"/>
      <c r="C62" s="18"/>
      <c r="D62" s="18"/>
      <c r="E62" s="18"/>
      <c r="G62" s="561">
        <f>IF(inputOth!E7&gt;0,ROUND(DebtService!E61/inputOth!E7*1000,3),0)</f>
        <v>0</v>
      </c>
      <c r="H62" s="562" t="str">
        <f>CONCATENATE("",E1," Mill Rate")</f>
        <v>2012 Mill Rate</v>
      </c>
      <c r="I62" s="563"/>
    </row>
    <row r="63" spans="2:5" ht="15.75">
      <c r="B63" s="140" t="s">
        <v>247</v>
      </c>
      <c r="C63" s="269"/>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N. Centropolis Fire</v>
      </c>
      <c r="C1" s="18"/>
      <c r="D1" s="18"/>
      <c r="E1" s="187"/>
    </row>
    <row r="2" spans="2:5" ht="15.75">
      <c r="B2" s="18" t="str">
        <f>inputPrYr!D4</f>
        <v>Franklin County</v>
      </c>
      <c r="C2" s="18"/>
      <c r="D2" s="18"/>
      <c r="E2" s="140"/>
    </row>
    <row r="3" spans="2:6" ht="15.75">
      <c r="B3" s="27" t="s">
        <v>283</v>
      </c>
      <c r="C3" s="236"/>
      <c r="D3" s="236"/>
      <c r="E3" s="237"/>
      <c r="F3" s="98">
        <f>inputPrYr!D6</f>
        <v>2012</v>
      </c>
    </row>
    <row r="4" spans="2:5" ht="15.75">
      <c r="B4" s="18"/>
      <c r="C4" s="108"/>
      <c r="D4" s="108"/>
      <c r="E4" s="108"/>
    </row>
    <row r="5" spans="2:5" ht="15.75">
      <c r="B5" s="17" t="s">
        <v>235</v>
      </c>
      <c r="C5" s="391" t="s">
        <v>455</v>
      </c>
      <c r="D5" s="392" t="s">
        <v>454</v>
      </c>
      <c r="E5" s="238" t="s">
        <v>453</v>
      </c>
    </row>
    <row r="6" spans="2:5" ht="15.75">
      <c r="B6" s="415">
        <f>inputPrYr!B22</f>
        <v>0</v>
      </c>
      <c r="C6" s="393" t="str">
        <f>CONCATENATE("Actual ",$F$3-2,"")</f>
        <v>Actual 2010</v>
      </c>
      <c r="D6" s="393" t="str">
        <f>CONCATENATE("Estimate ",F3-1,"")</f>
        <v>Estimate 2011</v>
      </c>
      <c r="E6" s="239" t="str">
        <f>CONCATENATE("Year ",F3,"")</f>
        <v>Year 2012</v>
      </c>
    </row>
    <row r="7" spans="2:5" ht="15.75">
      <c r="B7" s="121" t="s">
        <v>327</v>
      </c>
      <c r="C7" s="387"/>
      <c r="D7" s="394">
        <f>C34</f>
        <v>0</v>
      </c>
      <c r="E7" s="47">
        <f>D34</f>
        <v>0</v>
      </c>
    </row>
    <row r="8" spans="2:5" ht="15.75">
      <c r="B8" s="241" t="s">
        <v>329</v>
      </c>
      <c r="C8" s="242"/>
      <c r="D8" s="242"/>
      <c r="E8" s="126"/>
    </row>
    <row r="9" spans="2:5" ht="15.75">
      <c r="B9" s="121" t="s">
        <v>236</v>
      </c>
      <c r="C9" s="387"/>
      <c r="D9" s="394">
        <f>inputPrYr!E22</f>
        <v>0</v>
      </c>
      <c r="E9" s="130" t="s">
        <v>231</v>
      </c>
    </row>
    <row r="10" spans="2:5" ht="15.75">
      <c r="B10" s="121" t="s">
        <v>237</v>
      </c>
      <c r="C10" s="387"/>
      <c r="D10" s="387"/>
      <c r="E10" s="204"/>
    </row>
    <row r="11" spans="2:5" ht="15.75">
      <c r="B11" s="121" t="s">
        <v>238</v>
      </c>
      <c r="C11" s="387"/>
      <c r="D11" s="387"/>
      <c r="E11" s="47">
        <f>mvalloc!D13</f>
        <v>0</v>
      </c>
    </row>
    <row r="12" spans="2:5" ht="15.75">
      <c r="B12" s="121" t="s">
        <v>239</v>
      </c>
      <c r="C12" s="387"/>
      <c r="D12" s="387"/>
      <c r="E12" s="47">
        <f>mvalloc!E13</f>
        <v>0</v>
      </c>
    </row>
    <row r="13" spans="2:5" ht="15.75">
      <c r="B13" s="242" t="s">
        <v>311</v>
      </c>
      <c r="C13" s="387"/>
      <c r="D13" s="387"/>
      <c r="E13" s="47">
        <f>mvalloc!F13</f>
        <v>0</v>
      </c>
    </row>
    <row r="14" spans="2:5" ht="15.75">
      <c r="B14" s="242" t="s">
        <v>363</v>
      </c>
      <c r="C14" s="387"/>
      <c r="D14" s="387"/>
      <c r="E14" s="47">
        <f>mvalloc!G13</f>
        <v>0</v>
      </c>
    </row>
    <row r="15" spans="2:5" ht="15.75">
      <c r="B15" s="243"/>
      <c r="C15" s="387"/>
      <c r="D15" s="387"/>
      <c r="E15" s="204"/>
    </row>
    <row r="16" spans="2:5" ht="15.75">
      <c r="B16" s="243"/>
      <c r="C16" s="387"/>
      <c r="D16" s="387"/>
      <c r="E16" s="204"/>
    </row>
    <row r="17" spans="2:5" ht="15.75">
      <c r="B17" s="243"/>
      <c r="C17" s="387"/>
      <c r="D17" s="387"/>
      <c r="E17" s="204"/>
    </row>
    <row r="18" spans="2:5" ht="15.75">
      <c r="B18" s="244" t="s">
        <v>241</v>
      </c>
      <c r="C18" s="387"/>
      <c r="D18" s="387"/>
      <c r="E18" s="204"/>
    </row>
    <row r="19" spans="2:5" ht="15.75">
      <c r="B19" s="245" t="s">
        <v>426</v>
      </c>
      <c r="C19" s="387"/>
      <c r="D19" s="387"/>
      <c r="E19" s="37"/>
    </row>
    <row r="20" spans="2:5" ht="15.75">
      <c r="B20" s="245" t="s">
        <v>24</v>
      </c>
      <c r="C20" s="388">
        <f>IF(C21*0.1&lt;C19,"Exceed 10% Rule","")</f>
      </c>
      <c r="D20" s="388">
        <f>IF(D21*0.1&lt;D19,"Exceed 10% Rule","")</f>
      </c>
      <c r="E20" s="413">
        <f>IF(E21*0.1+E40&lt;E19,"Exceed 10% Rule","")</f>
      </c>
    </row>
    <row r="21" spans="2:5" ht="15.75">
      <c r="B21" s="248" t="s">
        <v>242</v>
      </c>
      <c r="C21" s="389">
        <f>SUM(C9:C19)</f>
        <v>0</v>
      </c>
      <c r="D21" s="389">
        <f>SUM(D9:D19)</f>
        <v>0</v>
      </c>
      <c r="E21" s="249">
        <f>SUM(E9:E19)</f>
        <v>0</v>
      </c>
    </row>
    <row r="22" spans="2:5" ht="15.75">
      <c r="B22" s="248" t="s">
        <v>243</v>
      </c>
      <c r="C22" s="389">
        <f>C7+C21</f>
        <v>0</v>
      </c>
      <c r="D22" s="389">
        <f>D7+D21</f>
        <v>0</v>
      </c>
      <c r="E22" s="249">
        <f>E7+E21</f>
        <v>0</v>
      </c>
    </row>
    <row r="23" spans="2:5" ht="15.75">
      <c r="B23" s="121" t="s">
        <v>244</v>
      </c>
      <c r="C23" s="125"/>
      <c r="D23" s="125"/>
      <c r="E23" s="38"/>
    </row>
    <row r="24" spans="2:5" ht="15.75">
      <c r="B24" s="243"/>
      <c r="C24" s="387"/>
      <c r="D24" s="387"/>
      <c r="E24" s="204"/>
    </row>
    <row r="25" spans="2:5" ht="15.75">
      <c r="B25" s="243"/>
      <c r="C25" s="387"/>
      <c r="D25" s="387"/>
      <c r="E25" s="204"/>
    </row>
    <row r="26" spans="2:5" ht="15.75">
      <c r="B26" s="243"/>
      <c r="C26" s="387"/>
      <c r="D26" s="387"/>
      <c r="E26" s="204"/>
    </row>
    <row r="27" spans="2:5" ht="15.75">
      <c r="B27" s="243"/>
      <c r="C27" s="387"/>
      <c r="D27" s="387"/>
      <c r="E27" s="204"/>
    </row>
    <row r="28" spans="2:5" ht="15.75">
      <c r="B28" s="243"/>
      <c r="C28" s="387"/>
      <c r="D28" s="387"/>
      <c r="E28" s="204"/>
    </row>
    <row r="29" spans="2:5" ht="15.75">
      <c r="B29" s="243"/>
      <c r="C29" s="387"/>
      <c r="D29" s="387"/>
      <c r="E29" s="204"/>
    </row>
    <row r="30" spans="2:5" ht="15.75">
      <c r="B30" s="125" t="s">
        <v>427</v>
      </c>
      <c r="C30" s="387"/>
      <c r="D30" s="387"/>
      <c r="E30" s="209">
        <f>Nhood!E9</f>
      </c>
    </row>
    <row r="31" spans="2:5" ht="15.75">
      <c r="B31" s="125" t="s">
        <v>426</v>
      </c>
      <c r="C31" s="243"/>
      <c r="D31" s="243"/>
      <c r="E31" s="204"/>
    </row>
    <row r="32" spans="2:5" ht="15.75">
      <c r="B32" s="125" t="s">
        <v>23</v>
      </c>
      <c r="C32" s="388">
        <f>IF(C33*0.1&lt;C31,"Exceed 10% Rule","")</f>
      </c>
      <c r="D32" s="388">
        <f>IF(D33*0.1&lt;D31,"Exceed 10% Rule","")</f>
      </c>
      <c r="E32" s="413">
        <f>IF(E33*0.1&lt;E31,"Exceed 10% Rule","")</f>
      </c>
    </row>
    <row r="33" spans="2:5" ht="15.75">
      <c r="B33" s="248" t="s">
        <v>245</v>
      </c>
      <c r="C33" s="389">
        <f>SUM(C24:C31)</f>
        <v>0</v>
      </c>
      <c r="D33" s="389">
        <f>SUM(D24:D31)</f>
        <v>0</v>
      </c>
      <c r="E33" s="249">
        <f>SUM(E24:E31)</f>
        <v>0</v>
      </c>
    </row>
    <row r="34" spans="2:5" ht="15.75">
      <c r="B34" s="121" t="s">
        <v>328</v>
      </c>
      <c r="C34" s="390">
        <f>C22-C33</f>
        <v>0</v>
      </c>
      <c r="D34" s="390">
        <f>D22-D33</f>
        <v>0</v>
      </c>
      <c r="E34" s="130" t="s">
        <v>231</v>
      </c>
    </row>
    <row r="35" spans="2:6" ht="15.75">
      <c r="B35" s="140" t="str">
        <f>CONCATENATE("",F3-2,"/",F3-1," Budget Authority Amount:")</f>
        <v>2010/2011 Budget Authority Amount:</v>
      </c>
      <c r="C35" s="122">
        <f>inputOth!B44</f>
        <v>0</v>
      </c>
      <c r="D35" s="414">
        <f>inputPrYr!D22</f>
        <v>0</v>
      </c>
      <c r="E35" s="130" t="s">
        <v>231</v>
      </c>
      <c r="F35" s="250"/>
    </row>
    <row r="36" spans="2:6" ht="15.75">
      <c r="B36" s="140"/>
      <c r="C36" s="610" t="s">
        <v>126</v>
      </c>
      <c r="D36" s="611"/>
      <c r="E36" s="37"/>
      <c r="F36" s="250">
        <f>IF(E33/0.95-E33&lt;E36,"Exceeds 5%","")</f>
      </c>
    </row>
    <row r="37" spans="2:5" ht="15.75">
      <c r="B37" s="412" t="str">
        <f>CONCATENATE(C87,"     ",D87)</f>
        <v>     </v>
      </c>
      <c r="C37" s="612" t="s">
        <v>127</v>
      </c>
      <c r="D37" s="613"/>
      <c r="E37" s="47">
        <f>E33+E36</f>
        <v>0</v>
      </c>
    </row>
    <row r="38" spans="2:5" ht="15.75">
      <c r="B38" s="412" t="str">
        <f>CONCATENATE(C88,"     ",D88)</f>
        <v>     </v>
      </c>
      <c r="C38" s="544"/>
      <c r="D38" s="543" t="s">
        <v>128</v>
      </c>
      <c r="E38" s="44">
        <f>IF(E37-E22&gt;0,E37-E22,0)</f>
        <v>0</v>
      </c>
    </row>
    <row r="39" spans="2:5" ht="15.75">
      <c r="B39" s="160"/>
      <c r="C39" s="541" t="s">
        <v>129</v>
      </c>
      <c r="D39" s="542">
        <f>inputOth!$E$36</f>
        <v>0</v>
      </c>
      <c r="E39" s="47">
        <f>ROUND(IF(D39&gt;0,(E38*D39),0),0)</f>
        <v>0</v>
      </c>
    </row>
    <row r="40" spans="2:5" ht="15.75">
      <c r="B40" s="18"/>
      <c r="C40" s="608" t="str">
        <f>CONCATENATE("Amount of  ",$F$3-1," Ad Valorem Tax")</f>
        <v>Amount of  2011 Ad Valorem Tax</v>
      </c>
      <c r="D40" s="609"/>
      <c r="E40" s="44">
        <f>E38+E39</f>
        <v>0</v>
      </c>
    </row>
    <row r="41" spans="2:5" ht="15.75">
      <c r="B41" s="18"/>
      <c r="C41" s="18"/>
      <c r="D41" s="18"/>
      <c r="E41" s="18"/>
    </row>
    <row r="42" spans="2:5" ht="15.75">
      <c r="B42" s="17" t="s">
        <v>235</v>
      </c>
      <c r="C42" s="108"/>
      <c r="D42" s="108"/>
      <c r="E42" s="108"/>
    </row>
    <row r="43" spans="2:5" ht="15.75" customHeight="1">
      <c r="B43" s="18"/>
      <c r="C43" s="391" t="s">
        <v>455</v>
      </c>
      <c r="D43" s="392" t="s">
        <v>456</v>
      </c>
      <c r="E43" s="238" t="s">
        <v>453</v>
      </c>
    </row>
    <row r="44" spans="2:5" ht="15.75" customHeight="1">
      <c r="B44" s="415">
        <f>inputPrYr!B23</f>
        <v>0</v>
      </c>
      <c r="C44" s="393" t="str">
        <f>C6</f>
        <v>Actual 2010</v>
      </c>
      <c r="D44" s="393" t="str">
        <f>D6</f>
        <v>Estimate 2011</v>
      </c>
      <c r="E44" s="239" t="str">
        <f>E6</f>
        <v>Year 2012</v>
      </c>
    </row>
    <row r="45" spans="2:5" ht="15.75">
      <c r="B45" s="121" t="s">
        <v>327</v>
      </c>
      <c r="C45" s="387"/>
      <c r="D45" s="394">
        <f>C72</f>
        <v>0</v>
      </c>
      <c r="E45" s="47">
        <f>D72</f>
        <v>0</v>
      </c>
    </row>
    <row r="46" spans="2:5" ht="15.75">
      <c r="B46" s="241" t="s">
        <v>329</v>
      </c>
      <c r="C46" s="242"/>
      <c r="D46" s="242"/>
      <c r="E46" s="126"/>
    </row>
    <row r="47" spans="2:5" ht="15.75">
      <c r="B47" s="121" t="s">
        <v>236</v>
      </c>
      <c r="C47" s="387"/>
      <c r="D47" s="394">
        <f>inputPrYr!E23</f>
        <v>0</v>
      </c>
      <c r="E47" s="130" t="s">
        <v>231</v>
      </c>
    </row>
    <row r="48" spans="2:5" ht="15.75">
      <c r="B48" s="121" t="s">
        <v>237</v>
      </c>
      <c r="C48" s="387"/>
      <c r="D48" s="387"/>
      <c r="E48" s="204"/>
    </row>
    <row r="49" spans="2:5" ht="15.75">
      <c r="B49" s="121" t="s">
        <v>238</v>
      </c>
      <c r="C49" s="387"/>
      <c r="D49" s="387"/>
      <c r="E49" s="47">
        <f>mvalloc!D14</f>
        <v>0</v>
      </c>
    </row>
    <row r="50" spans="2:5" ht="15.75">
      <c r="B50" s="121" t="s">
        <v>239</v>
      </c>
      <c r="C50" s="387"/>
      <c r="D50" s="387"/>
      <c r="E50" s="47">
        <f>mvalloc!E14</f>
        <v>0</v>
      </c>
    </row>
    <row r="51" spans="2:5" ht="15.75">
      <c r="B51" s="242" t="s">
        <v>311</v>
      </c>
      <c r="C51" s="387"/>
      <c r="D51" s="387"/>
      <c r="E51" s="47">
        <f>mvalloc!F14</f>
        <v>0</v>
      </c>
    </row>
    <row r="52" spans="2:5" ht="15.75">
      <c r="B52" s="242" t="s">
        <v>363</v>
      </c>
      <c r="C52" s="387"/>
      <c r="D52" s="387"/>
      <c r="E52" s="47">
        <f>mvalloc!G14</f>
        <v>0</v>
      </c>
    </row>
    <row r="53" spans="2:5" ht="15.75">
      <c r="B53" s="243"/>
      <c r="C53" s="387"/>
      <c r="D53" s="387"/>
      <c r="E53" s="204"/>
    </row>
    <row r="54" spans="2:5" ht="15.75">
      <c r="B54" s="243"/>
      <c r="C54" s="387"/>
      <c r="D54" s="387"/>
      <c r="E54" s="204"/>
    </row>
    <row r="55" spans="2:5" ht="15.75">
      <c r="B55" s="243"/>
      <c r="C55" s="387"/>
      <c r="D55" s="387"/>
      <c r="E55" s="204"/>
    </row>
    <row r="56" spans="2:5" ht="15.75">
      <c r="B56" s="244" t="s">
        <v>241</v>
      </c>
      <c r="C56" s="387"/>
      <c r="D56" s="387"/>
      <c r="E56" s="204"/>
    </row>
    <row r="57" spans="2:5" ht="15.75">
      <c r="B57" s="245" t="s">
        <v>426</v>
      </c>
      <c r="C57" s="243"/>
      <c r="D57" s="243"/>
      <c r="E57" s="204"/>
    </row>
    <row r="58" spans="2:5" ht="15.75">
      <c r="B58" s="245" t="s">
        <v>24</v>
      </c>
      <c r="C58" s="388">
        <f>IF(C59*0.1&lt;C57,"Exceed 10% Rule","")</f>
      </c>
      <c r="D58" s="388">
        <f>IF(D59*0.1&lt;D57,"Exceed 10% Rule","")</f>
      </c>
      <c r="E58" s="413">
        <f>IF(E59*0.1+E78&lt;E57,"Exceed 10% Rule","")</f>
      </c>
    </row>
    <row r="59" spans="2:5" ht="15.75">
      <c r="B59" s="248" t="s">
        <v>242</v>
      </c>
      <c r="C59" s="389">
        <f>SUM(C47:C57)</f>
        <v>0</v>
      </c>
      <c r="D59" s="389">
        <f>SUM(D47:D57)</f>
        <v>0</v>
      </c>
      <c r="E59" s="249">
        <f>SUM(E47:E57)</f>
        <v>0</v>
      </c>
    </row>
    <row r="60" spans="2:5" ht="15.75">
      <c r="B60" s="248" t="s">
        <v>243</v>
      </c>
      <c r="C60" s="389">
        <f>C45+C59</f>
        <v>0</v>
      </c>
      <c r="D60" s="389">
        <f>D45+D59</f>
        <v>0</v>
      </c>
      <c r="E60" s="249">
        <f>E45+E59</f>
        <v>0</v>
      </c>
    </row>
    <row r="61" spans="2:5" ht="15.75">
      <c r="B61" s="121" t="s">
        <v>244</v>
      </c>
      <c r="C61" s="125"/>
      <c r="D61" s="125"/>
      <c r="E61" s="38"/>
    </row>
    <row r="62" spans="2:5" ht="15.75">
      <c r="B62" s="243"/>
      <c r="C62" s="387"/>
      <c r="D62" s="387"/>
      <c r="E62" s="204"/>
    </row>
    <row r="63" spans="2:5" ht="15.75">
      <c r="B63" s="243"/>
      <c r="C63" s="387"/>
      <c r="D63" s="387"/>
      <c r="E63" s="204"/>
    </row>
    <row r="64" spans="2:5" ht="15.75">
      <c r="B64" s="243"/>
      <c r="C64" s="387"/>
      <c r="D64" s="387"/>
      <c r="E64" s="204"/>
    </row>
    <row r="65" spans="2:5" ht="15.75">
      <c r="B65" s="243"/>
      <c r="C65" s="387"/>
      <c r="D65" s="387"/>
      <c r="E65" s="204"/>
    </row>
    <row r="66" spans="2:5" ht="15.75">
      <c r="B66" s="243"/>
      <c r="C66" s="387"/>
      <c r="D66" s="387"/>
      <c r="E66" s="204"/>
    </row>
    <row r="67" spans="2:5" ht="15.75">
      <c r="B67" s="243"/>
      <c r="C67" s="387"/>
      <c r="D67" s="387"/>
      <c r="E67" s="204"/>
    </row>
    <row r="68" spans="2:5" ht="15.75">
      <c r="B68" s="125" t="s">
        <v>427</v>
      </c>
      <c r="C68" s="387"/>
      <c r="D68" s="387"/>
      <c r="E68" s="209">
        <f>Nhood!E10</f>
      </c>
    </row>
    <row r="69" spans="2:5" ht="15.75">
      <c r="B69" s="125" t="s">
        <v>426</v>
      </c>
      <c r="C69" s="243"/>
      <c r="D69" s="243"/>
      <c r="E69" s="204"/>
    </row>
    <row r="70" spans="2:5" ht="15.75">
      <c r="B70" s="125" t="s">
        <v>23</v>
      </c>
      <c r="C70" s="388">
        <f>IF(C71*0.1&lt;C69,"Exceed 10% Rule","")</f>
      </c>
      <c r="D70" s="388">
        <f>IF(D71*0.1&lt;D69,"Exceed 10% Rule","")</f>
      </c>
      <c r="E70" s="413">
        <f>IF(E71*0.1&lt;E69,"Exceed 10% Rule","")</f>
      </c>
    </row>
    <row r="71" spans="2:5" ht="15.75">
      <c r="B71" s="248" t="s">
        <v>245</v>
      </c>
      <c r="C71" s="389">
        <f>SUM(C62:C69)</f>
        <v>0</v>
      </c>
      <c r="D71" s="389">
        <f>SUM(D62:D69)</f>
        <v>0</v>
      </c>
      <c r="E71" s="249">
        <f>SUM(E62:E69)</f>
        <v>0</v>
      </c>
    </row>
    <row r="72" spans="2:5" ht="15.75">
      <c r="B72" s="121" t="s">
        <v>328</v>
      </c>
      <c r="C72" s="390">
        <f>C60-C71</f>
        <v>0</v>
      </c>
      <c r="D72" s="390">
        <f>D60-D71</f>
        <v>0</v>
      </c>
      <c r="E72" s="130" t="s">
        <v>231</v>
      </c>
    </row>
    <row r="73" spans="2:6" ht="15.75">
      <c r="B73" s="140" t="str">
        <f>CONCATENATE("",F3-2,"/",F3-1," Budget Authority Amount:")</f>
        <v>2010/2011 Budget Authority Amount:</v>
      </c>
      <c r="C73" s="122">
        <f>inputOth!B45</f>
        <v>0</v>
      </c>
      <c r="D73" s="414">
        <f>inputPrYr!D23</f>
        <v>0</v>
      </c>
      <c r="E73" s="130" t="s">
        <v>231</v>
      </c>
      <c r="F73" s="250"/>
    </row>
    <row r="74" spans="2:6" ht="15.75">
      <c r="B74" s="140"/>
      <c r="C74" s="610" t="s">
        <v>126</v>
      </c>
      <c r="D74" s="611"/>
      <c r="E74" s="37"/>
      <c r="F74" s="250">
        <f>IF(E71/0.95-E71&lt;E74,"Exceeds 5%","")</f>
      </c>
    </row>
    <row r="75" spans="2:5" ht="15.75">
      <c r="B75" s="412" t="str">
        <f>CONCATENATE(C89,"     ",D89)</f>
        <v>     </v>
      </c>
      <c r="C75" s="612" t="s">
        <v>127</v>
      </c>
      <c r="D75" s="613"/>
      <c r="E75" s="47">
        <f>E71+E74</f>
        <v>0</v>
      </c>
    </row>
    <row r="76" spans="2:5" ht="15.75">
      <c r="B76" s="412" t="str">
        <f>CONCATENATE(C90,"     ",D90)</f>
        <v>     </v>
      </c>
      <c r="C76" s="544"/>
      <c r="D76" s="543" t="s">
        <v>128</v>
      </c>
      <c r="E76" s="44">
        <f>IF(E75-E60&gt;0,E75-E60,0)</f>
        <v>0</v>
      </c>
    </row>
    <row r="77" spans="2:5" ht="15.75">
      <c r="B77" s="160"/>
      <c r="C77" s="541" t="s">
        <v>129</v>
      </c>
      <c r="D77" s="542">
        <f>inputOth!$E$36</f>
        <v>0</v>
      </c>
      <c r="E77" s="47">
        <f>ROUND(IF(D77&gt;0,(E76*D77),0),0)</f>
        <v>0</v>
      </c>
    </row>
    <row r="78" spans="2:5" ht="15.75">
      <c r="B78" s="18"/>
      <c r="C78" s="608" t="str">
        <f>CONCATENATE("Amount of  ",$F$3-1," Ad Valorem Tax")</f>
        <v>Amount of  2011 Ad Valorem Tax</v>
      </c>
      <c r="D78" s="609"/>
      <c r="E78" s="44">
        <f>E76+E77</f>
        <v>0</v>
      </c>
    </row>
    <row r="79" spans="2:5" ht="15.75">
      <c r="B79" s="18"/>
      <c r="C79" s="161"/>
      <c r="D79" s="161"/>
      <c r="E79" s="161"/>
    </row>
    <row r="80" spans="2:5" ht="15.75">
      <c r="B80" s="140" t="s">
        <v>247</v>
      </c>
      <c r="C80" s="269"/>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N. Centropolis Fire</v>
      </c>
      <c r="C1" s="236"/>
      <c r="D1" s="18"/>
      <c r="E1" s="187"/>
    </row>
    <row r="2" spans="2:5" ht="15.75">
      <c r="B2" s="18" t="str">
        <f>inputPrYr!D4</f>
        <v>Franklin County</v>
      </c>
      <c r="C2" s="236"/>
      <c r="D2" s="18"/>
      <c r="E2" s="140"/>
    </row>
    <row r="3" spans="2:6" ht="15.75">
      <c r="B3" s="27" t="s">
        <v>284</v>
      </c>
      <c r="C3" s="236"/>
      <c r="D3" s="236"/>
      <c r="E3" s="237"/>
      <c r="F3" s="98">
        <f>inputPrYr!$D$6</f>
        <v>2012</v>
      </c>
    </row>
    <row r="4" spans="2:5" ht="15.75">
      <c r="B4" s="18"/>
      <c r="C4" s="108"/>
      <c r="D4" s="108"/>
      <c r="E4" s="108"/>
    </row>
    <row r="5" spans="2:5" ht="15.75">
      <c r="B5" s="17" t="s">
        <v>235</v>
      </c>
      <c r="C5" s="271" t="s">
        <v>455</v>
      </c>
      <c r="D5" s="238" t="s">
        <v>456</v>
      </c>
      <c r="E5" s="238" t="s">
        <v>453</v>
      </c>
    </row>
    <row r="6" spans="2:5" ht="15.75">
      <c r="B6" s="415">
        <f>inputPrYr!B26</f>
        <v>0</v>
      </c>
      <c r="C6" s="239" t="str">
        <f>CONCATENATE("Actual ",F3-2,"")</f>
        <v>Actual 2010</v>
      </c>
      <c r="D6" s="239" t="str">
        <f>CONCATENATE("Estimate ",F3-1,"")</f>
        <v>Estimate 2011</v>
      </c>
      <c r="E6" s="239" t="str">
        <f>CONCATENATE("Year ",F3,"")</f>
        <v>Year 2012</v>
      </c>
    </row>
    <row r="7" spans="2:5" ht="15.75">
      <c r="B7" s="121" t="s">
        <v>327</v>
      </c>
      <c r="C7" s="37"/>
      <c r="D7" s="47">
        <f>C32</f>
        <v>0</v>
      </c>
      <c r="E7" s="47">
        <f>D32</f>
        <v>0</v>
      </c>
    </row>
    <row r="8" spans="2:5" ht="15.75">
      <c r="B8" s="241" t="s">
        <v>329</v>
      </c>
      <c r="C8" s="38"/>
      <c r="D8" s="38"/>
      <c r="E8" s="38"/>
    </row>
    <row r="9" spans="2:5" ht="15.75">
      <c r="B9" s="243"/>
      <c r="C9" s="204"/>
      <c r="D9" s="204"/>
      <c r="E9" s="204"/>
    </row>
    <row r="10" spans="2:5" ht="15.75">
      <c r="B10" s="243"/>
      <c r="C10" s="204"/>
      <c r="D10" s="204"/>
      <c r="E10" s="204"/>
    </row>
    <row r="11" spans="2:5" ht="15.75">
      <c r="B11" s="243"/>
      <c r="C11" s="204"/>
      <c r="D11" s="204"/>
      <c r="E11" s="204"/>
    </row>
    <row r="12" spans="2:5" ht="15.75">
      <c r="B12" s="243"/>
      <c r="C12" s="204"/>
      <c r="D12" s="204"/>
      <c r="E12" s="204"/>
    </row>
    <row r="13" spans="2:5" ht="15.75">
      <c r="B13" s="243"/>
      <c r="C13" s="204"/>
      <c r="D13" s="204"/>
      <c r="E13" s="204"/>
    </row>
    <row r="14" spans="2:5" ht="15.75">
      <c r="B14" s="243"/>
      <c r="C14" s="204"/>
      <c r="D14" s="204"/>
      <c r="E14" s="204"/>
    </row>
    <row r="15" spans="2:5" ht="15.75">
      <c r="B15" s="243"/>
      <c r="C15" s="204"/>
      <c r="D15" s="204"/>
      <c r="E15" s="204"/>
    </row>
    <row r="16" spans="2:5" ht="15.75">
      <c r="B16" s="244" t="s">
        <v>241</v>
      </c>
      <c r="C16" s="204"/>
      <c r="D16" s="204"/>
      <c r="E16" s="204"/>
    </row>
    <row r="17" spans="2:5" ht="15.75">
      <c r="B17" s="245" t="s">
        <v>426</v>
      </c>
      <c r="C17" s="204"/>
      <c r="D17" s="246"/>
      <c r="E17" s="246"/>
    </row>
    <row r="18" spans="2:5" ht="15.75">
      <c r="B18" s="245" t="s">
        <v>24</v>
      </c>
      <c r="C18" s="413">
        <f>IF(C19*0.1&lt;C17,"Exceed 10% Rule","")</f>
      </c>
      <c r="D18" s="247">
        <f>IF(D19*0.1&lt;D17,"Exceed 10% Rule","")</f>
      </c>
      <c r="E18" s="247">
        <f>IF(E19*0.1&lt;E17,"Exceed 10% Rule","")</f>
      </c>
    </row>
    <row r="19" spans="2:5" ht="15.75">
      <c r="B19" s="248" t="s">
        <v>242</v>
      </c>
      <c r="C19" s="249">
        <f>SUM(C9:C17)</f>
        <v>0</v>
      </c>
      <c r="D19" s="249">
        <f>SUM(D9:D17)</f>
        <v>0</v>
      </c>
      <c r="E19" s="249">
        <f>SUM(E9:E17)</f>
        <v>0</v>
      </c>
    </row>
    <row r="20" spans="2:5" ht="15.75">
      <c r="B20" s="248" t="s">
        <v>243</v>
      </c>
      <c r="C20" s="249">
        <f>C19+C7</f>
        <v>0</v>
      </c>
      <c r="D20" s="249">
        <f>D19+D7</f>
        <v>0</v>
      </c>
      <c r="E20" s="249">
        <f>E19+E7</f>
        <v>0</v>
      </c>
    </row>
    <row r="21" spans="2:5" ht="15.75">
      <c r="B21" s="121" t="s">
        <v>244</v>
      </c>
      <c r="C21" s="38"/>
      <c r="D21" s="38"/>
      <c r="E21" s="38"/>
    </row>
    <row r="22" spans="2:5" ht="15.75">
      <c r="B22" s="243"/>
      <c r="C22" s="204"/>
      <c r="D22" s="204"/>
      <c r="E22" s="204"/>
    </row>
    <row r="23" spans="2:5" ht="15.75">
      <c r="B23" s="243"/>
      <c r="C23" s="204"/>
      <c r="D23" s="204"/>
      <c r="E23" s="204"/>
    </row>
    <row r="24" spans="2:5" ht="15.75">
      <c r="B24" s="243"/>
      <c r="C24" s="204"/>
      <c r="D24" s="204"/>
      <c r="E24" s="204"/>
    </row>
    <row r="25" spans="2:5" ht="15.75">
      <c r="B25" s="243"/>
      <c r="C25" s="204"/>
      <c r="D25" s="204"/>
      <c r="E25" s="204"/>
    </row>
    <row r="26" spans="2:5" ht="15.75">
      <c r="B26" s="243"/>
      <c r="C26" s="204"/>
      <c r="D26" s="204"/>
      <c r="E26" s="204"/>
    </row>
    <row r="27" spans="2:5" ht="15.75">
      <c r="B27" s="243"/>
      <c r="C27" s="204"/>
      <c r="D27" s="204"/>
      <c r="E27" s="204"/>
    </row>
    <row r="28" spans="2:5" ht="15.75">
      <c r="B28" s="243"/>
      <c r="C28" s="204"/>
      <c r="D28" s="204"/>
      <c r="E28" s="204"/>
    </row>
    <row r="29" spans="2:5" ht="15.75">
      <c r="B29" s="125" t="s">
        <v>426</v>
      </c>
      <c r="C29" s="37"/>
      <c r="D29" s="240"/>
      <c r="E29" s="240"/>
    </row>
    <row r="30" spans="2:5" ht="15.75">
      <c r="B30" s="125" t="s">
        <v>23</v>
      </c>
      <c r="C30" s="413">
        <f>IF(C31*0.1&lt;C29,"Exceed 10% Rule","")</f>
      </c>
      <c r="D30" s="247">
        <f>IF(D31*0.1&lt;D29,"Exceed 10% Rule","")</f>
      </c>
      <c r="E30" s="247">
        <f>IF(E31*0.1&lt;E29,"Exceed 10% Rule","")</f>
      </c>
    </row>
    <row r="31" spans="2:5" ht="15.75">
      <c r="B31" s="248" t="s">
        <v>245</v>
      </c>
      <c r="C31" s="249">
        <f>SUM(C22:C29)</f>
        <v>0</v>
      </c>
      <c r="D31" s="249">
        <f>SUM(D22:D29)</f>
        <v>0</v>
      </c>
      <c r="E31" s="249">
        <f>SUM(E22:E29)</f>
        <v>0</v>
      </c>
    </row>
    <row r="32" spans="2:5" ht="15.75">
      <c r="B32" s="121" t="s">
        <v>328</v>
      </c>
      <c r="C32" s="44">
        <f>C20-C31</f>
        <v>0</v>
      </c>
      <c r="D32" s="44">
        <f>D20-D31</f>
        <v>0</v>
      </c>
      <c r="E32" s="44">
        <f>E20-E31</f>
        <v>0</v>
      </c>
    </row>
    <row r="33" spans="2:5" ht="15.75">
      <c r="B33" s="140" t="str">
        <f>CONCATENATE("",F3-2,"/",F3-1," Budget Authority Amount:")</f>
        <v>2010/2011 Budget Authority Amount:</v>
      </c>
      <c r="C33" s="122">
        <f>inputOth!B46</f>
        <v>0</v>
      </c>
      <c r="D33" s="122">
        <f>inputPrYr!D26</f>
        <v>0</v>
      </c>
      <c r="E33" s="417">
        <f>IF(E32&lt;0,"See Tab E","")</f>
      </c>
    </row>
    <row r="34" spans="2:5" ht="15.75">
      <c r="B34" s="140"/>
      <c r="C34" s="251">
        <f>IF(C31&gt;C33,"See Tab A","")</f>
      </c>
      <c r="D34" s="251">
        <f>IF(D31&gt;D33,"See Tab C","")</f>
      </c>
      <c r="E34" s="39"/>
    </row>
    <row r="35" spans="2:5" ht="15.75">
      <c r="B35" s="140"/>
      <c r="C35" s="251">
        <f>IF(C32&lt;0,"See Tab B","")</f>
      </c>
      <c r="D35" s="251">
        <f>IF(D32&lt;0,"See Tab D","")</f>
      </c>
      <c r="E35" s="39"/>
    </row>
    <row r="36" spans="2:5" ht="15.75">
      <c r="B36" s="18"/>
      <c r="C36" s="161"/>
      <c r="D36" s="161"/>
      <c r="E36" s="161"/>
    </row>
    <row r="37" spans="2:5" ht="15.75">
      <c r="B37" s="18"/>
      <c r="C37" s="108"/>
      <c r="D37" s="108"/>
      <c r="E37" s="108"/>
    </row>
    <row r="38" spans="2:5" ht="15.75" customHeight="1">
      <c r="B38" s="17" t="s">
        <v>235</v>
      </c>
      <c r="C38" s="271" t="s">
        <v>455</v>
      </c>
      <c r="D38" s="238" t="s">
        <v>456</v>
      </c>
      <c r="E38" s="238" t="s">
        <v>453</v>
      </c>
    </row>
    <row r="39" spans="2:5" ht="15.75" customHeight="1">
      <c r="B39" s="415">
        <f>inputPrYr!B27</f>
        <v>0</v>
      </c>
      <c r="C39" s="239" t="str">
        <f>C6</f>
        <v>Actual 2010</v>
      </c>
      <c r="D39" s="239" t="str">
        <f>D6</f>
        <v>Estimate 2011</v>
      </c>
      <c r="E39" s="239" t="str">
        <f>E6</f>
        <v>Year 2012</v>
      </c>
    </row>
    <row r="40" spans="2:5" ht="15.75">
      <c r="B40" s="121" t="s">
        <v>327</v>
      </c>
      <c r="C40" s="37"/>
      <c r="D40" s="47">
        <f>C65</f>
        <v>0</v>
      </c>
      <c r="E40" s="47">
        <f>D65</f>
        <v>0</v>
      </c>
    </row>
    <row r="41" spans="2:5" ht="15.75">
      <c r="B41" s="241" t="s">
        <v>329</v>
      </c>
      <c r="C41" s="38"/>
      <c r="D41" s="38"/>
      <c r="E41" s="38"/>
    </row>
    <row r="42" spans="2:5" ht="15.75">
      <c r="B42" s="243"/>
      <c r="C42" s="204"/>
      <c r="D42" s="204"/>
      <c r="E42" s="204"/>
    </row>
    <row r="43" spans="2:5" ht="15.75">
      <c r="B43" s="243"/>
      <c r="C43" s="204"/>
      <c r="D43" s="204"/>
      <c r="E43" s="204"/>
    </row>
    <row r="44" spans="2:5" ht="15.75">
      <c r="B44" s="243"/>
      <c r="C44" s="204"/>
      <c r="D44" s="204"/>
      <c r="E44" s="204"/>
    </row>
    <row r="45" spans="2:5" ht="15.75">
      <c r="B45" s="243"/>
      <c r="C45" s="204"/>
      <c r="D45" s="204"/>
      <c r="E45" s="204"/>
    </row>
    <row r="46" spans="2:5" ht="15.75">
      <c r="B46" s="243"/>
      <c r="C46" s="204"/>
      <c r="D46" s="204"/>
      <c r="E46" s="204"/>
    </row>
    <row r="47" spans="2:5" ht="15.75">
      <c r="B47" s="243"/>
      <c r="C47" s="204"/>
      <c r="D47" s="204"/>
      <c r="E47" s="204"/>
    </row>
    <row r="48" spans="2:5" ht="15.75">
      <c r="B48" s="243"/>
      <c r="C48" s="204"/>
      <c r="D48" s="204"/>
      <c r="E48" s="204"/>
    </row>
    <row r="49" spans="2:5" ht="15.75">
      <c r="B49" s="244" t="s">
        <v>241</v>
      </c>
      <c r="C49" s="204"/>
      <c r="D49" s="204"/>
      <c r="E49" s="204"/>
    </row>
    <row r="50" spans="2:5" ht="15.75">
      <c r="B50" s="245" t="s">
        <v>426</v>
      </c>
      <c r="C50" s="204"/>
      <c r="D50" s="246"/>
      <c r="E50" s="246"/>
    </row>
    <row r="51" spans="2:5" ht="15.75">
      <c r="B51" s="245" t="s">
        <v>24</v>
      </c>
      <c r="C51" s="413">
        <f>IF(C52*0.1&lt;C50,"Exceed 10% Rule","")</f>
      </c>
      <c r="D51" s="247">
        <f>IF(D52*0.1&lt;D50,"Exceed 10% Rule","")</f>
      </c>
      <c r="E51" s="247">
        <f>IF(E52*0.1&lt;E50,"Exceed 10% Rule","")</f>
      </c>
    </row>
    <row r="52" spans="2:5" ht="15.75">
      <c r="B52" s="248" t="s">
        <v>242</v>
      </c>
      <c r="C52" s="249">
        <f>SUM(C42:C50)</f>
        <v>0</v>
      </c>
      <c r="D52" s="249">
        <f>SUM(D42:D50)</f>
        <v>0</v>
      </c>
      <c r="E52" s="249">
        <f>SUM(E42:E50)</f>
        <v>0</v>
      </c>
    </row>
    <row r="53" spans="2:5" ht="15.75">
      <c r="B53" s="248" t="s">
        <v>243</v>
      </c>
      <c r="C53" s="249">
        <f>C52+C40</f>
        <v>0</v>
      </c>
      <c r="D53" s="249">
        <f>D52+D40</f>
        <v>0</v>
      </c>
      <c r="E53" s="249">
        <f>E52+E40</f>
        <v>0</v>
      </c>
    </row>
    <row r="54" spans="2:5" ht="15.75">
      <c r="B54" s="121" t="s">
        <v>244</v>
      </c>
      <c r="C54" s="38"/>
      <c r="D54" s="38"/>
      <c r="E54" s="38"/>
    </row>
    <row r="55" spans="2:5" ht="15.75">
      <c r="B55" s="243"/>
      <c r="C55" s="204"/>
      <c r="D55" s="204"/>
      <c r="E55" s="204"/>
    </row>
    <row r="56" spans="2:5" ht="15.75">
      <c r="B56" s="243"/>
      <c r="C56" s="204"/>
      <c r="D56" s="204"/>
      <c r="E56" s="204"/>
    </row>
    <row r="57" spans="2:5" ht="15.75">
      <c r="B57" s="243"/>
      <c r="C57" s="204"/>
      <c r="D57" s="204"/>
      <c r="E57" s="204"/>
    </row>
    <row r="58" spans="2:5" ht="15.75">
      <c r="B58" s="243"/>
      <c r="C58" s="204"/>
      <c r="D58" s="204"/>
      <c r="E58" s="204"/>
    </row>
    <row r="59" spans="2:5" ht="15.75">
      <c r="B59" s="243"/>
      <c r="C59" s="204"/>
      <c r="D59" s="204"/>
      <c r="E59" s="204"/>
    </row>
    <row r="60" spans="2:5" ht="15.75">
      <c r="B60" s="243"/>
      <c r="C60" s="204"/>
      <c r="D60" s="204"/>
      <c r="E60" s="204"/>
    </row>
    <row r="61" spans="2:5" ht="15.75">
      <c r="B61" s="243"/>
      <c r="C61" s="204"/>
      <c r="D61" s="204"/>
      <c r="E61" s="204"/>
    </row>
    <row r="62" spans="2:5" ht="15.75">
      <c r="B62" s="125" t="s">
        <v>426</v>
      </c>
      <c r="C62" s="37"/>
      <c r="D62" s="240"/>
      <c r="E62" s="240"/>
    </row>
    <row r="63" spans="2:5" ht="15.75">
      <c r="B63" s="125" t="s">
        <v>23</v>
      </c>
      <c r="C63" s="413">
        <f>IF(C64*0.1&lt;C62,"Exceed 10% Rule","")</f>
      </c>
      <c r="D63" s="247">
        <f>IF(D64*0.1&lt;D62,"Exceed 10% Rule","")</f>
      </c>
      <c r="E63" s="247">
        <f>IF(E64*0.1&lt;E62,"Exceed 10% Rule","")</f>
      </c>
    </row>
    <row r="64" spans="2:5" ht="15.75">
      <c r="B64" s="248" t="s">
        <v>245</v>
      </c>
      <c r="C64" s="249">
        <f>SUM(C55:C62)</f>
        <v>0</v>
      </c>
      <c r="D64" s="249">
        <f>SUM(D55:D62)</f>
        <v>0</v>
      </c>
      <c r="E64" s="249">
        <f>SUM(E55:E62)</f>
        <v>0</v>
      </c>
    </row>
    <row r="65" spans="2:5" ht="15.75">
      <c r="B65" s="121" t="s">
        <v>328</v>
      </c>
      <c r="C65" s="44">
        <f>C53-C64</f>
        <v>0</v>
      </c>
      <c r="D65" s="44">
        <f>D53-D64</f>
        <v>0</v>
      </c>
      <c r="E65" s="44">
        <f>E53-E64</f>
        <v>0</v>
      </c>
    </row>
    <row r="66" spans="2:5" ht="15.75">
      <c r="B66" s="140" t="str">
        <f>CONCATENATE("",F3-2,"/",F3-1," Budget Authority Amount:")</f>
        <v>2010/2011 Budget Authority Amount:</v>
      </c>
      <c r="C66" s="122">
        <f>inputOth!B47</f>
        <v>0</v>
      </c>
      <c r="D66" s="122">
        <f>inputPrYr!D27</f>
        <v>0</v>
      </c>
      <c r="E66" s="417">
        <f>IF(E65&lt;0,"See Tab E","")</f>
      </c>
    </row>
    <row r="67" spans="2:5" ht="15.75">
      <c r="B67" s="140"/>
      <c r="C67" s="251">
        <f>IF(C64&gt;C66,"See Tab A","")</f>
      </c>
      <c r="D67" s="251">
        <f>IF(D64&gt;D66,"See Tab C","")</f>
      </c>
      <c r="E67" s="18"/>
    </row>
    <row r="68" spans="2:5" ht="15.75">
      <c r="B68" s="140"/>
      <c r="C68" s="251">
        <f>IF(C65&lt;0,"See Tab B","")</f>
      </c>
      <c r="D68" s="251">
        <f>IF(D65&lt;0,"See Tab D","")</f>
      </c>
      <c r="E68" s="18"/>
    </row>
    <row r="69" spans="2:5" ht="15.75">
      <c r="B69" s="18"/>
      <c r="C69" s="18"/>
      <c r="D69" s="236"/>
      <c r="E69" s="236"/>
    </row>
    <row r="70" spans="2:5" ht="15.75">
      <c r="B70" s="140" t="s">
        <v>247</v>
      </c>
      <c r="C70" s="269"/>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0" t="str">
        <f>inputPrYr!$D$3</f>
        <v>N. Centropolis Fire</v>
      </c>
      <c r="B1" s="272"/>
      <c r="C1" s="62"/>
      <c r="D1" s="62"/>
      <c r="E1" s="62"/>
      <c r="F1" s="273" t="s">
        <v>440</v>
      </c>
      <c r="G1" s="62"/>
      <c r="H1" s="62"/>
      <c r="I1" s="62"/>
      <c r="J1" s="62"/>
      <c r="K1" s="62">
        <f>inputPrYr!$D$6</f>
        <v>2012</v>
      </c>
    </row>
    <row r="2" spans="1:11" ht="15.75">
      <c r="A2" s="62"/>
      <c r="B2" s="62"/>
      <c r="C2" s="62"/>
      <c r="D2" s="62"/>
      <c r="E2" s="62"/>
      <c r="F2" s="274" t="str">
        <f>CONCATENATE("(Only the actual budget year for ",K1-2," is to be shown)")</f>
        <v>(Only the actual budget year for 2010 is to be shown)</v>
      </c>
      <c r="G2" s="62"/>
      <c r="H2" s="62"/>
      <c r="I2" s="62"/>
      <c r="J2" s="62"/>
      <c r="K2" s="62"/>
    </row>
    <row r="3" spans="1:11" ht="15.75">
      <c r="A3" s="62" t="s">
        <v>441</v>
      </c>
      <c r="B3" s="62"/>
      <c r="C3" s="62"/>
      <c r="D3" s="62"/>
      <c r="E3" s="62"/>
      <c r="F3" s="272"/>
      <c r="G3" s="62"/>
      <c r="H3" s="62"/>
      <c r="I3" s="62"/>
      <c r="J3" s="62"/>
      <c r="K3" s="62"/>
    </row>
    <row r="4" spans="1:11" ht="15.75">
      <c r="A4" s="62" t="s">
        <v>442</v>
      </c>
      <c r="B4" s="62"/>
      <c r="C4" s="62" t="s">
        <v>443</v>
      </c>
      <c r="D4" s="62"/>
      <c r="E4" s="62" t="s">
        <v>444</v>
      </c>
      <c r="F4" s="272"/>
      <c r="G4" s="62" t="s">
        <v>445</v>
      </c>
      <c r="H4" s="62"/>
      <c r="I4" s="62" t="s">
        <v>446</v>
      </c>
      <c r="J4" s="62"/>
      <c r="K4" s="62"/>
    </row>
    <row r="5" spans="1:11" ht="15.75">
      <c r="A5" s="621">
        <f>inputPrYr!B30</f>
        <v>0</v>
      </c>
      <c r="B5" s="622"/>
      <c r="C5" s="621">
        <f>inputPrYr!B31</f>
        <v>0</v>
      </c>
      <c r="D5" s="622"/>
      <c r="E5" s="621">
        <f>inputPrYr!B32</f>
        <v>0</v>
      </c>
      <c r="F5" s="622"/>
      <c r="G5" s="621">
        <f>inputPrYr!B33</f>
        <v>0</v>
      </c>
      <c r="H5" s="622"/>
      <c r="I5" s="621">
        <f>inputPrYr!B34</f>
        <v>0</v>
      </c>
      <c r="J5" s="622"/>
      <c r="K5" s="276"/>
    </row>
    <row r="6" spans="1:11" ht="15.75">
      <c r="A6" s="277" t="s">
        <v>447</v>
      </c>
      <c r="B6" s="278"/>
      <c r="C6" s="279" t="s">
        <v>447</v>
      </c>
      <c r="D6" s="280"/>
      <c r="E6" s="279" t="s">
        <v>447</v>
      </c>
      <c r="F6" s="281"/>
      <c r="G6" s="279" t="s">
        <v>447</v>
      </c>
      <c r="H6" s="275"/>
      <c r="I6" s="279" t="s">
        <v>447</v>
      </c>
      <c r="J6" s="62"/>
      <c r="K6" s="282" t="s">
        <v>216</v>
      </c>
    </row>
    <row r="7" spans="1:11" ht="15.75">
      <c r="A7" s="283" t="s">
        <v>448</v>
      </c>
      <c r="B7" s="284"/>
      <c r="C7" s="285" t="s">
        <v>448</v>
      </c>
      <c r="D7" s="284"/>
      <c r="E7" s="285" t="s">
        <v>448</v>
      </c>
      <c r="F7" s="284"/>
      <c r="G7" s="285" t="s">
        <v>448</v>
      </c>
      <c r="H7" s="284"/>
      <c r="I7" s="285" t="s">
        <v>448</v>
      </c>
      <c r="J7" s="284"/>
      <c r="K7" s="286">
        <f>SUM(B7+D7+F7+H7+J7)</f>
        <v>0</v>
      </c>
    </row>
    <row r="8" spans="1:11" ht="15.75">
      <c r="A8" s="287" t="s">
        <v>329</v>
      </c>
      <c r="B8" s="288"/>
      <c r="C8" s="287" t="s">
        <v>329</v>
      </c>
      <c r="D8" s="289"/>
      <c r="E8" s="287" t="s">
        <v>329</v>
      </c>
      <c r="F8" s="272"/>
      <c r="G8" s="287" t="s">
        <v>329</v>
      </c>
      <c r="H8" s="62"/>
      <c r="I8" s="287" t="s">
        <v>329</v>
      </c>
      <c r="J8" s="62"/>
      <c r="K8" s="272"/>
    </row>
    <row r="9" spans="1:11" ht="15.75">
      <c r="A9" s="290"/>
      <c r="B9" s="284"/>
      <c r="C9" s="290"/>
      <c r="D9" s="284"/>
      <c r="E9" s="290"/>
      <c r="F9" s="284"/>
      <c r="G9" s="290"/>
      <c r="H9" s="284"/>
      <c r="I9" s="290"/>
      <c r="J9" s="284"/>
      <c r="K9" s="272"/>
    </row>
    <row r="10" spans="1:11" ht="15.75">
      <c r="A10" s="290"/>
      <c r="B10" s="284"/>
      <c r="C10" s="290"/>
      <c r="D10" s="284"/>
      <c r="E10" s="290"/>
      <c r="F10" s="284"/>
      <c r="G10" s="290"/>
      <c r="H10" s="284"/>
      <c r="I10" s="290"/>
      <c r="J10" s="284"/>
      <c r="K10" s="272"/>
    </row>
    <row r="11" spans="1:11" ht="15.75">
      <c r="A11" s="290"/>
      <c r="B11" s="284"/>
      <c r="C11" s="291"/>
      <c r="D11" s="292"/>
      <c r="E11" s="291"/>
      <c r="F11" s="284"/>
      <c r="G11" s="291"/>
      <c r="H11" s="284"/>
      <c r="I11" s="293"/>
      <c r="J11" s="284"/>
      <c r="K11" s="272"/>
    </row>
    <row r="12" spans="1:11" ht="15.75">
      <c r="A12" s="290"/>
      <c r="B12" s="294"/>
      <c r="C12" s="290"/>
      <c r="D12" s="295"/>
      <c r="E12" s="296"/>
      <c r="F12" s="284"/>
      <c r="G12" s="296"/>
      <c r="H12" s="284"/>
      <c r="I12" s="296"/>
      <c r="J12" s="284"/>
      <c r="K12" s="272"/>
    </row>
    <row r="13" spans="1:11" ht="15.75">
      <c r="A13" s="297"/>
      <c r="B13" s="298"/>
      <c r="C13" s="299"/>
      <c r="D13" s="295"/>
      <c r="E13" s="299"/>
      <c r="F13" s="284"/>
      <c r="G13" s="299"/>
      <c r="H13" s="284"/>
      <c r="I13" s="293"/>
      <c r="J13" s="284"/>
      <c r="K13" s="272"/>
    </row>
    <row r="14" spans="1:11" ht="15.75">
      <c r="A14" s="290"/>
      <c r="B14" s="284"/>
      <c r="C14" s="296"/>
      <c r="D14" s="295"/>
      <c r="E14" s="296"/>
      <c r="F14" s="284"/>
      <c r="G14" s="296"/>
      <c r="H14" s="284"/>
      <c r="I14" s="296"/>
      <c r="J14" s="284"/>
      <c r="K14" s="272"/>
    </row>
    <row r="15" spans="1:11" ht="15.75">
      <c r="A15" s="290"/>
      <c r="B15" s="284"/>
      <c r="C15" s="296"/>
      <c r="D15" s="295"/>
      <c r="E15" s="296"/>
      <c r="F15" s="284"/>
      <c r="G15" s="296"/>
      <c r="H15" s="284"/>
      <c r="I15" s="296"/>
      <c r="J15" s="284"/>
      <c r="K15" s="272"/>
    </row>
    <row r="16" spans="1:11" ht="15.75">
      <c r="A16" s="290"/>
      <c r="B16" s="298"/>
      <c r="C16" s="290"/>
      <c r="D16" s="295"/>
      <c r="E16" s="290"/>
      <c r="F16" s="284"/>
      <c r="G16" s="296"/>
      <c r="H16" s="284"/>
      <c r="I16" s="290"/>
      <c r="J16" s="284"/>
      <c r="K16" s="272"/>
    </row>
    <row r="17" spans="1:11" ht="15.75">
      <c r="A17" s="287" t="s">
        <v>242</v>
      </c>
      <c r="B17" s="286">
        <f>SUM(B9:B16)</f>
        <v>0</v>
      </c>
      <c r="C17" s="287" t="s">
        <v>242</v>
      </c>
      <c r="D17" s="286">
        <f>SUM(D9:D16)</f>
        <v>0</v>
      </c>
      <c r="E17" s="287" t="s">
        <v>242</v>
      </c>
      <c r="F17" s="300">
        <f>SUM(F9:F16)</f>
        <v>0</v>
      </c>
      <c r="G17" s="287" t="s">
        <v>242</v>
      </c>
      <c r="H17" s="286">
        <f>SUM(H9:H16)</f>
        <v>0</v>
      </c>
      <c r="I17" s="287" t="s">
        <v>242</v>
      </c>
      <c r="J17" s="286">
        <f>SUM(J9:J16)</f>
        <v>0</v>
      </c>
      <c r="K17" s="286">
        <f>SUM(B17+D17+F17+H17+J17)</f>
        <v>0</v>
      </c>
    </row>
    <row r="18" spans="1:11" ht="15.75">
      <c r="A18" s="287" t="s">
        <v>243</v>
      </c>
      <c r="B18" s="286">
        <f>SUM(B7+B17)</f>
        <v>0</v>
      </c>
      <c r="C18" s="287" t="s">
        <v>243</v>
      </c>
      <c r="D18" s="286">
        <f>SUM(D7+D17)</f>
        <v>0</v>
      </c>
      <c r="E18" s="287" t="s">
        <v>243</v>
      </c>
      <c r="F18" s="286">
        <f>SUM(F7+F17)</f>
        <v>0</v>
      </c>
      <c r="G18" s="287" t="s">
        <v>243</v>
      </c>
      <c r="H18" s="286">
        <f>SUM(H7+H17)</f>
        <v>0</v>
      </c>
      <c r="I18" s="287" t="s">
        <v>243</v>
      </c>
      <c r="J18" s="286">
        <f>SUM(J7+J17)</f>
        <v>0</v>
      </c>
      <c r="K18" s="286">
        <f>SUM(B18+D18+F18+H18+J18)</f>
        <v>0</v>
      </c>
    </row>
    <row r="19" spans="1:11" ht="15.75">
      <c r="A19" s="287" t="s">
        <v>244</v>
      </c>
      <c r="B19" s="288"/>
      <c r="C19" s="287" t="s">
        <v>244</v>
      </c>
      <c r="D19" s="289"/>
      <c r="E19" s="287" t="s">
        <v>244</v>
      </c>
      <c r="F19" s="272"/>
      <c r="G19" s="287" t="s">
        <v>244</v>
      </c>
      <c r="H19" s="62"/>
      <c r="I19" s="287" t="s">
        <v>244</v>
      </c>
      <c r="J19" s="62"/>
      <c r="K19" s="272"/>
    </row>
    <row r="20" spans="1:11" ht="15.75">
      <c r="A20" s="290"/>
      <c r="B20" s="284"/>
      <c r="C20" s="296"/>
      <c r="D20" s="284"/>
      <c r="E20" s="296"/>
      <c r="F20" s="284"/>
      <c r="G20" s="296"/>
      <c r="H20" s="284"/>
      <c r="I20" s="296"/>
      <c r="J20" s="284"/>
      <c r="K20" s="272"/>
    </row>
    <row r="21" spans="1:11" ht="15.75">
      <c r="A21" s="290"/>
      <c r="B21" s="284"/>
      <c r="C21" s="296"/>
      <c r="D21" s="284"/>
      <c r="E21" s="296"/>
      <c r="F21" s="284"/>
      <c r="G21" s="296"/>
      <c r="H21" s="284"/>
      <c r="I21" s="296"/>
      <c r="J21" s="284"/>
      <c r="K21" s="272"/>
    </row>
    <row r="22" spans="1:11" ht="15.75">
      <c r="A22" s="290"/>
      <c r="B22" s="284"/>
      <c r="C22" s="299"/>
      <c r="D22" s="284"/>
      <c r="E22" s="299"/>
      <c r="F22" s="284"/>
      <c r="G22" s="299"/>
      <c r="H22" s="284"/>
      <c r="I22" s="293"/>
      <c r="J22" s="284"/>
      <c r="K22" s="272"/>
    </row>
    <row r="23" spans="1:11" ht="15.75">
      <c r="A23" s="290"/>
      <c r="B23" s="284"/>
      <c r="C23" s="296"/>
      <c r="D23" s="284"/>
      <c r="E23" s="296"/>
      <c r="F23" s="284"/>
      <c r="G23" s="296"/>
      <c r="H23" s="284"/>
      <c r="I23" s="296"/>
      <c r="J23" s="284"/>
      <c r="K23" s="272"/>
    </row>
    <row r="24" spans="1:11" ht="15.75">
      <c r="A24" s="290"/>
      <c r="B24" s="284"/>
      <c r="C24" s="299"/>
      <c r="D24" s="284"/>
      <c r="E24" s="299"/>
      <c r="F24" s="284"/>
      <c r="G24" s="299"/>
      <c r="H24" s="284"/>
      <c r="I24" s="293"/>
      <c r="J24" s="284"/>
      <c r="K24" s="272"/>
    </row>
    <row r="25" spans="1:11" ht="15.75">
      <c r="A25" s="290"/>
      <c r="B25" s="284"/>
      <c r="C25" s="296"/>
      <c r="D25" s="284"/>
      <c r="E25" s="296"/>
      <c r="F25" s="284"/>
      <c r="G25" s="296"/>
      <c r="H25" s="284"/>
      <c r="I25" s="296"/>
      <c r="J25" s="284"/>
      <c r="K25" s="272"/>
    </row>
    <row r="26" spans="1:11" ht="15.75">
      <c r="A26" s="290"/>
      <c r="B26" s="284"/>
      <c r="C26" s="296"/>
      <c r="D26" s="284"/>
      <c r="E26" s="296"/>
      <c r="F26" s="284"/>
      <c r="G26" s="296"/>
      <c r="H26" s="284"/>
      <c r="I26" s="296"/>
      <c r="J26" s="284"/>
      <c r="K26" s="272"/>
    </row>
    <row r="27" spans="1:11" ht="15.75">
      <c r="A27" s="290"/>
      <c r="B27" s="284"/>
      <c r="C27" s="290"/>
      <c r="D27" s="284"/>
      <c r="E27" s="290"/>
      <c r="F27" s="284"/>
      <c r="G27" s="296"/>
      <c r="H27" s="284"/>
      <c r="I27" s="296"/>
      <c r="J27" s="284"/>
      <c r="K27" s="272"/>
    </row>
    <row r="28" spans="1:11" ht="15.75">
      <c r="A28" s="287" t="s">
        <v>245</v>
      </c>
      <c r="B28" s="286">
        <f>SUM(B20:B27)</f>
        <v>0</v>
      </c>
      <c r="C28" s="287" t="s">
        <v>245</v>
      </c>
      <c r="D28" s="286">
        <f>SUM(D20:D27)</f>
        <v>0</v>
      </c>
      <c r="E28" s="287" t="s">
        <v>245</v>
      </c>
      <c r="F28" s="300">
        <f>SUM(F20:F27)</f>
        <v>0</v>
      </c>
      <c r="G28" s="287" t="s">
        <v>245</v>
      </c>
      <c r="H28" s="300">
        <f>SUM(H20:H27)</f>
        <v>0</v>
      </c>
      <c r="I28" s="287" t="s">
        <v>245</v>
      </c>
      <c r="J28" s="286">
        <f>SUM(J20:J27)</f>
        <v>0</v>
      </c>
      <c r="K28" s="286">
        <f>SUM(B28+D28+F28+H28+J28)</f>
        <v>0</v>
      </c>
    </row>
    <row r="29" spans="1:12" ht="15.75">
      <c r="A29" s="287" t="s">
        <v>449</v>
      </c>
      <c r="B29" s="286">
        <f>SUM(B18-B28)</f>
        <v>0</v>
      </c>
      <c r="C29" s="287" t="s">
        <v>449</v>
      </c>
      <c r="D29" s="286">
        <f>SUM(D18-D28)</f>
        <v>0</v>
      </c>
      <c r="E29" s="287" t="s">
        <v>449</v>
      </c>
      <c r="F29" s="286">
        <f>SUM(F18-F28)</f>
        <v>0</v>
      </c>
      <c r="G29" s="287" t="s">
        <v>449</v>
      </c>
      <c r="H29" s="286">
        <f>SUM(H18-H28)</f>
        <v>0</v>
      </c>
      <c r="I29" s="287" t="s">
        <v>449</v>
      </c>
      <c r="J29" s="286">
        <f>SUM(J18-J28)</f>
        <v>0</v>
      </c>
      <c r="K29" s="301">
        <f>SUM(B29+D29+F29+H29+J29)</f>
        <v>0</v>
      </c>
      <c r="L29" s="98" t="s">
        <v>450</v>
      </c>
    </row>
    <row r="30" spans="1:12" ht="15.75">
      <c r="A30" s="287"/>
      <c r="B30" s="338">
        <f>IF(B29&lt;0,"See Tab B","")</f>
      </c>
      <c r="C30" s="287"/>
      <c r="D30" s="338">
        <f>IF(D29&lt;0,"See Tab B","")</f>
      </c>
      <c r="E30" s="287"/>
      <c r="F30" s="338">
        <f>IF(F29&lt;0,"See Tab B","")</f>
      </c>
      <c r="G30" s="62"/>
      <c r="H30" s="338">
        <f>IF(H29&lt;0,"See Tab B","")</f>
      </c>
      <c r="I30" s="62"/>
      <c r="J30" s="338">
        <f>IF(J29&lt;0,"See Tab B","")</f>
      </c>
      <c r="K30" s="301">
        <f>SUM(K7+K17-K28)</f>
        <v>0</v>
      </c>
      <c r="L30" s="98" t="s">
        <v>450</v>
      </c>
    </row>
    <row r="31" spans="1:11" ht="15.75">
      <c r="A31" s="62"/>
      <c r="B31" s="302"/>
      <c r="C31" s="62"/>
      <c r="D31" s="272"/>
      <c r="E31" s="62"/>
      <c r="F31" s="62"/>
      <c r="G31" s="303" t="s">
        <v>451</v>
      </c>
      <c r="H31" s="303"/>
      <c r="I31" s="303"/>
      <c r="J31" s="303"/>
      <c r="K31" s="62"/>
    </row>
    <row r="32" spans="1:11" ht="15.75">
      <c r="A32" s="62"/>
      <c r="B32" s="302"/>
      <c r="C32" s="62"/>
      <c r="D32" s="62"/>
      <c r="E32" s="62"/>
      <c r="F32" s="62"/>
      <c r="G32" s="62"/>
      <c r="H32" s="62"/>
      <c r="I32" s="62"/>
      <c r="J32" s="62"/>
      <c r="K32" s="62"/>
    </row>
    <row r="33" spans="1:11" ht="15.75">
      <c r="A33" s="62"/>
      <c r="B33" s="302"/>
      <c r="C33" s="62"/>
      <c r="D33" s="62"/>
      <c r="E33" s="304" t="s">
        <v>247</v>
      </c>
      <c r="F33" s="269"/>
      <c r="G33" s="62"/>
      <c r="H33" s="62"/>
      <c r="I33" s="62"/>
      <c r="J33" s="62"/>
      <c r="K33" s="62"/>
    </row>
    <row r="34" ht="15.75">
      <c r="B34" s="305"/>
    </row>
    <row r="35" ht="15.75">
      <c r="B35" s="305"/>
    </row>
    <row r="36" ht="15.75">
      <c r="B36" s="305"/>
    </row>
    <row r="37" ht="15.75">
      <c r="B37" s="305"/>
    </row>
    <row r="38" ht="15.75">
      <c r="B38" s="305"/>
    </row>
    <row r="39" ht="15.75">
      <c r="B39" s="305"/>
    </row>
    <row r="40" ht="15.75">
      <c r="B40" s="305"/>
    </row>
    <row r="41" ht="15.75">
      <c r="B41" s="30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4" t="s">
        <v>496</v>
      </c>
    </row>
    <row r="2" ht="15.75">
      <c r="A2" s="98"/>
    </row>
    <row r="3" ht="15.75">
      <c r="A3" s="98"/>
    </row>
    <row r="4" ht="56.25" customHeight="1">
      <c r="A4" s="335" t="s">
        <v>497</v>
      </c>
    </row>
    <row r="5" ht="15.75">
      <c r="A5" s="336"/>
    </row>
    <row r="6" ht="15.75">
      <c r="A6" s="98"/>
    </row>
    <row r="7" ht="50.25" customHeight="1">
      <c r="A7" s="335" t="s">
        <v>498</v>
      </c>
    </row>
    <row r="8" ht="15.75">
      <c r="A8" s="98"/>
    </row>
    <row r="9" ht="15.75">
      <c r="A9" s="98"/>
    </row>
    <row r="10" ht="52.5" customHeight="1">
      <c r="A10" s="335" t="s">
        <v>499</v>
      </c>
    </row>
    <row r="11" ht="15.75">
      <c r="A11" s="98"/>
    </row>
    <row r="12" ht="15.75">
      <c r="A12" s="98"/>
    </row>
    <row r="13" ht="52.5" customHeight="1">
      <c r="A13" s="335" t="s">
        <v>500</v>
      </c>
    </row>
    <row r="14" ht="15.75">
      <c r="A14" s="336"/>
    </row>
    <row r="15" ht="15.75">
      <c r="A15" s="336"/>
    </row>
    <row r="16" ht="51" customHeight="1">
      <c r="A16" s="511" t="s">
        <v>118</v>
      </c>
    </row>
    <row r="17" ht="15.75">
      <c r="A17" s="336"/>
    </row>
    <row r="18" ht="15.75">
      <c r="A18" s="336"/>
    </row>
    <row r="19" ht="37.5" customHeight="1">
      <c r="A19" s="335" t="s">
        <v>501</v>
      </c>
    </row>
    <row r="20" ht="15.75">
      <c r="A20" s="98"/>
    </row>
    <row r="21" ht="15.75">
      <c r="A21" s="98"/>
    </row>
    <row r="22" ht="47.25">
      <c r="A22" s="335" t="s">
        <v>502</v>
      </c>
    </row>
    <row r="23" ht="15.75">
      <c r="A23" s="336"/>
    </row>
    <row r="24" ht="15.75">
      <c r="A24" s="98"/>
    </row>
    <row r="25" ht="67.5" customHeight="1">
      <c r="A25" s="335" t="s">
        <v>503</v>
      </c>
    </row>
    <row r="26" ht="68.25" customHeight="1">
      <c r="A26" s="337" t="s">
        <v>504</v>
      </c>
    </row>
    <row r="27" ht="15.75">
      <c r="A27" s="98"/>
    </row>
    <row r="28" ht="15.75">
      <c r="A28" s="98"/>
    </row>
    <row r="29" ht="51" customHeight="1">
      <c r="A29" s="512" t="s">
        <v>119</v>
      </c>
    </row>
    <row r="30" ht="15.75">
      <c r="A30" s="98"/>
    </row>
    <row r="31" ht="15.75">
      <c r="A31" s="336"/>
    </row>
    <row r="32" ht="69" customHeight="1">
      <c r="A32" s="512" t="s">
        <v>120</v>
      </c>
    </row>
    <row r="33" ht="15.75">
      <c r="A33" s="336"/>
    </row>
    <row r="34" ht="15.75">
      <c r="A34" s="336"/>
    </row>
    <row r="35" ht="52.5" customHeight="1">
      <c r="A35" s="512" t="s">
        <v>121</v>
      </c>
    </row>
    <row r="36" ht="15.75">
      <c r="A36" s="336"/>
    </row>
    <row r="37" ht="15.75">
      <c r="A37" s="336"/>
    </row>
    <row r="38" ht="59.25" customHeight="1">
      <c r="A38" s="335" t="s">
        <v>505</v>
      </c>
    </row>
    <row r="39" ht="15.75">
      <c r="A39" s="98"/>
    </row>
    <row r="40" ht="15.75">
      <c r="A40" s="98"/>
    </row>
    <row r="41" ht="53.25" customHeight="1">
      <c r="A41" s="335" t="s">
        <v>506</v>
      </c>
    </row>
    <row r="42" ht="15.75">
      <c r="A42" s="336"/>
    </row>
    <row r="43" ht="15.75">
      <c r="A43" s="336"/>
    </row>
    <row r="44" ht="38.25" customHeight="1">
      <c r="A44" s="335" t="s">
        <v>507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C22" sqref="C2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73" t="s">
        <v>285</v>
      </c>
      <c r="B1" s="573"/>
      <c r="C1" s="573"/>
      <c r="D1" s="573"/>
      <c r="E1" s="573"/>
      <c r="F1" s="573"/>
      <c r="G1" s="573"/>
      <c r="H1" s="630"/>
    </row>
    <row r="2" spans="1:8" ht="15.75">
      <c r="A2" s="18"/>
      <c r="B2" s="18"/>
      <c r="C2" s="18"/>
      <c r="D2" s="18"/>
      <c r="E2" s="18"/>
      <c r="F2" s="18"/>
      <c r="G2" s="18"/>
      <c r="H2" s="18"/>
    </row>
    <row r="3" spans="1:9" ht="15.75">
      <c r="A3" s="602" t="s">
        <v>312</v>
      </c>
      <c r="B3" s="602"/>
      <c r="C3" s="602"/>
      <c r="D3" s="602"/>
      <c r="E3" s="602"/>
      <c r="F3" s="602"/>
      <c r="G3" s="602"/>
      <c r="H3" s="602"/>
      <c r="I3" s="54">
        <f>inputPrYr!D6</f>
        <v>2012</v>
      </c>
    </row>
    <row r="4" spans="1:8" ht="15.75">
      <c r="A4" s="571" t="str">
        <f>inputPrYr!D3</f>
        <v>N. Centropolis Fire</v>
      </c>
      <c r="B4" s="571"/>
      <c r="C4" s="571"/>
      <c r="D4" s="571"/>
      <c r="E4" s="571"/>
      <c r="F4" s="571"/>
      <c r="G4" s="571"/>
      <c r="H4" s="571"/>
    </row>
    <row r="5" spans="1:8" ht="15.75">
      <c r="A5" s="633" t="str">
        <f>inputPrYr!D4</f>
        <v>Franklin County</v>
      </c>
      <c r="B5" s="633"/>
      <c r="C5" s="633"/>
      <c r="D5" s="633"/>
      <c r="E5" s="633"/>
      <c r="F5" s="633"/>
      <c r="G5" s="633"/>
      <c r="H5" s="633"/>
    </row>
    <row r="6" spans="1:8" ht="15.75">
      <c r="A6" s="589" t="str">
        <f>CONCATENATE("will meet on ",inputBudSum!B5," at ",inputBudSum!B7," at ",inputBudSum!B9," for the purpose of hearing and")</f>
        <v>will meet on August 8, 2011 at 7:30 p.m. at Centropolis Township Hall for the purpose of hearing and</v>
      </c>
      <c r="B6" s="589"/>
      <c r="C6" s="589"/>
      <c r="D6" s="589"/>
      <c r="E6" s="589"/>
      <c r="F6" s="589"/>
      <c r="G6" s="589"/>
      <c r="H6" s="589"/>
    </row>
    <row r="7" spans="1:8" ht="15.75">
      <c r="A7" s="100" t="s">
        <v>538</v>
      </c>
      <c r="B7" s="26"/>
      <c r="C7" s="26"/>
      <c r="D7" s="26"/>
      <c r="E7" s="26"/>
      <c r="F7" s="26"/>
      <c r="G7" s="26"/>
      <c r="H7" s="26"/>
    </row>
    <row r="8" spans="1:8" ht="15.75">
      <c r="A8" s="100" t="str">
        <f>CONCATENATE("Detailed budget information is available at ",inputBudSum!B12," and will be available at this hearing.")</f>
        <v>Detailed budget information is available at Franklin County Clerk's Office and will be available at this hearing.</v>
      </c>
      <c r="B8" s="26"/>
      <c r="C8" s="26"/>
      <c r="D8" s="26"/>
      <c r="E8" s="26"/>
      <c r="F8" s="26"/>
      <c r="G8" s="26"/>
      <c r="H8" s="26"/>
    </row>
    <row r="9" spans="1:8" ht="15.75">
      <c r="A9" s="25" t="s">
        <v>286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23" t="str">
        <f>CONCATENATE("Estimated Value Of One Mill For ",I3,"")</f>
        <v>Estimated Value Of One Mill For 2012</v>
      </c>
      <c r="K12" s="624"/>
      <c r="L12" s="624"/>
      <c r="M12" s="625"/>
    </row>
    <row r="13" spans="1:13" ht="15.75">
      <c r="A13" s="222"/>
      <c r="B13" s="307" t="str">
        <f>CONCATENATE("Prior Year Actual ",I3-2,"")</f>
        <v>Prior Year Actual 2010</v>
      </c>
      <c r="C13" s="308"/>
      <c r="D13" s="309" t="str">
        <f>CONCATENATE("Current Year Estimate for ",I3-1,"")</f>
        <v>Current Year Estimate for 2011</v>
      </c>
      <c r="E13" s="308"/>
      <c r="F13" s="307" t="str">
        <f>CONCATENATE("Proposed Budget Year for ",I3,"")</f>
        <v>Proposed Budget Year for 2012</v>
      </c>
      <c r="G13" s="310"/>
      <c r="H13" s="308"/>
      <c r="J13" s="549"/>
      <c r="K13" s="550"/>
      <c r="L13" s="550"/>
      <c r="M13" s="551"/>
    </row>
    <row r="14" spans="1:13" ht="15.75">
      <c r="A14" s="225"/>
      <c r="B14" s="107"/>
      <c r="C14" s="311" t="s">
        <v>254</v>
      </c>
      <c r="D14" s="107"/>
      <c r="E14" s="311" t="s">
        <v>254</v>
      </c>
      <c r="F14" s="225" t="s">
        <v>420</v>
      </c>
      <c r="G14" s="631" t="str">
        <f>CONCATENATE("Amount of ",I3-1," Ad Valorem Tax")</f>
        <v>Amount of 2011 Ad Valorem Tax</v>
      </c>
      <c r="H14" s="311" t="s">
        <v>27</v>
      </c>
      <c r="J14" s="552" t="s">
        <v>133</v>
      </c>
      <c r="K14" s="553"/>
      <c r="L14" s="553"/>
      <c r="M14" s="554">
        <f>ROUND(F21/1000,0)</f>
        <v>4147</v>
      </c>
    </row>
    <row r="15" spans="1:13" ht="15.75">
      <c r="A15" s="174" t="s">
        <v>255</v>
      </c>
      <c r="B15" s="116" t="s">
        <v>256</v>
      </c>
      <c r="C15" s="312" t="s">
        <v>401</v>
      </c>
      <c r="D15" s="116" t="s">
        <v>256</v>
      </c>
      <c r="E15" s="312" t="s">
        <v>401</v>
      </c>
      <c r="F15" s="116" t="s">
        <v>22</v>
      </c>
      <c r="G15" s="632"/>
      <c r="H15" s="312" t="s">
        <v>401</v>
      </c>
      <c r="J15" s="16"/>
      <c r="K15" s="16"/>
      <c r="L15" s="16"/>
      <c r="M15" s="16"/>
    </row>
    <row r="16" spans="1:13" ht="15.75">
      <c r="A16" s="38" t="str">
        <f>inputPrYr!B19</f>
        <v>General</v>
      </c>
      <c r="B16" s="126">
        <f>IF(gen!$C$50&lt;&gt;0,gen!$C$50,"  ")</f>
        <v>10680</v>
      </c>
      <c r="C16" s="124">
        <f>IF(inputPrYr!D38&gt;0,inputPrYr!D38,"  ")</f>
        <v>2.029</v>
      </c>
      <c r="D16" s="126">
        <f>IF(gen!$D$50&lt;&gt;0,gen!$D$50,"  ")</f>
        <v>13100</v>
      </c>
      <c r="E16" s="124">
        <f>IF(inputOth!D16&gt;0,inputOth!D16,"  ")</f>
        <v>2.077</v>
      </c>
      <c r="F16" s="126">
        <f>IF(gen!$E$50&lt;&gt;0,gen!$E$50,"  ")</f>
        <v>21475</v>
      </c>
      <c r="G16" s="126">
        <f>IF(gen!$E$57&lt;&gt;0,gen!$E$57,"  ")</f>
        <v>8724</v>
      </c>
      <c r="H16" s="124">
        <f>IF(gen!E57&gt;0,ROUND(G16/$F$21*1000,3)," ")</f>
        <v>2.104</v>
      </c>
      <c r="J16" s="623" t="str">
        <f>CONCATENATE("Want The Mill Rate The Same As For ",I3-1,"?")</f>
        <v>Want The Mill Rate The Same As For 2011?</v>
      </c>
      <c r="K16" s="626"/>
      <c r="L16" s="626"/>
      <c r="M16" s="627"/>
    </row>
    <row r="17" spans="1:13" ht="15.75">
      <c r="A17" s="35" t="s">
        <v>336</v>
      </c>
      <c r="B17" s="316">
        <f aca="true" t="shared" si="0" ref="B17:H17">SUM(B16:B16)</f>
        <v>10680</v>
      </c>
      <c r="C17" s="535">
        <f t="shared" si="0"/>
        <v>2.029</v>
      </c>
      <c r="D17" s="316">
        <f t="shared" si="0"/>
        <v>13100</v>
      </c>
      <c r="E17" s="535">
        <f t="shared" si="0"/>
        <v>2.077</v>
      </c>
      <c r="F17" s="316">
        <f t="shared" si="0"/>
        <v>21475</v>
      </c>
      <c r="G17" s="316">
        <f t="shared" si="0"/>
        <v>8724</v>
      </c>
      <c r="H17" s="535">
        <f t="shared" si="0"/>
        <v>2.104</v>
      </c>
      <c r="J17" s="623" t="str">
        <f>CONCATENATE("Impact On Keeping The Same Mill Rate As For ",I3-1,"")</f>
        <v>Impact On Keeping The Same Mill Rate As For 2011</v>
      </c>
      <c r="K17" s="628"/>
      <c r="L17" s="628"/>
      <c r="M17" s="629"/>
    </row>
    <row r="18" spans="1:13" ht="15.75">
      <c r="A18" s="35" t="s">
        <v>371</v>
      </c>
      <c r="B18" s="209">
        <f>transfers!C26</f>
        <v>0</v>
      </c>
      <c r="C18" s="128"/>
      <c r="D18" s="209">
        <f>transfers!D26</f>
        <v>0</v>
      </c>
      <c r="E18" s="128"/>
      <c r="F18" s="313">
        <f>transfers!E26</f>
        <v>0</v>
      </c>
      <c r="G18" s="255"/>
      <c r="H18" s="314"/>
      <c r="J18" s="555"/>
      <c r="K18" s="550"/>
      <c r="L18" s="550"/>
      <c r="M18" s="556"/>
    </row>
    <row r="19" spans="1:13" ht="16.5" thickBot="1">
      <c r="A19" s="35" t="s">
        <v>372</v>
      </c>
      <c r="B19" s="131">
        <f>SUM(B17-B18)</f>
        <v>10680</v>
      </c>
      <c r="C19" s="315"/>
      <c r="D19" s="131">
        <f>SUM(D17-D18)</f>
        <v>13100</v>
      </c>
      <c r="E19" s="315"/>
      <c r="F19" s="534">
        <f>SUM(F17-F18)</f>
        <v>21475</v>
      </c>
      <c r="G19" s="255"/>
      <c r="H19" s="314"/>
      <c r="J19" s="555" t="str">
        <f>CONCATENATE("",I3," Ad Valorem Tax Revenue:")</f>
        <v>2012 Ad Valorem Tax Revenue:</v>
      </c>
      <c r="K19" s="550"/>
      <c r="L19" s="550"/>
      <c r="M19" s="551">
        <f>G17</f>
        <v>8724</v>
      </c>
    </row>
    <row r="20" spans="1:13" ht="16.5" thickTop="1">
      <c r="A20" s="35" t="s">
        <v>257</v>
      </c>
      <c r="B20" s="316">
        <f>inputPrYr!E44</f>
        <v>8557</v>
      </c>
      <c r="C20" s="225"/>
      <c r="D20" s="316">
        <f>inputPrYr!E24</f>
        <v>8622</v>
      </c>
      <c r="E20" s="225"/>
      <c r="F20" s="317" t="s">
        <v>377</v>
      </c>
      <c r="G20" s="18"/>
      <c r="H20" s="18"/>
      <c r="J20" s="555" t="str">
        <f>CONCATENATE("",I3-1," Ad Valorem Tax Revenue:")</f>
        <v>2011 Ad Valorem Tax Revenue:</v>
      </c>
      <c r="K20" s="550"/>
      <c r="L20" s="550"/>
      <c r="M20" s="557" t="e">
        <f>ROUND(F21*#REF!/1000,0)</f>
        <v>#REF!</v>
      </c>
    </row>
    <row r="21" spans="1:13" ht="15.75">
      <c r="A21" s="35" t="s">
        <v>373</v>
      </c>
      <c r="B21" s="209">
        <f>inputPrYr!E45</f>
        <v>4218043</v>
      </c>
      <c r="C21" s="225"/>
      <c r="D21" s="209">
        <f>inputOth!E24</f>
        <v>4151848</v>
      </c>
      <c r="E21" s="225"/>
      <c r="F21" s="209">
        <f>inputOth!E7</f>
        <v>4147229</v>
      </c>
      <c r="G21" s="18"/>
      <c r="H21" s="18"/>
      <c r="J21" s="558" t="s">
        <v>134</v>
      </c>
      <c r="K21" s="559"/>
      <c r="L21" s="559"/>
      <c r="M21" s="554" t="e">
        <f>M19-M20</f>
        <v>#REF!</v>
      </c>
    </row>
    <row r="22" spans="1:8" ht="15.75">
      <c r="A22" s="270" t="s">
        <v>258</v>
      </c>
      <c r="B22" s="18"/>
      <c r="C22" s="18"/>
      <c r="D22" s="18"/>
      <c r="E22" s="236"/>
      <c r="F22" s="236"/>
      <c r="G22" s="18"/>
      <c r="H22" s="54"/>
    </row>
    <row r="23" spans="1:8" ht="15.75">
      <c r="A23" s="54"/>
      <c r="B23" s="18"/>
      <c r="C23" s="18"/>
      <c r="D23" s="18"/>
      <c r="E23" s="18"/>
      <c r="F23" s="18"/>
      <c r="G23" s="18"/>
      <c r="H23" s="54"/>
    </row>
    <row r="24" spans="1:8" ht="15.75">
      <c r="A24" s="62"/>
      <c r="B24" s="18"/>
      <c r="C24" s="18"/>
      <c r="D24" s="18"/>
      <c r="E24" s="18"/>
      <c r="F24" s="18"/>
      <c r="G24" s="18"/>
      <c r="H24" s="62"/>
    </row>
    <row r="25" spans="1:8" ht="15.75">
      <c r="A25" s="596" t="s">
        <v>342</v>
      </c>
      <c r="B25" s="597"/>
      <c r="C25" s="101"/>
      <c r="D25" s="18"/>
      <c r="E25" s="18"/>
      <c r="F25" s="18"/>
      <c r="G25" s="18"/>
      <c r="H25" s="54"/>
    </row>
    <row r="26" spans="1:8" ht="15.75">
      <c r="A26" s="306" t="s">
        <v>259</v>
      </c>
      <c r="B26" s="26"/>
      <c r="C26" s="18"/>
      <c r="D26" s="140" t="s">
        <v>247</v>
      </c>
      <c r="E26" s="536">
        <v>7</v>
      </c>
      <c r="F26" s="18"/>
      <c r="G26" s="18"/>
      <c r="H26" s="54"/>
    </row>
    <row r="28" spans="1:8" ht="15.75">
      <c r="A28" s="16"/>
      <c r="B28" s="16"/>
      <c r="C28" s="16"/>
      <c r="D28" s="16"/>
      <c r="E28" s="16"/>
      <c r="F28" s="16"/>
      <c r="G28" s="16"/>
      <c r="H28"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sheetData>
  <sheetProtection sheet="1"/>
  <mergeCells count="10">
    <mergeCell ref="J12:M12"/>
    <mergeCell ref="J16:M16"/>
    <mergeCell ref="J17:M17"/>
    <mergeCell ref="A25:B25"/>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6"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18" t="str">
        <f>inputPrYr!D3</f>
        <v>N. Centropolis Fire</v>
      </c>
      <c r="B1" s="54"/>
      <c r="C1" s="54"/>
      <c r="D1" s="54"/>
      <c r="E1" s="54"/>
      <c r="F1" s="54">
        <f>inputPrYr!D6</f>
        <v>2012</v>
      </c>
    </row>
    <row r="2" spans="1:6" ht="15.75">
      <c r="A2" s="318"/>
      <c r="B2" s="54"/>
      <c r="C2" s="54"/>
      <c r="D2" s="54"/>
      <c r="E2" s="54"/>
      <c r="F2" s="54"/>
    </row>
    <row r="3" spans="1:6" ht="15.75">
      <c r="A3" s="54"/>
      <c r="B3" s="54"/>
      <c r="C3" s="54"/>
      <c r="D3" s="54"/>
      <c r="E3" s="54"/>
      <c r="F3" s="54"/>
    </row>
    <row r="4" spans="1:6" ht="15.75">
      <c r="A4" s="18"/>
      <c r="B4" s="588" t="str">
        <f>CONCATENATE("",F1," Neighborhood Revitalization Rebate")</f>
        <v>2012 Neighborhood Revitalization Rebate</v>
      </c>
      <c r="C4" s="636"/>
      <c r="D4" s="636"/>
      <c r="E4" s="630"/>
      <c r="F4" s="54"/>
    </row>
    <row r="5" spans="1:6" ht="15.75">
      <c r="A5" s="18"/>
      <c r="B5" s="18"/>
      <c r="C5" s="18"/>
      <c r="D5" s="18"/>
      <c r="E5" s="18"/>
      <c r="F5" s="54"/>
    </row>
    <row r="6" spans="1:6" ht="51.75" customHeight="1">
      <c r="A6" s="18"/>
      <c r="B6" s="163" t="str">
        <f>CONCATENATE("Budgeted Funds                                 for ",F1,"")</f>
        <v>Budgeted Funds                                 for 2012</v>
      </c>
      <c r="C6" s="163" t="str">
        <f>CONCATENATE("",F1-1," Ad Valorem before Rebate**")</f>
        <v>2011 Ad Valorem before Rebate**</v>
      </c>
      <c r="D6" s="319" t="str">
        <f>CONCATENATE("",F1-1," Mil Rate before Rebate")</f>
        <v>2011 Mil Rate before Rebate</v>
      </c>
      <c r="E6" s="320" t="str">
        <f>CONCATENATE("Estimate ",F1," NR Rebate")</f>
        <v>Estimate 2012 NR Rebate</v>
      </c>
      <c r="F6" s="54"/>
    </row>
    <row r="7" spans="1:6" ht="15.75">
      <c r="A7" s="18"/>
      <c r="B7" s="321" t="str">
        <f>inputPrYr!B19</f>
        <v>General</v>
      </c>
      <c r="C7" s="322"/>
      <c r="D7" s="323">
        <f aca="true" t="shared" si="0" ref="D7:D12">IF(C7&gt;0,C7/$D$18,"")</f>
      </c>
      <c r="E7" s="122">
        <f aca="true" t="shared" si="1" ref="E7:E12">IF(C7&gt;0,ROUND(D7*$D$22,0),"")</f>
      </c>
      <c r="F7" s="54"/>
    </row>
    <row r="8" spans="1:6" ht="15.75">
      <c r="A8" s="18"/>
      <c r="B8" s="321" t="str">
        <f>inputPrYr!B20</f>
        <v>Debt Service</v>
      </c>
      <c r="C8" s="322"/>
      <c r="D8" s="323">
        <f t="shared" si="0"/>
      </c>
      <c r="E8" s="122">
        <f t="shared" si="1"/>
      </c>
      <c r="F8" s="54"/>
    </row>
    <row r="9" spans="1:6" ht="15.75">
      <c r="A9" s="18"/>
      <c r="B9" s="126" t="str">
        <f>IF(inputPrYr!$B22&gt;"  ",(inputPrYr!$B22),"  ")</f>
        <v>  </v>
      </c>
      <c r="C9" s="322"/>
      <c r="D9" s="323">
        <f t="shared" si="0"/>
      </c>
      <c r="E9" s="122">
        <f t="shared" si="1"/>
      </c>
      <c r="F9" s="54"/>
    </row>
    <row r="10" spans="1:6" ht="15.75">
      <c r="A10" s="18"/>
      <c r="B10" s="126" t="str">
        <f>IF(inputPrYr!$B23&gt;"  ",(inputPrYr!$B23),"  ")</f>
        <v>  </v>
      </c>
      <c r="C10" s="322"/>
      <c r="D10" s="323">
        <f t="shared" si="0"/>
      </c>
      <c r="E10" s="122">
        <f t="shared" si="1"/>
      </c>
      <c r="F10" s="54"/>
    </row>
    <row r="11" spans="1:6" ht="15.75">
      <c r="A11" s="18"/>
      <c r="B11" s="126"/>
      <c r="C11" s="322"/>
      <c r="D11" s="323">
        <f t="shared" si="0"/>
      </c>
      <c r="E11" s="122">
        <f t="shared" si="1"/>
      </c>
      <c r="F11" s="54"/>
    </row>
    <row r="12" spans="1:6" ht="15.75">
      <c r="A12" s="18"/>
      <c r="B12" s="126"/>
      <c r="C12" s="322"/>
      <c r="D12" s="323">
        <f t="shared" si="0"/>
      </c>
      <c r="E12" s="122">
        <f t="shared" si="1"/>
      </c>
      <c r="F12" s="54"/>
    </row>
    <row r="13" spans="1:6" ht="16.5" thickBot="1">
      <c r="A13" s="18"/>
      <c r="B13" s="38" t="s">
        <v>415</v>
      </c>
      <c r="C13" s="324">
        <f>SUM(C7:C12)</f>
        <v>0</v>
      </c>
      <c r="D13" s="325">
        <f>SUM(D7:D12)</f>
        <v>0</v>
      </c>
      <c r="E13" s="324">
        <f>SUM(E7:E12)</f>
        <v>0</v>
      </c>
      <c r="F13" s="54"/>
    </row>
    <row r="14" spans="1:6" ht="16.5" thickTop="1">
      <c r="A14" s="18"/>
      <c r="B14" s="18"/>
      <c r="C14" s="18"/>
      <c r="D14" s="18"/>
      <c r="E14" s="18"/>
      <c r="F14" s="54"/>
    </row>
    <row r="15" spans="1:6" ht="15.75">
      <c r="A15" s="18"/>
      <c r="B15" s="18"/>
      <c r="C15" s="18"/>
      <c r="D15" s="18"/>
      <c r="E15" s="18"/>
      <c r="F15" s="54"/>
    </row>
    <row r="16" spans="1:6" ht="15.75">
      <c r="A16" s="637" t="str">
        <f>CONCATENATE("",F1-1," July 1 Valuation:")</f>
        <v>2011 July 1 Valuation:</v>
      </c>
      <c r="B16" s="635"/>
      <c r="C16" s="637"/>
      <c r="D16" s="326">
        <f>inputOth!E7</f>
        <v>4147229</v>
      </c>
      <c r="E16" s="18"/>
      <c r="F16" s="54"/>
    </row>
    <row r="17" spans="1:6" ht="15.75">
      <c r="A17" s="18"/>
      <c r="B17" s="18"/>
      <c r="C17" s="18"/>
      <c r="D17" s="18"/>
      <c r="E17" s="18"/>
      <c r="F17" s="54"/>
    </row>
    <row r="18" spans="1:6" ht="15.75">
      <c r="A18" s="18"/>
      <c r="B18" s="637" t="s">
        <v>527</v>
      </c>
      <c r="C18" s="637"/>
      <c r="D18" s="327">
        <f>IF(D16&gt;0,(D16*0.001),"")</f>
        <v>4147.229</v>
      </c>
      <c r="E18" s="18"/>
      <c r="F18" s="54"/>
    </row>
    <row r="19" spans="1:6" ht="15.75">
      <c r="A19" s="18"/>
      <c r="B19" s="140"/>
      <c r="C19" s="140"/>
      <c r="D19" s="328"/>
      <c r="E19" s="18"/>
      <c r="F19" s="54"/>
    </row>
    <row r="20" spans="1:6" ht="15.75">
      <c r="A20" s="634" t="s">
        <v>525</v>
      </c>
      <c r="B20" s="630"/>
      <c r="C20" s="630"/>
      <c r="D20" s="329">
        <f>inputOth!E12</f>
        <v>0</v>
      </c>
      <c r="E20" s="64"/>
      <c r="F20" s="64"/>
    </row>
    <row r="21" spans="1:6" ht="15">
      <c r="A21" s="64"/>
      <c r="B21" s="64"/>
      <c r="C21" s="64"/>
      <c r="D21" s="330"/>
      <c r="E21" s="64"/>
      <c r="F21" s="64"/>
    </row>
    <row r="22" spans="1:6" ht="15.75">
      <c r="A22" s="64"/>
      <c r="B22" s="634" t="s">
        <v>526</v>
      </c>
      <c r="C22" s="635"/>
      <c r="D22" s="331">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3" t="s">
        <v>9</v>
      </c>
      <c r="B27" s="64"/>
      <c r="C27" s="64"/>
      <c r="D27" s="64"/>
      <c r="E27" s="64"/>
      <c r="F27" s="64"/>
    </row>
    <row r="28" spans="1:6" ht="15.75">
      <c r="A28" s="383"/>
      <c r="B28" s="64"/>
      <c r="C28" s="64"/>
      <c r="D28" s="64"/>
      <c r="E28" s="64"/>
      <c r="F28" s="64"/>
    </row>
    <row r="29" spans="1:6" ht="15.75">
      <c r="A29" s="383"/>
      <c r="B29" s="64"/>
      <c r="C29" s="64"/>
      <c r="D29" s="64"/>
      <c r="E29" s="64"/>
      <c r="F29" s="64"/>
    </row>
    <row r="30" spans="1:6" ht="15.75">
      <c r="A30" s="383"/>
      <c r="B30" s="64"/>
      <c r="C30" s="64"/>
      <c r="D30" s="64"/>
      <c r="E30" s="64"/>
      <c r="F30" s="64"/>
    </row>
    <row r="31" spans="1:6" ht="15.75">
      <c r="A31" s="383"/>
      <c r="B31" s="64"/>
      <c r="C31" s="64"/>
      <c r="D31" s="64"/>
      <c r="E31" s="64"/>
      <c r="F31" s="64"/>
    </row>
    <row r="32" spans="1:6" ht="15.75">
      <c r="A32" s="383"/>
      <c r="B32" s="64"/>
      <c r="C32" s="64"/>
      <c r="D32" s="64"/>
      <c r="E32" s="64"/>
      <c r="F32" s="64"/>
    </row>
    <row r="33" spans="1:6" ht="15.75">
      <c r="A33" s="383"/>
      <c r="B33" s="64"/>
      <c r="C33" s="64"/>
      <c r="D33" s="64"/>
      <c r="E33" s="64"/>
      <c r="F33" s="64"/>
    </row>
    <row r="34" spans="1:6" ht="15">
      <c r="A34" s="64"/>
      <c r="B34" s="64"/>
      <c r="C34" s="64"/>
      <c r="D34" s="64"/>
      <c r="E34" s="64"/>
      <c r="F34" s="64"/>
    </row>
    <row r="35" spans="1:6" ht="15.75">
      <c r="A35" s="64"/>
      <c r="B35" s="304" t="s">
        <v>247</v>
      </c>
      <c r="C35" s="269"/>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46" t="s">
        <v>341</v>
      </c>
      <c r="C1" s="646"/>
      <c r="D1" s="646"/>
      <c r="E1" s="646"/>
      <c r="F1" s="646"/>
      <c r="G1" s="646"/>
      <c r="H1" s="646"/>
    </row>
    <row r="2" spans="2:8" ht="15.75">
      <c r="B2" s="6"/>
      <c r="C2"/>
      <c r="D2"/>
      <c r="E2"/>
      <c r="F2"/>
      <c r="G2"/>
      <c r="H2"/>
    </row>
    <row r="3" spans="2:8" ht="15.75">
      <c r="B3" s="647" t="s">
        <v>338</v>
      </c>
      <c r="C3" s="647"/>
      <c r="D3" s="647"/>
      <c r="E3" s="647"/>
      <c r="F3" s="647"/>
      <c r="G3" s="647"/>
      <c r="H3" s="647"/>
    </row>
    <row r="4" spans="2:8" ht="15.75">
      <c r="B4" s="7"/>
      <c r="C4"/>
      <c r="D4"/>
      <c r="E4"/>
      <c r="F4"/>
      <c r="G4"/>
      <c r="H4"/>
    </row>
    <row r="5" spans="2:8" ht="15.75">
      <c r="B5" s="639" t="str">
        <f>CONCATENATE("A resolution expressing the property taxation policy of the Board of ",(inputPrYr!D3)," District with respect to financing the ",inputPrYr!D6," annual budget for ",(inputPrYr!D3)," , ",(inputPrYr!D4)," , Kansas.")</f>
        <v>A resolution expressing the property taxation policy of the Board of N. Centropolis Fire District with respect to financing the 2012 annual budget for N. Centropolis Fire , Franklin County , Kansas.</v>
      </c>
      <c r="C5" s="640"/>
      <c r="D5" s="640"/>
      <c r="E5" s="640"/>
      <c r="F5" s="640"/>
      <c r="G5" s="640"/>
      <c r="H5" s="640"/>
    </row>
    <row r="6" spans="2:10" ht="15.75">
      <c r="B6" s="640"/>
      <c r="C6" s="640"/>
      <c r="D6" s="640"/>
      <c r="E6" s="640"/>
      <c r="F6" s="640"/>
      <c r="G6" s="640"/>
      <c r="H6" s="640"/>
      <c r="J6" s="2">
        <f>CONCATENATE(J7)</f>
      </c>
    </row>
    <row r="7" spans="2:8" ht="15.75">
      <c r="B7" s="11"/>
      <c r="C7"/>
      <c r="D7"/>
      <c r="E7"/>
      <c r="F7"/>
      <c r="G7"/>
      <c r="H7"/>
    </row>
    <row r="8" spans="2:8" ht="15.75">
      <c r="B8" s="12" t="s">
        <v>378</v>
      </c>
      <c r="C8"/>
      <c r="D8"/>
      <c r="E8"/>
      <c r="F8"/>
      <c r="G8"/>
      <c r="H8"/>
    </row>
    <row r="9" spans="2:8" ht="15.75">
      <c r="B9" s="12" t="str">
        <f>CONCATENATE("",inputPrYr!D6," ",(inputPrYr!D3)," district budget exceed the amount levied to finance the")</f>
        <v>2012 N. Centropolis Fire district budget exceed the amount levied to finance the</v>
      </c>
      <c r="C9"/>
      <c r="D9"/>
      <c r="E9"/>
      <c r="F9"/>
      <c r="G9"/>
      <c r="H9"/>
    </row>
    <row r="10" spans="2:8" ht="15.75">
      <c r="B10" s="12" t="str">
        <f>CONCATENATE("",inputPrYr!D6-1," ",inputPrYr!D3," except with regard to revenue produced and attributable to the")</f>
        <v>2011 N. Centropolis Fire except with regard to revenue produced and attributable to the</v>
      </c>
      <c r="C10"/>
      <c r="D10"/>
      <c r="E10"/>
      <c r="F10"/>
      <c r="G10"/>
      <c r="H10"/>
    </row>
    <row r="11" spans="2:8" ht="15.75">
      <c r="B11" s="643" t="s">
        <v>379</v>
      </c>
      <c r="C11" s="648"/>
      <c r="D11" s="648"/>
      <c r="E11" s="648"/>
      <c r="F11" s="648"/>
      <c r="G11" s="648"/>
      <c r="H11" s="648"/>
    </row>
    <row r="12" spans="2:8" ht="15.75">
      <c r="B12" s="648"/>
      <c r="C12" s="648"/>
      <c r="D12" s="648"/>
      <c r="E12" s="648"/>
      <c r="F12" s="648"/>
      <c r="G12" s="648"/>
      <c r="H12" s="648"/>
    </row>
    <row r="13" spans="2:8" ht="15.75">
      <c r="B13" s="648"/>
      <c r="C13" s="648"/>
      <c r="D13" s="648"/>
      <c r="E13" s="648"/>
      <c r="F13" s="648"/>
      <c r="G13" s="648"/>
      <c r="H13" s="648"/>
    </row>
    <row r="14" spans="2:8" ht="15.75">
      <c r="B14" s="648"/>
      <c r="C14" s="648"/>
      <c r="D14" s="648"/>
      <c r="E14" s="648"/>
      <c r="F14" s="648"/>
      <c r="G14" s="648"/>
      <c r="H14" s="648"/>
    </row>
    <row r="15" spans="2:8" ht="15.75">
      <c r="B15" s="1"/>
      <c r="C15" s="1"/>
      <c r="D15" s="1"/>
      <c r="E15" s="1"/>
      <c r="F15" s="1"/>
      <c r="G15" s="1"/>
      <c r="H15" s="1"/>
    </row>
    <row r="16" spans="2:8" ht="15.75">
      <c r="B16" s="641" t="s">
        <v>351</v>
      </c>
      <c r="C16" s="642"/>
      <c r="D16" s="642"/>
      <c r="E16" s="642"/>
      <c r="F16" s="642"/>
      <c r="G16" s="642"/>
      <c r="H16" s="642"/>
    </row>
    <row r="17" spans="2:8" ht="15.75">
      <c r="B17" s="642"/>
      <c r="C17" s="642"/>
      <c r="D17" s="642"/>
      <c r="E17" s="642"/>
      <c r="F17" s="642"/>
      <c r="G17" s="642"/>
      <c r="H17" s="642"/>
    </row>
    <row r="18" spans="2:8" ht="15.75">
      <c r="B18" s="12"/>
      <c r="C18"/>
      <c r="D18"/>
      <c r="E18"/>
      <c r="F18"/>
      <c r="G18"/>
      <c r="H18"/>
    </row>
    <row r="19" spans="2:8" ht="15.75">
      <c r="B19" s="12" t="str">
        <f>CONCATENATE("Whereas, ",(inputPrYr!D3)," provides essential services to district residents; and")</f>
        <v>Whereas, N. Centropolis Fire provides essential services to district residents; and</v>
      </c>
      <c r="C19"/>
      <c r="D19"/>
      <c r="E19"/>
      <c r="F19"/>
      <c r="G19"/>
      <c r="H19"/>
    </row>
    <row r="20" spans="2:8" ht="15.75">
      <c r="B20" s="12"/>
      <c r="C20"/>
      <c r="D20"/>
      <c r="E20"/>
      <c r="F20"/>
      <c r="G20"/>
      <c r="H20"/>
    </row>
    <row r="21" spans="2:8" ht="15.75">
      <c r="B21" s="12" t="s">
        <v>352</v>
      </c>
      <c r="C21"/>
      <c r="D21"/>
      <c r="E21"/>
      <c r="F21"/>
      <c r="G21"/>
      <c r="H21"/>
    </row>
    <row r="22" spans="2:8" ht="15.75">
      <c r="B22" s="12"/>
      <c r="C22"/>
      <c r="D22"/>
      <c r="E22"/>
      <c r="F22"/>
      <c r="G22"/>
      <c r="H22"/>
    </row>
    <row r="23" spans="2:8" ht="15.75">
      <c r="B23" s="64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 Centropolis Fire that is our desire to notify the public of the possibility of increased property taxes to finance the 2012 N. Centropolis Fire  budget as defined above.</v>
      </c>
      <c r="C23" s="644"/>
      <c r="D23" s="644"/>
      <c r="E23" s="644"/>
      <c r="F23" s="644"/>
      <c r="G23" s="644"/>
      <c r="H23" s="644"/>
    </row>
    <row r="24" spans="2:8" ht="15.75">
      <c r="B24" s="644"/>
      <c r="C24" s="644"/>
      <c r="D24" s="644"/>
      <c r="E24" s="644"/>
      <c r="F24" s="644"/>
      <c r="G24" s="644"/>
      <c r="H24" s="644"/>
    </row>
    <row r="25" spans="2:8" ht="15.75">
      <c r="B25" s="644"/>
      <c r="C25" s="644"/>
      <c r="D25" s="644"/>
      <c r="E25" s="644"/>
      <c r="F25" s="644"/>
      <c r="G25" s="644"/>
      <c r="H25" s="644"/>
    </row>
    <row r="26" spans="2:8" ht="15.75">
      <c r="B26" s="12"/>
      <c r="C26"/>
      <c r="D26"/>
      <c r="E26"/>
      <c r="F26"/>
      <c r="G26"/>
      <c r="H26"/>
    </row>
    <row r="27" spans="2:8" ht="15.75">
      <c r="B27" s="641" t="str">
        <f>CONCATENATE("Adopted this _________ day of ___________, ",inputPrYr!D6-1," by the ",(inputPrYr!D3)," District Board, ",(inputPrYr!D4),", Kansas.")</f>
        <v>Adopted this _________ day of ___________, 2011 by the N. Centropolis Fire District Board, Franklin County, Kansas.</v>
      </c>
      <c r="C27" s="640"/>
      <c r="D27" s="640"/>
      <c r="E27" s="640"/>
      <c r="F27" s="640"/>
      <c r="G27" s="640"/>
      <c r="H27" s="640"/>
    </row>
    <row r="28" spans="2:8" ht="15.75">
      <c r="B28" s="640"/>
      <c r="C28" s="640"/>
      <c r="D28" s="640"/>
      <c r="E28" s="640"/>
      <c r="F28" s="640"/>
      <c r="G28" s="640"/>
      <c r="H28" s="640"/>
    </row>
    <row r="29" spans="2:8" ht="15.75">
      <c r="B29" s="8"/>
      <c r="C29"/>
      <c r="D29"/>
      <c r="E29"/>
      <c r="F29"/>
      <c r="G29"/>
      <c r="H29"/>
    </row>
    <row r="30" spans="2:8" ht="15.75">
      <c r="B30" s="8"/>
      <c r="C30"/>
      <c r="D30"/>
      <c r="E30"/>
      <c r="F30"/>
      <c r="G30"/>
      <c r="H30"/>
    </row>
    <row r="31" spans="2:8" ht="15.75">
      <c r="B31" s="9" t="str">
        <f>CONCATENATE(" ",(inputPrYr!D3)," District Board")</f>
        <v> N. Centropolis Fire District Board</v>
      </c>
      <c r="C31"/>
      <c r="D31"/>
      <c r="E31"/>
      <c r="F31"/>
      <c r="G31"/>
      <c r="H31"/>
    </row>
    <row r="32" spans="2:8" ht="15.75">
      <c r="B32" s="8"/>
      <c r="C32"/>
      <c r="D32"/>
      <c r="E32"/>
      <c r="F32"/>
      <c r="G32"/>
      <c r="H32"/>
    </row>
    <row r="33" spans="2:8" ht="15.75">
      <c r="B33"/>
      <c r="C33"/>
      <c r="D33"/>
      <c r="E33" s="645" t="s">
        <v>339</v>
      </c>
      <c r="F33" s="645"/>
      <c r="G33" s="645"/>
      <c r="H33" s="645"/>
    </row>
    <row r="34" spans="2:8" ht="15.75">
      <c r="B34"/>
      <c r="C34"/>
      <c r="D34"/>
      <c r="E34" s="645" t="s">
        <v>343</v>
      </c>
      <c r="F34" s="645"/>
      <c r="G34" s="645"/>
      <c r="H34" s="645"/>
    </row>
    <row r="35" spans="2:8" ht="15.75">
      <c r="B35" s="8"/>
      <c r="C35"/>
      <c r="D35"/>
      <c r="E35" s="645"/>
      <c r="F35" s="645"/>
      <c r="G35" s="645"/>
      <c r="H35" s="645"/>
    </row>
    <row r="36" spans="2:8" ht="15.75">
      <c r="B36"/>
      <c r="C36"/>
      <c r="D36"/>
      <c r="E36" s="645" t="s">
        <v>339</v>
      </c>
      <c r="F36" s="645"/>
      <c r="G36" s="645"/>
      <c r="H36" s="645"/>
    </row>
    <row r="37" spans="2:8" ht="15.75">
      <c r="B37"/>
      <c r="C37"/>
      <c r="D37"/>
      <c r="E37" s="645" t="s">
        <v>344</v>
      </c>
      <c r="F37" s="645"/>
      <c r="G37" s="645"/>
      <c r="H37" s="645"/>
    </row>
    <row r="38" spans="2:8" ht="15.75">
      <c r="B38" s="8"/>
      <c r="C38"/>
      <c r="D38"/>
      <c r="E38" s="645"/>
      <c r="F38" s="645"/>
      <c r="G38" s="645"/>
      <c r="H38" s="645"/>
    </row>
    <row r="39" spans="2:8" ht="15.75">
      <c r="B39"/>
      <c r="C39"/>
      <c r="D39"/>
      <c r="E39" s="645" t="s">
        <v>339</v>
      </c>
      <c r="F39" s="645"/>
      <c r="G39" s="645"/>
      <c r="H39" s="645"/>
    </row>
    <row r="40" spans="2:8" ht="15.75">
      <c r="B40"/>
      <c r="C40"/>
      <c r="D40"/>
      <c r="E40" s="645" t="s">
        <v>345</v>
      </c>
      <c r="F40" s="645"/>
      <c r="G40" s="645"/>
      <c r="H40" s="645"/>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247</v>
      </c>
      <c r="E45" s="15"/>
      <c r="F45" s="13"/>
      <c r="G45" s="13"/>
      <c r="H45" s="13"/>
    </row>
    <row r="46" spans="2:8" ht="15.75">
      <c r="B46" s="10" t="s">
        <v>340</v>
      </c>
      <c r="E46" s="638"/>
      <c r="F46" s="638"/>
      <c r="G46" s="638"/>
      <c r="H46" s="638"/>
    </row>
    <row r="47" spans="2:8" ht="15.75">
      <c r="B47" s="3"/>
      <c r="E47" s="638"/>
      <c r="F47" s="638"/>
      <c r="G47" s="638"/>
      <c r="H47" s="638"/>
    </row>
    <row r="48" spans="5:8" ht="15.75">
      <c r="E48" s="638"/>
      <c r="F48" s="638"/>
      <c r="G48" s="638"/>
      <c r="H48" s="638"/>
    </row>
    <row r="49" spans="5:8" ht="15.75">
      <c r="E49" s="638"/>
      <c r="F49" s="638"/>
      <c r="G49" s="638"/>
      <c r="H49" s="638"/>
    </row>
    <row r="50" spans="2:8" ht="15.75">
      <c r="B50" s="3"/>
      <c r="E50" s="638"/>
      <c r="F50" s="638"/>
      <c r="G50" s="638"/>
      <c r="H50" s="638"/>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D3" sqref="D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71" t="s">
        <v>210</v>
      </c>
      <c r="B1" s="572"/>
      <c r="C1" s="572"/>
      <c r="D1" s="572"/>
      <c r="E1" s="572"/>
    </row>
    <row r="2" spans="1:5" ht="15.75">
      <c r="A2" s="17"/>
      <c r="B2" s="18"/>
      <c r="C2" s="18"/>
      <c r="D2" s="18"/>
      <c r="E2" s="18"/>
    </row>
    <row r="3" spans="1:5" ht="15.75">
      <c r="A3" s="19" t="s">
        <v>333</v>
      </c>
      <c r="B3" s="18"/>
      <c r="C3" s="18"/>
      <c r="D3" s="20" t="s">
        <v>189</v>
      </c>
      <c r="E3" s="21"/>
    </row>
    <row r="4" spans="1:5" ht="15.75">
      <c r="A4" s="19" t="s">
        <v>434</v>
      </c>
      <c r="B4" s="18"/>
      <c r="C4" s="18"/>
      <c r="D4" s="22" t="s">
        <v>184</v>
      </c>
      <c r="E4" s="21"/>
    </row>
    <row r="5" spans="1:5" ht="15.75">
      <c r="A5" s="17"/>
      <c r="B5" s="18"/>
      <c r="C5" s="18"/>
      <c r="D5" s="23"/>
      <c r="E5" s="21"/>
    </row>
    <row r="6" spans="1:5" ht="15.75">
      <c r="A6" s="19" t="s">
        <v>353</v>
      </c>
      <c r="B6" s="18"/>
      <c r="C6" s="18"/>
      <c r="D6" s="24">
        <v>2012</v>
      </c>
      <c r="E6" s="21"/>
    </row>
    <row r="7" spans="1:5" ht="15.75">
      <c r="A7" s="18"/>
      <c r="B7" s="18"/>
      <c r="C7" s="18"/>
      <c r="D7" s="18"/>
      <c r="E7" s="18"/>
    </row>
    <row r="8" spans="1:5" ht="15.75">
      <c r="A8" s="573" t="s">
        <v>412</v>
      </c>
      <c r="B8" s="574"/>
      <c r="C8" s="574"/>
      <c r="D8" s="574"/>
      <c r="E8" s="574"/>
    </row>
    <row r="9" spans="1:5" ht="15.75">
      <c r="A9" s="25" t="s">
        <v>280</v>
      </c>
      <c r="B9" s="26"/>
      <c r="C9" s="26"/>
      <c r="D9" s="26"/>
      <c r="E9" s="26"/>
    </row>
    <row r="10" spans="1:5" ht="15.75">
      <c r="A10" s="575" t="s">
        <v>411</v>
      </c>
      <c r="B10" s="576"/>
      <c r="C10" s="576"/>
      <c r="D10" s="576"/>
      <c r="E10" s="576"/>
    </row>
    <row r="11" spans="1:5" ht="15.75">
      <c r="A11" s="27"/>
      <c r="B11" s="18"/>
      <c r="C11" s="18"/>
      <c r="D11" s="18"/>
      <c r="E11" s="18"/>
    </row>
    <row r="12" spans="1:5" ht="15.75">
      <c r="A12" s="569" t="s">
        <v>399</v>
      </c>
      <c r="B12" s="570"/>
      <c r="C12" s="570"/>
      <c r="D12" s="570"/>
      <c r="E12" s="570"/>
    </row>
    <row r="13" spans="1:5" ht="15.75">
      <c r="A13" s="27"/>
      <c r="B13" s="18"/>
      <c r="C13" s="18"/>
      <c r="D13" s="18"/>
      <c r="E13" s="18"/>
    </row>
    <row r="14" spans="1:5" ht="15.75">
      <c r="A14" s="28" t="s">
        <v>357</v>
      </c>
      <c r="B14" s="29"/>
      <c r="C14" s="18"/>
      <c r="D14" s="18"/>
      <c r="E14" s="18"/>
    </row>
    <row r="15" spans="1:5" ht="15.75">
      <c r="A15" s="30" t="str">
        <f>CONCATENATE("the ",D6-1," Budget, Certificate Page:")</f>
        <v>the 2011 Budget, Certificate Page:</v>
      </c>
      <c r="B15" s="31"/>
      <c r="C15" s="18"/>
      <c r="D15" s="18"/>
      <c r="E15" s="18"/>
    </row>
    <row r="16" spans="1:5" ht="15.75">
      <c r="A16" s="30" t="s">
        <v>484</v>
      </c>
      <c r="B16" s="31"/>
      <c r="C16" s="18"/>
      <c r="D16" s="18"/>
      <c r="E16" s="18"/>
    </row>
    <row r="17" spans="1:5" ht="15.75">
      <c r="A17" s="18"/>
      <c r="B17" s="18"/>
      <c r="C17" s="32"/>
      <c r="D17" s="33">
        <f>D6-1</f>
        <v>2011</v>
      </c>
      <c r="E17" s="577" t="str">
        <f>CONCATENATE("Amount of ",D6-2,"     Ad Valorem Tax")</f>
        <v>Amount of 2010     Ad Valorem Tax</v>
      </c>
    </row>
    <row r="18" spans="1:5" ht="15.75">
      <c r="A18" s="17" t="s">
        <v>211</v>
      </c>
      <c r="B18" s="18"/>
      <c r="C18" s="32" t="s">
        <v>212</v>
      </c>
      <c r="D18" s="34" t="s">
        <v>485</v>
      </c>
      <c r="E18" s="578"/>
    </row>
    <row r="19" spans="1:5" ht="15.75">
      <c r="A19" s="18"/>
      <c r="B19" s="35" t="s">
        <v>213</v>
      </c>
      <c r="C19" s="425" t="s">
        <v>188</v>
      </c>
      <c r="D19" s="37">
        <v>15949</v>
      </c>
      <c r="E19" s="37">
        <v>8622</v>
      </c>
    </row>
    <row r="20" spans="1:5" ht="15.75">
      <c r="A20" s="18"/>
      <c r="B20" s="35" t="s">
        <v>480</v>
      </c>
      <c r="C20" s="113" t="s">
        <v>359</v>
      </c>
      <c r="D20" s="37"/>
      <c r="E20" s="37"/>
    </row>
    <row r="21" spans="1:5" ht="15.75">
      <c r="A21" s="17" t="s">
        <v>214</v>
      </c>
      <c r="B21" s="18"/>
      <c r="C21" s="18"/>
      <c r="D21" s="39"/>
      <c r="E21" s="40"/>
    </row>
    <row r="22" spans="1:5" ht="15.75">
      <c r="A22" s="18"/>
      <c r="B22" s="36"/>
      <c r="C22" s="425"/>
      <c r="D22" s="37"/>
      <c r="E22" s="37"/>
    </row>
    <row r="23" spans="1:5" ht="15.75">
      <c r="A23" s="18"/>
      <c r="B23" s="36"/>
      <c r="C23" s="425"/>
      <c r="D23" s="37"/>
      <c r="E23" s="37"/>
    </row>
    <row r="24" spans="1:5" ht="15.75">
      <c r="A24" s="41" t="str">
        <f>CONCATENATE("Total Ad Valorem Tax for ",D6-1," Budgeted Year")</f>
        <v>Total Ad Valorem Tax for 2011 Budgeted Year</v>
      </c>
      <c r="B24" s="42"/>
      <c r="C24" s="42"/>
      <c r="D24" s="43"/>
      <c r="E24" s="44">
        <f>SUM(E19:E20,E22:E23)</f>
        <v>8622</v>
      </c>
    </row>
    <row r="25" spans="1:5" ht="15.75">
      <c r="A25" s="45" t="s">
        <v>215</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15949</v>
      </c>
      <c r="E28" s="39"/>
    </row>
    <row r="29" spans="1:5" ht="15.75">
      <c r="A29" s="18" t="s">
        <v>452</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357</v>
      </c>
      <c r="B36" s="29"/>
      <c r="C36" s="18"/>
      <c r="D36" s="567" t="str">
        <f>CONCATENATE("",D6-3," Tax Rate          (",D6-2," Column)")</f>
        <v>2009 Tax Rate          (2010 Column)</v>
      </c>
      <c r="E36" s="39"/>
    </row>
    <row r="37" spans="1:5" ht="15.75">
      <c r="A37" s="30" t="str">
        <f>CONCATENATE("the ",D6-1," Budget, Budget Summary Page:")</f>
        <v>the 2011 Budget, Budget Summary Page:</v>
      </c>
      <c r="B37" s="31"/>
      <c r="C37" s="18"/>
      <c r="D37" s="568"/>
      <c r="E37" s="39"/>
    </row>
    <row r="38" spans="1:5" ht="15.75">
      <c r="A38" s="18"/>
      <c r="B38" s="38" t="str">
        <f>B19</f>
        <v>General</v>
      </c>
      <c r="C38" s="18"/>
      <c r="D38" s="49">
        <v>2.029</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216</v>
      </c>
      <c r="B42" s="18"/>
      <c r="C42" s="18"/>
      <c r="D42" s="50">
        <f>SUM(D38:D41)</f>
        <v>2.029</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8557</v>
      </c>
    </row>
    <row r="45" spans="1:5" ht="15.75">
      <c r="A45" s="51" t="str">
        <f>CONCATENATE("Assessed Valuation (",D6-2," budget column)")</f>
        <v>Assessed Valuation (2010 budget column)</v>
      </c>
      <c r="B45" s="29"/>
      <c r="C45" s="18"/>
      <c r="D45" s="18"/>
      <c r="E45" s="53">
        <v>4218043</v>
      </c>
    </row>
    <row r="46" spans="1:5" ht="15.75">
      <c r="A46" s="18"/>
      <c r="B46" s="18"/>
      <c r="C46" s="18"/>
      <c r="D46" s="18"/>
      <c r="E46" s="39"/>
    </row>
    <row r="47" spans="1:5" ht="15.75">
      <c r="A47" s="29" t="s">
        <v>413</v>
      </c>
      <c r="B47" s="29"/>
      <c r="C47" s="54"/>
      <c r="D47" s="55">
        <f>D6-3</f>
        <v>2009</v>
      </c>
      <c r="E47" s="55">
        <f>D6-2</f>
        <v>2010</v>
      </c>
    </row>
    <row r="48" spans="1:5" ht="15.75">
      <c r="A48" s="56" t="s">
        <v>354</v>
      </c>
      <c r="B48" s="56"/>
      <c r="C48" s="57"/>
      <c r="D48" s="58"/>
      <c r="E48" s="58"/>
    </row>
    <row r="49" spans="1:5" ht="15.75">
      <c r="A49" s="59" t="s">
        <v>355</v>
      </c>
      <c r="B49" s="59"/>
      <c r="C49" s="60"/>
      <c r="D49" s="58"/>
      <c r="E49" s="58"/>
    </row>
    <row r="50" spans="1:5" ht="15.75">
      <c r="A50" s="59" t="s">
        <v>130</v>
      </c>
      <c r="B50" s="59"/>
      <c r="C50" s="60"/>
      <c r="D50" s="58"/>
      <c r="E50" s="58"/>
    </row>
    <row r="51" spans="1:5" ht="15.75">
      <c r="A51" s="59" t="s">
        <v>356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3" t="s">
        <v>544</v>
      </c>
      <c r="B3" s="373"/>
      <c r="C3" s="373"/>
      <c r="D3" s="373"/>
      <c r="E3" s="373"/>
      <c r="F3" s="373"/>
      <c r="G3" s="373"/>
      <c r="H3" s="373"/>
      <c r="I3" s="373"/>
      <c r="J3" s="373"/>
      <c r="K3" s="373"/>
      <c r="L3" s="373"/>
    </row>
    <row r="5" ht="15">
      <c r="A5" s="374" t="s">
        <v>545</v>
      </c>
    </row>
    <row r="6" ht="15">
      <c r="A6" s="374" t="str">
        <f>CONCATENATE(inputPrYr!D6-2," 'total expenditures' exceed your ",inputPrYr!D6-2," 'budget authority.'")</f>
        <v>2010 'total expenditures' exceed your 2010 'budget authority.'</v>
      </c>
    </row>
    <row r="7" ht="15">
      <c r="A7" s="374"/>
    </row>
    <row r="8" ht="15">
      <c r="A8" s="374" t="s">
        <v>546</v>
      </c>
    </row>
    <row r="9" ht="15">
      <c r="A9" s="374" t="s">
        <v>547</v>
      </c>
    </row>
    <row r="10" ht="15">
      <c r="A10" s="374" t="s">
        <v>548</v>
      </c>
    </row>
    <row r="11" ht="15">
      <c r="A11" s="374"/>
    </row>
    <row r="12" ht="15">
      <c r="A12" s="374"/>
    </row>
    <row r="13" ht="15">
      <c r="A13" s="375" t="s">
        <v>549</v>
      </c>
    </row>
    <row r="15" ht="15">
      <c r="A15" s="374" t="s">
        <v>550</v>
      </c>
    </row>
    <row r="16" ht="15">
      <c r="A16" s="374" t="str">
        <f>CONCATENATE("(i.e. an audit has not been completed, or the ",inputPrYr!D6," adopted")</f>
        <v>(i.e. an audit has not been completed, or the 2012 adopted</v>
      </c>
    </row>
    <row r="17" ht="15">
      <c r="A17" s="374" t="s">
        <v>551</v>
      </c>
    </row>
    <row r="18" ht="15">
      <c r="A18" s="374" t="s">
        <v>552</v>
      </c>
    </row>
    <row r="19" ht="15">
      <c r="A19" s="374" t="s">
        <v>553</v>
      </c>
    </row>
    <row r="21" ht="15">
      <c r="A21" s="375" t="s">
        <v>554</v>
      </c>
    </row>
    <row r="22" ht="15">
      <c r="A22" s="375"/>
    </row>
    <row r="23" ht="15">
      <c r="A23" s="374" t="s">
        <v>555</v>
      </c>
    </row>
    <row r="24" ht="15">
      <c r="A24" s="374" t="s">
        <v>556</v>
      </c>
    </row>
    <row r="25" ht="15">
      <c r="A25" s="374" t="str">
        <f>CONCATENATE("particular fund.  If your ",inputPrYr!D6-2," budget was amended, did you")</f>
        <v>particular fund.  If your 2010 budget was amended, did you</v>
      </c>
    </row>
    <row r="26" ht="15">
      <c r="A26" s="374" t="s">
        <v>557</v>
      </c>
    </row>
    <row r="27" ht="15">
      <c r="A27" s="374"/>
    </row>
    <row r="28" ht="15">
      <c r="A28" s="374" t="str">
        <f>CONCATENATE("Next, look to see if any of your ",inputPrYr!D6-2," expenditures can be")</f>
        <v>Next, look to see if any of your 2010 expenditures can be</v>
      </c>
    </row>
    <row r="29" ht="15">
      <c r="A29" s="374" t="s">
        <v>558</v>
      </c>
    </row>
    <row r="30" ht="15">
      <c r="A30" s="374" t="s">
        <v>559</v>
      </c>
    </row>
    <row r="31" ht="15">
      <c r="A31" s="374" t="s">
        <v>560</v>
      </c>
    </row>
    <row r="32" ht="15">
      <c r="A32" s="374"/>
    </row>
    <row r="33" ht="15">
      <c r="A33" s="374" t="str">
        <f>CONCATENATE("Additionally, do your ",inputPrYr!D6-2," receipts contain a reimbursement")</f>
        <v>Additionally, do your 2010 receipts contain a reimbursement</v>
      </c>
    </row>
    <row r="34" ht="15">
      <c r="A34" s="374" t="s">
        <v>561</v>
      </c>
    </row>
    <row r="35" ht="15">
      <c r="A35" s="374" t="s">
        <v>562</v>
      </c>
    </row>
    <row r="36" ht="15">
      <c r="A36" s="374"/>
    </row>
    <row r="37" ht="15">
      <c r="A37" s="374" t="s">
        <v>566</v>
      </c>
    </row>
    <row r="38" ht="15">
      <c r="A38" s="374" t="s">
        <v>567</v>
      </c>
    </row>
    <row r="39" ht="15">
      <c r="A39" s="374" t="s">
        <v>568</v>
      </c>
    </row>
    <row r="40" ht="15">
      <c r="A40" s="374"/>
    </row>
    <row r="41" ht="15">
      <c r="A41" s="375" t="s">
        <v>569</v>
      </c>
    </row>
    <row r="42" ht="15">
      <c r="A42" s="374"/>
    </row>
    <row r="43" ht="15">
      <c r="A43" s="374" t="s">
        <v>570</v>
      </c>
    </row>
    <row r="44" ht="15">
      <c r="A44" s="374" t="s">
        <v>571</v>
      </c>
    </row>
    <row r="45" ht="15">
      <c r="A45" s="374" t="s">
        <v>572</v>
      </c>
    </row>
    <row r="46" ht="15">
      <c r="A46" s="374" t="s">
        <v>573</v>
      </c>
    </row>
    <row r="47" ht="15">
      <c r="A47" s="374" t="s">
        <v>574</v>
      </c>
    </row>
    <row r="48" ht="15">
      <c r="A48" s="374" t="s">
        <v>575</v>
      </c>
    </row>
    <row r="49" ht="15">
      <c r="A49" s="374" t="s">
        <v>576</v>
      </c>
    </row>
    <row r="50" ht="15">
      <c r="A50" s="374" t="s">
        <v>577</v>
      </c>
    </row>
    <row r="51" ht="15">
      <c r="A51" s="374" t="s">
        <v>578</v>
      </c>
    </row>
    <row r="52" ht="15">
      <c r="A52" s="374" t="s">
        <v>579</v>
      </c>
    </row>
    <row r="53" ht="15">
      <c r="A53" s="374" t="s">
        <v>580</v>
      </c>
    </row>
    <row r="54" ht="15">
      <c r="A54" s="374" t="s">
        <v>581</v>
      </c>
    </row>
    <row r="55" ht="15">
      <c r="A55" s="374" t="s">
        <v>582</v>
      </c>
    </row>
    <row r="56" ht="15">
      <c r="A56" s="374"/>
    </row>
    <row r="57" ht="15">
      <c r="A57" s="374" t="s">
        <v>583</v>
      </c>
    </row>
    <row r="58" ht="15">
      <c r="A58" s="374" t="s">
        <v>584</v>
      </c>
    </row>
    <row r="59" ht="15">
      <c r="A59" s="374" t="s">
        <v>585</v>
      </c>
    </row>
    <row r="60" ht="15">
      <c r="A60" s="374"/>
    </row>
    <row r="61" ht="15">
      <c r="A61" s="375" t="str">
        <f>CONCATENATE("What if the ",inputPrYr!D6-2," financial records have been closed?")</f>
        <v>What if the 2010 financial records have been closed?</v>
      </c>
    </row>
    <row r="63" ht="15">
      <c r="A63" s="374" t="s">
        <v>586</v>
      </c>
    </row>
    <row r="64" ht="15">
      <c r="A64" s="374" t="str">
        <f>CONCATENATE("(i.e. an audit for ",inputPrYr!D6-2," has been completed, or the ",inputPrYr!D6)</f>
        <v>(i.e. an audit for 2010 has been completed, or the 2012</v>
      </c>
    </row>
    <row r="65" ht="15">
      <c r="A65" s="374" t="s">
        <v>587</v>
      </c>
    </row>
    <row r="66" ht="15">
      <c r="A66" s="374" t="s">
        <v>588</v>
      </c>
    </row>
    <row r="67" ht="15">
      <c r="A67" s="374"/>
    </row>
    <row r="68" ht="15">
      <c r="A68" s="374" t="s">
        <v>589</v>
      </c>
    </row>
    <row r="69" ht="15">
      <c r="A69" s="374" t="s">
        <v>590</v>
      </c>
    </row>
    <row r="70" ht="15">
      <c r="A70" s="374" t="s">
        <v>591</v>
      </c>
    </row>
    <row r="71" ht="15">
      <c r="A71" s="374"/>
    </row>
    <row r="72" ht="15">
      <c r="A72" s="374" t="s">
        <v>592</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3" t="s">
        <v>593</v>
      </c>
      <c r="B3" s="373"/>
      <c r="C3" s="373"/>
      <c r="D3" s="373"/>
      <c r="E3" s="373"/>
      <c r="F3" s="373"/>
      <c r="G3" s="373"/>
      <c r="H3" s="376"/>
      <c r="I3" s="376"/>
      <c r="J3" s="376"/>
    </row>
    <row r="5" ht="15">
      <c r="A5" s="374" t="s">
        <v>594</v>
      </c>
    </row>
    <row r="6" ht="15">
      <c r="A6" t="str">
        <f>CONCATENATE(inputPrYr!D6-2," expenditures show that you finished the year with a ")</f>
        <v>2010 expenditures show that you finished the year with a </v>
      </c>
    </row>
    <row r="7" ht="15">
      <c r="A7" t="s">
        <v>595</v>
      </c>
    </row>
    <row r="9" ht="15">
      <c r="A9" t="s">
        <v>596</v>
      </c>
    </row>
    <row r="10" ht="15">
      <c r="A10" t="s">
        <v>597</v>
      </c>
    </row>
    <row r="11" ht="15">
      <c r="A11" t="s">
        <v>598</v>
      </c>
    </row>
    <row r="13" ht="15">
      <c r="A13" s="375" t="s">
        <v>599</v>
      </c>
    </row>
    <row r="14" ht="15">
      <c r="A14" s="375"/>
    </row>
    <row r="15" ht="15">
      <c r="A15" s="374" t="s">
        <v>600</v>
      </c>
    </row>
    <row r="16" ht="15">
      <c r="A16" s="374" t="s">
        <v>601</v>
      </c>
    </row>
    <row r="17" ht="15">
      <c r="A17" s="374" t="s">
        <v>602</v>
      </c>
    </row>
    <row r="18" ht="15">
      <c r="A18" s="374"/>
    </row>
    <row r="19" ht="15">
      <c r="A19" s="375" t="s">
        <v>603</v>
      </c>
    </row>
    <row r="20" ht="15">
      <c r="A20" s="375"/>
    </row>
    <row r="21" ht="15">
      <c r="A21" s="374" t="s">
        <v>604</v>
      </c>
    </row>
    <row r="22" ht="15">
      <c r="A22" s="374" t="s">
        <v>605</v>
      </c>
    </row>
    <row r="23" ht="15">
      <c r="A23" s="374" t="s">
        <v>606</v>
      </c>
    </row>
    <row r="24" ht="15">
      <c r="A24" s="374"/>
    </row>
    <row r="25" ht="15">
      <c r="A25" s="375" t="s">
        <v>607</v>
      </c>
    </row>
    <row r="26" ht="15">
      <c r="A26" s="375"/>
    </row>
    <row r="27" ht="15">
      <c r="A27" s="374" t="s">
        <v>608</v>
      </c>
    </row>
    <row r="28" ht="15">
      <c r="A28" s="374" t="s">
        <v>609</v>
      </c>
    </row>
    <row r="29" ht="15">
      <c r="A29" s="374" t="s">
        <v>610</v>
      </c>
    </row>
    <row r="30" ht="15">
      <c r="A30" s="374"/>
    </row>
    <row r="31" ht="15">
      <c r="A31" s="375" t="s">
        <v>611</v>
      </c>
    </row>
    <row r="32" ht="15">
      <c r="A32" s="375"/>
    </row>
    <row r="33" spans="1:8" ht="15">
      <c r="A33" s="374" t="str">
        <f>CONCATENATE("If your financial records for ",inputPrYr!D6-2," are not closed")</f>
        <v>If your financial records for 2010 are not closed</v>
      </c>
      <c r="B33" s="374"/>
      <c r="C33" s="374"/>
      <c r="D33" s="374"/>
      <c r="E33" s="374"/>
      <c r="F33" s="374"/>
      <c r="G33" s="374"/>
      <c r="H33" s="374"/>
    </row>
    <row r="34" spans="1:8" ht="15">
      <c r="A34" s="374" t="str">
        <f>CONCATENATE("(i.e. an audit has not been completed, or the ",inputPrYr!D6," adopted ")</f>
        <v>(i.e. an audit has not been completed, or the 2012 adopted </v>
      </c>
      <c r="B34" s="374"/>
      <c r="C34" s="374"/>
      <c r="D34" s="374"/>
      <c r="E34" s="374"/>
      <c r="F34" s="374"/>
      <c r="G34" s="374"/>
      <c r="H34" s="374"/>
    </row>
    <row r="35" spans="1:8" ht="15">
      <c r="A35" s="374" t="s">
        <v>612</v>
      </c>
      <c r="B35" s="374"/>
      <c r="C35" s="374"/>
      <c r="D35" s="374"/>
      <c r="E35" s="374"/>
      <c r="F35" s="374"/>
      <c r="G35" s="374"/>
      <c r="H35" s="374"/>
    </row>
    <row r="36" spans="1:8" ht="15">
      <c r="A36" s="374" t="s">
        <v>613</v>
      </c>
      <c r="B36" s="374"/>
      <c r="C36" s="374"/>
      <c r="D36" s="374"/>
      <c r="E36" s="374"/>
      <c r="F36" s="374"/>
      <c r="G36" s="374"/>
      <c r="H36" s="374"/>
    </row>
    <row r="37" spans="1:8" ht="15">
      <c r="A37" s="374" t="s">
        <v>614</v>
      </c>
      <c r="B37" s="374"/>
      <c r="C37" s="374"/>
      <c r="D37" s="374"/>
      <c r="E37" s="374"/>
      <c r="F37" s="374"/>
      <c r="G37" s="374"/>
      <c r="H37" s="374"/>
    </row>
    <row r="38" spans="1:8" ht="15">
      <c r="A38" s="374" t="s">
        <v>615</v>
      </c>
      <c r="B38" s="374"/>
      <c r="C38" s="374"/>
      <c r="D38" s="374"/>
      <c r="E38" s="374"/>
      <c r="F38" s="374"/>
      <c r="G38" s="374"/>
      <c r="H38" s="374"/>
    </row>
    <row r="39" spans="1:8" ht="15">
      <c r="A39" s="374" t="s">
        <v>616</v>
      </c>
      <c r="B39" s="374"/>
      <c r="C39" s="374"/>
      <c r="D39" s="374"/>
      <c r="E39" s="374"/>
      <c r="F39" s="374"/>
      <c r="G39" s="374"/>
      <c r="H39" s="374"/>
    </row>
    <row r="40" spans="1:8" ht="15">
      <c r="A40" s="374"/>
      <c r="B40" s="374"/>
      <c r="C40" s="374"/>
      <c r="D40" s="374"/>
      <c r="E40" s="374"/>
      <c r="F40" s="374"/>
      <c r="G40" s="374"/>
      <c r="H40" s="374"/>
    </row>
    <row r="41" spans="1:8" ht="15">
      <c r="A41" s="374" t="s">
        <v>617</v>
      </c>
      <c r="B41" s="374"/>
      <c r="C41" s="374"/>
      <c r="D41" s="374"/>
      <c r="E41" s="374"/>
      <c r="F41" s="374"/>
      <c r="G41" s="374"/>
      <c r="H41" s="374"/>
    </row>
    <row r="42" spans="1:8" ht="15">
      <c r="A42" s="374" t="s">
        <v>618</v>
      </c>
      <c r="B42" s="374"/>
      <c r="C42" s="374"/>
      <c r="D42" s="374"/>
      <c r="E42" s="374"/>
      <c r="F42" s="374"/>
      <c r="G42" s="374"/>
      <c r="H42" s="374"/>
    </row>
    <row r="43" spans="1:8" ht="15">
      <c r="A43" s="374" t="s">
        <v>619</v>
      </c>
      <c r="B43" s="374"/>
      <c r="C43" s="374"/>
      <c r="D43" s="374"/>
      <c r="E43" s="374"/>
      <c r="F43" s="374"/>
      <c r="G43" s="374"/>
      <c r="H43" s="374"/>
    </row>
    <row r="44" spans="1:8" ht="15">
      <c r="A44" s="374" t="s">
        <v>620</v>
      </c>
      <c r="B44" s="374"/>
      <c r="C44" s="374"/>
      <c r="D44" s="374"/>
      <c r="E44" s="374"/>
      <c r="F44" s="374"/>
      <c r="G44" s="374"/>
      <c r="H44" s="374"/>
    </row>
    <row r="45" spans="1:8" ht="15">
      <c r="A45" s="374"/>
      <c r="B45" s="374"/>
      <c r="C45" s="374"/>
      <c r="D45" s="374"/>
      <c r="E45" s="374"/>
      <c r="F45" s="374"/>
      <c r="G45" s="374"/>
      <c r="H45" s="374"/>
    </row>
    <row r="46" spans="1:8" ht="15">
      <c r="A46" s="374" t="s">
        <v>621</v>
      </c>
      <c r="B46" s="374"/>
      <c r="C46" s="374"/>
      <c r="D46" s="374"/>
      <c r="E46" s="374"/>
      <c r="F46" s="374"/>
      <c r="G46" s="374"/>
      <c r="H46" s="374"/>
    </row>
    <row r="47" spans="1:8" ht="15">
      <c r="A47" s="374" t="s">
        <v>622</v>
      </c>
      <c r="B47" s="374"/>
      <c r="C47" s="374"/>
      <c r="D47" s="374"/>
      <c r="E47" s="374"/>
      <c r="F47" s="374"/>
      <c r="G47" s="374"/>
      <c r="H47" s="374"/>
    </row>
    <row r="48" spans="1:8" ht="15">
      <c r="A48" s="374" t="s">
        <v>623</v>
      </c>
      <c r="B48" s="374"/>
      <c r="C48" s="374"/>
      <c r="D48" s="374"/>
      <c r="E48" s="374"/>
      <c r="F48" s="374"/>
      <c r="G48" s="374"/>
      <c r="H48" s="374"/>
    </row>
    <row r="49" spans="1:8" ht="15">
      <c r="A49" s="374" t="s">
        <v>624</v>
      </c>
      <c r="B49" s="374"/>
      <c r="C49" s="374"/>
      <c r="D49" s="374"/>
      <c r="E49" s="374"/>
      <c r="F49" s="374"/>
      <c r="G49" s="374"/>
      <c r="H49" s="374"/>
    </row>
    <row r="50" spans="1:8" ht="15">
      <c r="A50" s="374" t="s">
        <v>625</v>
      </c>
      <c r="B50" s="374"/>
      <c r="C50" s="374"/>
      <c r="D50" s="374"/>
      <c r="E50" s="374"/>
      <c r="F50" s="374"/>
      <c r="G50" s="374"/>
      <c r="H50" s="374"/>
    </row>
    <row r="51" spans="1:8" ht="15">
      <c r="A51" s="374"/>
      <c r="B51" s="374"/>
      <c r="C51" s="374"/>
      <c r="D51" s="374"/>
      <c r="E51" s="374"/>
      <c r="F51" s="374"/>
      <c r="G51" s="374"/>
      <c r="H51" s="374"/>
    </row>
    <row r="52" spans="1:8" ht="15">
      <c r="A52" s="375" t="s">
        <v>626</v>
      </c>
      <c r="B52" s="375"/>
      <c r="C52" s="375"/>
      <c r="D52" s="375"/>
      <c r="E52" s="375"/>
      <c r="F52" s="375"/>
      <c r="G52" s="375"/>
      <c r="H52" s="374"/>
    </row>
    <row r="53" spans="1:8" ht="15">
      <c r="A53" s="375" t="s">
        <v>627</v>
      </c>
      <c r="B53" s="375"/>
      <c r="C53" s="375"/>
      <c r="D53" s="375"/>
      <c r="E53" s="375"/>
      <c r="F53" s="375"/>
      <c r="G53" s="375"/>
      <c r="H53" s="374"/>
    </row>
    <row r="54" spans="1:8" ht="15">
      <c r="A54" s="374"/>
      <c r="B54" s="374"/>
      <c r="C54" s="374"/>
      <c r="D54" s="374"/>
      <c r="E54" s="374"/>
      <c r="F54" s="374"/>
      <c r="G54" s="374"/>
      <c r="H54" s="374"/>
    </row>
    <row r="55" spans="1:8" ht="15">
      <c r="A55" s="374" t="s">
        <v>628</v>
      </c>
      <c r="B55" s="374"/>
      <c r="C55" s="374"/>
      <c r="D55" s="374"/>
      <c r="E55" s="374"/>
      <c r="F55" s="374"/>
      <c r="G55" s="374"/>
      <c r="H55" s="374"/>
    </row>
    <row r="56" spans="1:8" ht="15">
      <c r="A56" s="374" t="s">
        <v>629</v>
      </c>
      <c r="B56" s="374"/>
      <c r="C56" s="374"/>
      <c r="D56" s="374"/>
      <c r="E56" s="374"/>
      <c r="F56" s="374"/>
      <c r="G56" s="374"/>
      <c r="H56" s="374"/>
    </row>
    <row r="57" spans="1:8" ht="15">
      <c r="A57" s="374" t="s">
        <v>630</v>
      </c>
      <c r="B57" s="374"/>
      <c r="C57" s="374"/>
      <c r="D57" s="374"/>
      <c r="E57" s="374"/>
      <c r="F57" s="374"/>
      <c r="G57" s="374"/>
      <c r="H57" s="374"/>
    </row>
    <row r="58" spans="1:8" ht="15">
      <c r="A58" s="374" t="s">
        <v>631</v>
      </c>
      <c r="B58" s="374"/>
      <c r="C58" s="374"/>
      <c r="D58" s="374"/>
      <c r="E58" s="374"/>
      <c r="F58" s="374"/>
      <c r="G58" s="374"/>
      <c r="H58" s="374"/>
    </row>
    <row r="59" spans="1:8" ht="15">
      <c r="A59" s="374"/>
      <c r="B59" s="374"/>
      <c r="C59" s="374"/>
      <c r="D59" s="374"/>
      <c r="E59" s="374"/>
      <c r="F59" s="374"/>
      <c r="G59" s="374"/>
      <c r="H59" s="374"/>
    </row>
    <row r="60" spans="1:8" ht="15">
      <c r="A60" s="374" t="s">
        <v>632</v>
      </c>
      <c r="B60" s="374"/>
      <c r="C60" s="374"/>
      <c r="D60" s="374"/>
      <c r="E60" s="374"/>
      <c r="F60" s="374"/>
      <c r="G60" s="374"/>
      <c r="H60" s="374"/>
    </row>
    <row r="61" spans="1:8" ht="15">
      <c r="A61" s="374" t="s">
        <v>633</v>
      </c>
      <c r="B61" s="374"/>
      <c r="C61" s="374"/>
      <c r="D61" s="374"/>
      <c r="E61" s="374"/>
      <c r="F61" s="374"/>
      <c r="G61" s="374"/>
      <c r="H61" s="374"/>
    </row>
    <row r="62" spans="1:8" ht="15">
      <c r="A62" s="374" t="s">
        <v>634</v>
      </c>
      <c r="B62" s="374"/>
      <c r="C62" s="374"/>
      <c r="D62" s="374"/>
      <c r="E62" s="374"/>
      <c r="F62" s="374"/>
      <c r="G62" s="374"/>
      <c r="H62" s="374"/>
    </row>
    <row r="63" spans="1:8" ht="15">
      <c r="A63" s="374" t="s">
        <v>635</v>
      </c>
      <c r="B63" s="374"/>
      <c r="C63" s="374"/>
      <c r="D63" s="374"/>
      <c r="E63" s="374"/>
      <c r="F63" s="374"/>
      <c r="G63" s="374"/>
      <c r="H63" s="374"/>
    </row>
    <row r="64" spans="1:8" ht="15">
      <c r="A64" s="374" t="s">
        <v>636</v>
      </c>
      <c r="B64" s="374"/>
      <c r="C64" s="374"/>
      <c r="D64" s="374"/>
      <c r="E64" s="374"/>
      <c r="F64" s="374"/>
      <c r="G64" s="374"/>
      <c r="H64" s="374"/>
    </row>
    <row r="65" spans="1:8" ht="15">
      <c r="A65" s="374" t="s">
        <v>637</v>
      </c>
      <c r="B65" s="374"/>
      <c r="C65" s="374"/>
      <c r="D65" s="374"/>
      <c r="E65" s="374"/>
      <c r="F65" s="374"/>
      <c r="G65" s="374"/>
      <c r="H65" s="374"/>
    </row>
    <row r="66" spans="1:8" ht="15">
      <c r="A66" s="374"/>
      <c r="B66" s="374"/>
      <c r="C66" s="374"/>
      <c r="D66" s="374"/>
      <c r="E66" s="374"/>
      <c r="F66" s="374"/>
      <c r="G66" s="374"/>
      <c r="H66" s="374"/>
    </row>
    <row r="67" spans="1:8" ht="15">
      <c r="A67" s="374" t="s">
        <v>638</v>
      </c>
      <c r="B67" s="374"/>
      <c r="C67" s="374"/>
      <c r="D67" s="374"/>
      <c r="E67" s="374"/>
      <c r="F67" s="374"/>
      <c r="G67" s="374"/>
      <c r="H67" s="374"/>
    </row>
    <row r="68" spans="1:8" ht="15">
      <c r="A68" s="374" t="s">
        <v>639</v>
      </c>
      <c r="B68" s="374"/>
      <c r="C68" s="374"/>
      <c r="D68" s="374"/>
      <c r="E68" s="374"/>
      <c r="F68" s="374"/>
      <c r="G68" s="374"/>
      <c r="H68" s="374"/>
    </row>
    <row r="69" spans="1:8" ht="15">
      <c r="A69" s="374" t="s">
        <v>640</v>
      </c>
      <c r="B69" s="374"/>
      <c r="C69" s="374"/>
      <c r="D69" s="374"/>
      <c r="E69" s="374"/>
      <c r="F69" s="374"/>
      <c r="G69" s="374"/>
      <c r="H69" s="374"/>
    </row>
    <row r="70" spans="1:8" ht="15">
      <c r="A70" s="374" t="s">
        <v>641</v>
      </c>
      <c r="B70" s="374"/>
      <c r="C70" s="374"/>
      <c r="D70" s="374"/>
      <c r="E70" s="374"/>
      <c r="F70" s="374"/>
      <c r="G70" s="374"/>
      <c r="H70" s="374"/>
    </row>
    <row r="71" spans="1:8" ht="15">
      <c r="A71" s="374" t="s">
        <v>642</v>
      </c>
      <c r="B71" s="374"/>
      <c r="C71" s="374"/>
      <c r="D71" s="374"/>
      <c r="E71" s="374"/>
      <c r="F71" s="374"/>
      <c r="G71" s="374"/>
      <c r="H71" s="374"/>
    </row>
    <row r="72" spans="1:8" ht="15">
      <c r="A72" s="374" t="s">
        <v>643</v>
      </c>
      <c r="B72" s="374"/>
      <c r="C72" s="374"/>
      <c r="D72" s="374"/>
      <c r="E72" s="374"/>
      <c r="F72" s="374"/>
      <c r="G72" s="374"/>
      <c r="H72" s="374"/>
    </row>
    <row r="73" spans="1:8" ht="15">
      <c r="A73" s="374" t="s">
        <v>644</v>
      </c>
      <c r="B73" s="374"/>
      <c r="C73" s="374"/>
      <c r="D73" s="374"/>
      <c r="E73" s="374"/>
      <c r="F73" s="374"/>
      <c r="G73" s="374"/>
      <c r="H73" s="374"/>
    </row>
    <row r="74" spans="1:8" ht="15">
      <c r="A74" s="374"/>
      <c r="B74" s="374"/>
      <c r="C74" s="374"/>
      <c r="D74" s="374"/>
      <c r="E74" s="374"/>
      <c r="F74" s="374"/>
      <c r="G74" s="374"/>
      <c r="H74" s="374"/>
    </row>
    <row r="75" spans="1:8" ht="15">
      <c r="A75" s="374" t="s">
        <v>645</v>
      </c>
      <c r="B75" s="374"/>
      <c r="C75" s="374"/>
      <c r="D75" s="374"/>
      <c r="E75" s="374"/>
      <c r="F75" s="374"/>
      <c r="G75" s="374"/>
      <c r="H75" s="374"/>
    </row>
    <row r="76" spans="1:8" ht="15">
      <c r="A76" s="374" t="s">
        <v>646</v>
      </c>
      <c r="B76" s="374"/>
      <c r="C76" s="374"/>
      <c r="D76" s="374"/>
      <c r="E76" s="374"/>
      <c r="F76" s="374"/>
      <c r="G76" s="374"/>
      <c r="H76" s="374"/>
    </row>
    <row r="77" spans="1:8" ht="15">
      <c r="A77" s="374" t="s">
        <v>647</v>
      </c>
      <c r="B77" s="374"/>
      <c r="C77" s="374"/>
      <c r="D77" s="374"/>
      <c r="E77" s="374"/>
      <c r="F77" s="374"/>
      <c r="G77" s="374"/>
      <c r="H77" s="374"/>
    </row>
    <row r="78" spans="1:8" ht="15">
      <c r="A78" s="374"/>
      <c r="B78" s="374"/>
      <c r="C78" s="374"/>
      <c r="D78" s="374"/>
      <c r="E78" s="374"/>
      <c r="F78" s="374"/>
      <c r="G78" s="374"/>
      <c r="H78" s="374"/>
    </row>
    <row r="79" ht="15">
      <c r="A79" s="374" t="s">
        <v>592</v>
      </c>
    </row>
    <row r="80" ht="15">
      <c r="A80" s="375"/>
    </row>
    <row r="81" ht="15">
      <c r="A81" s="374"/>
    </row>
    <row r="82" ht="15">
      <c r="A82" s="374"/>
    </row>
    <row r="83" ht="15">
      <c r="A83" s="374"/>
    </row>
    <row r="84" ht="15">
      <c r="A84" s="374"/>
    </row>
    <row r="85" ht="15">
      <c r="A85" s="374"/>
    </row>
    <row r="86" ht="15">
      <c r="A86" s="374"/>
    </row>
    <row r="87" ht="15">
      <c r="A87" s="374"/>
    </row>
    <row r="88" ht="15">
      <c r="A88" s="374"/>
    </row>
    <row r="89" ht="15">
      <c r="A89" s="374"/>
    </row>
    <row r="90" ht="15">
      <c r="A90" s="374"/>
    </row>
    <row r="91" ht="15">
      <c r="A91" s="374"/>
    </row>
    <row r="92" ht="15">
      <c r="A92" s="374"/>
    </row>
    <row r="93" ht="15">
      <c r="A93" s="374"/>
    </row>
    <row r="94" ht="15">
      <c r="A94" s="374"/>
    </row>
    <row r="95" ht="15">
      <c r="A95" s="374"/>
    </row>
    <row r="96" ht="15">
      <c r="A96" s="374"/>
    </row>
    <row r="97" ht="15">
      <c r="A97" s="374"/>
    </row>
    <row r="98" ht="15">
      <c r="A98" s="374"/>
    </row>
    <row r="99" ht="15">
      <c r="A99" s="374"/>
    </row>
    <row r="100" ht="15">
      <c r="A100" s="374"/>
    </row>
    <row r="101" ht="15">
      <c r="A101" s="374"/>
    </row>
    <row r="103" ht="15">
      <c r="A103" s="374"/>
    </row>
    <row r="104" ht="15">
      <c r="A104" s="374"/>
    </row>
    <row r="105" ht="15">
      <c r="A105" s="374"/>
    </row>
    <row r="107" ht="15">
      <c r="A107" s="375"/>
    </row>
    <row r="108" ht="15">
      <c r="A108" s="375"/>
    </row>
    <row r="109" ht="15">
      <c r="A109" s="37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3" t="s">
        <v>648</v>
      </c>
      <c r="B3" s="373"/>
      <c r="C3" s="373"/>
      <c r="D3" s="373"/>
      <c r="E3" s="373"/>
      <c r="F3" s="373"/>
      <c r="G3" s="373"/>
      <c r="H3" s="373"/>
      <c r="I3" s="373"/>
      <c r="J3" s="373"/>
      <c r="K3" s="373"/>
      <c r="L3" s="373"/>
    </row>
    <row r="4" spans="1:12" ht="15">
      <c r="A4" s="373"/>
      <c r="B4" s="373"/>
      <c r="C4" s="373"/>
      <c r="D4" s="373"/>
      <c r="E4" s="373"/>
      <c r="F4" s="373"/>
      <c r="G4" s="373"/>
      <c r="H4" s="373"/>
      <c r="I4" s="373"/>
      <c r="J4" s="373"/>
      <c r="K4" s="373"/>
      <c r="L4" s="373"/>
    </row>
    <row r="5" spans="1:12" ht="15">
      <c r="A5" s="374" t="s">
        <v>545</v>
      </c>
      <c r="I5" s="373"/>
      <c r="J5" s="373"/>
      <c r="K5" s="373"/>
      <c r="L5" s="373"/>
    </row>
    <row r="6" spans="1:12" ht="15">
      <c r="A6" s="374" t="str">
        <f>CONCATENATE("estimated ",inputPrYr!D6-1," 'total expenditures' exceed your ",inputPrYr!D6-1,"")</f>
        <v>estimated 2011 'total expenditures' exceed your 2011</v>
      </c>
      <c r="I6" s="373"/>
      <c r="J6" s="373"/>
      <c r="K6" s="373"/>
      <c r="L6" s="373"/>
    </row>
    <row r="7" spans="1:12" ht="15">
      <c r="A7" s="377" t="s">
        <v>649</v>
      </c>
      <c r="I7" s="373"/>
      <c r="J7" s="373"/>
      <c r="K7" s="373"/>
      <c r="L7" s="373"/>
    </row>
    <row r="8" spans="1:12" ht="15">
      <c r="A8" s="374"/>
      <c r="I8" s="373"/>
      <c r="J8" s="373"/>
      <c r="K8" s="373"/>
      <c r="L8" s="373"/>
    </row>
    <row r="9" spans="1:12" ht="15">
      <c r="A9" s="374" t="s">
        <v>650</v>
      </c>
      <c r="I9" s="373"/>
      <c r="J9" s="373"/>
      <c r="K9" s="373"/>
      <c r="L9" s="373"/>
    </row>
    <row r="10" spans="1:12" ht="15">
      <c r="A10" s="374" t="s">
        <v>651</v>
      </c>
      <c r="I10" s="373"/>
      <c r="J10" s="373"/>
      <c r="K10" s="373"/>
      <c r="L10" s="373"/>
    </row>
    <row r="11" spans="1:12" ht="15">
      <c r="A11" s="374" t="s">
        <v>652</v>
      </c>
      <c r="I11" s="373"/>
      <c r="J11" s="373"/>
      <c r="K11" s="373"/>
      <c r="L11" s="373"/>
    </row>
    <row r="12" spans="1:12" ht="15">
      <c r="A12" s="374" t="s">
        <v>653</v>
      </c>
      <c r="I12" s="373"/>
      <c r="J12" s="373"/>
      <c r="K12" s="373"/>
      <c r="L12" s="373"/>
    </row>
    <row r="13" spans="1:12" ht="15">
      <c r="A13" s="374" t="s">
        <v>654</v>
      </c>
      <c r="I13" s="373"/>
      <c r="J13" s="373"/>
      <c r="K13" s="373"/>
      <c r="L13" s="373"/>
    </row>
    <row r="14" spans="1:12" ht="15">
      <c r="A14" s="373"/>
      <c r="B14" s="373"/>
      <c r="C14" s="373"/>
      <c r="D14" s="373"/>
      <c r="E14" s="373"/>
      <c r="F14" s="373"/>
      <c r="G14" s="373"/>
      <c r="H14" s="373"/>
      <c r="I14" s="373"/>
      <c r="J14" s="373"/>
      <c r="K14" s="373"/>
      <c r="L14" s="373"/>
    </row>
    <row r="15" ht="15">
      <c r="A15" s="375" t="s">
        <v>655</v>
      </c>
    </row>
    <row r="16" ht="15">
      <c r="A16" s="375" t="s">
        <v>656</v>
      </c>
    </row>
    <row r="17" ht="15">
      <c r="A17" s="375"/>
    </row>
    <row r="18" spans="1:7" ht="15">
      <c r="A18" s="374" t="s">
        <v>657</v>
      </c>
      <c r="B18" s="374"/>
      <c r="C18" s="374"/>
      <c r="D18" s="374"/>
      <c r="E18" s="374"/>
      <c r="F18" s="374"/>
      <c r="G18" s="374"/>
    </row>
    <row r="19" spans="1:7" ht="15">
      <c r="A19" s="374" t="str">
        <f>CONCATENATE("your ",inputPrYr!D6-1," numbers to see what steps might be necessary to")</f>
        <v>your 2011 numbers to see what steps might be necessary to</v>
      </c>
      <c r="B19" s="374"/>
      <c r="C19" s="374"/>
      <c r="D19" s="374"/>
      <c r="E19" s="374"/>
      <c r="F19" s="374"/>
      <c r="G19" s="374"/>
    </row>
    <row r="20" spans="1:7" ht="15">
      <c r="A20" s="374" t="s">
        <v>658</v>
      </c>
      <c r="B20" s="374"/>
      <c r="C20" s="374"/>
      <c r="D20" s="374"/>
      <c r="E20" s="374"/>
      <c r="F20" s="374"/>
      <c r="G20" s="374"/>
    </row>
    <row r="21" spans="1:7" ht="15">
      <c r="A21" s="374" t="s">
        <v>659</v>
      </c>
      <c r="B21" s="374"/>
      <c r="C21" s="374"/>
      <c r="D21" s="374"/>
      <c r="E21" s="374"/>
      <c r="F21" s="374"/>
      <c r="G21" s="374"/>
    </row>
    <row r="22" ht="15">
      <c r="A22" s="374"/>
    </row>
    <row r="23" ht="15">
      <c r="A23" s="375" t="s">
        <v>660</v>
      </c>
    </row>
    <row r="24" ht="15">
      <c r="A24" s="375"/>
    </row>
    <row r="25" ht="15">
      <c r="A25" s="374" t="s">
        <v>661</v>
      </c>
    </row>
    <row r="26" spans="1:6" ht="15">
      <c r="A26" s="374" t="s">
        <v>662</v>
      </c>
      <c r="B26" s="374"/>
      <c r="C26" s="374"/>
      <c r="D26" s="374"/>
      <c r="E26" s="374"/>
      <c r="F26" s="374"/>
    </row>
    <row r="27" spans="1:6" ht="15">
      <c r="A27" s="374" t="s">
        <v>663</v>
      </c>
      <c r="B27" s="374"/>
      <c r="C27" s="374"/>
      <c r="D27" s="374"/>
      <c r="E27" s="374"/>
      <c r="F27" s="374"/>
    </row>
    <row r="28" spans="1:6" ht="15">
      <c r="A28" s="374" t="s">
        <v>664</v>
      </c>
      <c r="B28" s="374"/>
      <c r="C28" s="374"/>
      <c r="D28" s="374"/>
      <c r="E28" s="374"/>
      <c r="F28" s="374"/>
    </row>
    <row r="29" spans="1:6" ht="15">
      <c r="A29" s="374"/>
      <c r="B29" s="374"/>
      <c r="C29" s="374"/>
      <c r="D29" s="374"/>
      <c r="E29" s="374"/>
      <c r="F29" s="374"/>
    </row>
    <row r="30" spans="1:7" ht="15">
      <c r="A30" s="375" t="s">
        <v>665</v>
      </c>
      <c r="B30" s="375"/>
      <c r="C30" s="375"/>
      <c r="D30" s="375"/>
      <c r="E30" s="375"/>
      <c r="F30" s="375"/>
      <c r="G30" s="375"/>
    </row>
    <row r="31" spans="1:7" ht="15">
      <c r="A31" s="375" t="s">
        <v>666</v>
      </c>
      <c r="B31" s="375"/>
      <c r="C31" s="375"/>
      <c r="D31" s="375"/>
      <c r="E31" s="375"/>
      <c r="F31" s="375"/>
      <c r="G31" s="375"/>
    </row>
    <row r="32" spans="1:6" ht="15">
      <c r="A32" s="374"/>
      <c r="B32" s="374"/>
      <c r="C32" s="374"/>
      <c r="D32" s="374"/>
      <c r="E32" s="374"/>
      <c r="F32" s="374"/>
    </row>
    <row r="33" spans="1:6" ht="15">
      <c r="A33" s="368" t="str">
        <f>CONCATENATE("Well, let's look to see if any of your ",inputPrYr!D6-1," expenditures can")</f>
        <v>Well, let's look to see if any of your 2011 expenditures can</v>
      </c>
      <c r="B33" s="374"/>
      <c r="C33" s="374"/>
      <c r="D33" s="374"/>
      <c r="E33" s="374"/>
      <c r="F33" s="374"/>
    </row>
    <row r="34" spans="1:6" ht="15">
      <c r="A34" s="368" t="s">
        <v>667</v>
      </c>
      <c r="B34" s="374"/>
      <c r="C34" s="374"/>
      <c r="D34" s="374"/>
      <c r="E34" s="374"/>
      <c r="F34" s="374"/>
    </row>
    <row r="35" spans="1:6" ht="15">
      <c r="A35" s="368" t="s">
        <v>559</v>
      </c>
      <c r="B35" s="374"/>
      <c r="C35" s="374"/>
      <c r="D35" s="374"/>
      <c r="E35" s="374"/>
      <c r="F35" s="374"/>
    </row>
    <row r="36" spans="1:6" ht="15">
      <c r="A36" s="368" t="s">
        <v>560</v>
      </c>
      <c r="B36" s="374"/>
      <c r="C36" s="374"/>
      <c r="D36" s="374"/>
      <c r="E36" s="374"/>
      <c r="F36" s="374"/>
    </row>
    <row r="37" spans="1:6" ht="15">
      <c r="A37" s="368"/>
      <c r="B37" s="374"/>
      <c r="C37" s="374"/>
      <c r="D37" s="374"/>
      <c r="E37" s="374"/>
      <c r="F37" s="374"/>
    </row>
    <row r="38" spans="1:6" ht="15">
      <c r="A38" s="368" t="str">
        <f>CONCATENATE("Additionally, do your ",inputPrYr!D6-1," receipts contain a reimbursement")</f>
        <v>Additionally, do your 2011 receipts contain a reimbursement</v>
      </c>
      <c r="B38" s="374"/>
      <c r="C38" s="374"/>
      <c r="D38" s="374"/>
      <c r="E38" s="374"/>
      <c r="F38" s="374"/>
    </row>
    <row r="39" spans="1:6" ht="15">
      <c r="A39" s="368" t="s">
        <v>561</v>
      </c>
      <c r="B39" s="374"/>
      <c r="C39" s="374"/>
      <c r="D39" s="374"/>
      <c r="E39" s="374"/>
      <c r="F39" s="374"/>
    </row>
    <row r="40" spans="1:6" ht="15">
      <c r="A40" s="368" t="s">
        <v>562</v>
      </c>
      <c r="B40" s="374"/>
      <c r="C40" s="374"/>
      <c r="D40" s="374"/>
      <c r="E40" s="374"/>
      <c r="F40" s="374"/>
    </row>
    <row r="41" spans="1:6" ht="15">
      <c r="A41" s="368"/>
      <c r="B41" s="374"/>
      <c r="C41" s="374"/>
      <c r="D41" s="374"/>
      <c r="E41" s="374"/>
      <c r="F41" s="374"/>
    </row>
    <row r="42" spans="1:6" ht="15">
      <c r="A42" s="368" t="s">
        <v>668</v>
      </c>
      <c r="B42" s="374"/>
      <c r="C42" s="374"/>
      <c r="D42" s="374"/>
      <c r="E42" s="374"/>
      <c r="F42" s="374"/>
    </row>
    <row r="43" spans="1:6" ht="15">
      <c r="A43" s="368" t="s">
        <v>669</v>
      </c>
      <c r="B43" s="374"/>
      <c r="C43" s="374"/>
      <c r="D43" s="374"/>
      <c r="E43" s="374"/>
      <c r="F43" s="374"/>
    </row>
    <row r="44" spans="1:6" ht="15">
      <c r="A44" s="368" t="s">
        <v>670</v>
      </c>
      <c r="B44" s="374"/>
      <c r="C44" s="374"/>
      <c r="D44" s="374"/>
      <c r="E44" s="374"/>
      <c r="F44" s="374"/>
    </row>
    <row r="45" spans="1:6" ht="15">
      <c r="A45" s="368" t="s">
        <v>671</v>
      </c>
      <c r="B45" s="374"/>
      <c r="C45" s="374"/>
      <c r="D45" s="374"/>
      <c r="E45" s="374"/>
      <c r="F45" s="374"/>
    </row>
    <row r="46" spans="1:6" ht="15">
      <c r="A46" s="368" t="s">
        <v>672</v>
      </c>
      <c r="B46" s="374"/>
      <c r="C46" s="374"/>
      <c r="D46" s="374"/>
      <c r="E46" s="374"/>
      <c r="F46" s="374"/>
    </row>
    <row r="47" spans="1:6" ht="15">
      <c r="A47" s="368"/>
      <c r="B47" s="374"/>
      <c r="C47" s="374"/>
      <c r="D47" s="374"/>
      <c r="E47" s="374"/>
      <c r="F47" s="374"/>
    </row>
    <row r="48" spans="1:6" ht="15">
      <c r="A48" s="369" t="s">
        <v>673</v>
      </c>
      <c r="B48" s="374"/>
      <c r="C48" s="374"/>
      <c r="D48" s="374"/>
      <c r="E48" s="374"/>
      <c r="F48" s="374"/>
    </row>
    <row r="49" spans="1:6" ht="15">
      <c r="A49" s="369" t="s">
        <v>674</v>
      </c>
      <c r="B49" s="374"/>
      <c r="C49" s="374"/>
      <c r="D49" s="374"/>
      <c r="E49" s="374"/>
      <c r="F49" s="374"/>
    </row>
    <row r="50" spans="1:6" ht="15">
      <c r="A50" s="369" t="s">
        <v>675</v>
      </c>
      <c r="B50" s="374"/>
      <c r="C50" s="374"/>
      <c r="D50" s="374"/>
      <c r="E50" s="374"/>
      <c r="F50" s="374"/>
    </row>
    <row r="51" ht="15">
      <c r="A51" s="369" t="s">
        <v>676</v>
      </c>
    </row>
    <row r="52" ht="15">
      <c r="A52" s="369" t="s">
        <v>677</v>
      </c>
    </row>
    <row r="53" ht="15">
      <c r="A53" s="369" t="s">
        <v>678</v>
      </c>
    </row>
    <row r="55" ht="15">
      <c r="A55" s="374" t="s">
        <v>679</v>
      </c>
    </row>
    <row r="56" ht="15">
      <c r="A56" s="374" t="s">
        <v>680</v>
      </c>
    </row>
    <row r="57" ht="15">
      <c r="A57" s="374" t="s">
        <v>681</v>
      </c>
    </row>
    <row r="58" ht="15">
      <c r="A58" s="374" t="s">
        <v>682</v>
      </c>
    </row>
    <row r="59" ht="15">
      <c r="A59" s="374" t="s">
        <v>683</v>
      </c>
    </row>
    <row r="60" ht="15">
      <c r="A60" s="374" t="s">
        <v>684</v>
      </c>
    </row>
    <row r="62" ht="15">
      <c r="A62" s="374" t="s">
        <v>592</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3" t="s">
        <v>685</v>
      </c>
      <c r="B3" s="373"/>
      <c r="C3" s="373"/>
      <c r="D3" s="373"/>
      <c r="E3" s="373"/>
      <c r="F3" s="373"/>
      <c r="G3" s="373"/>
    </row>
    <row r="4" spans="1:7" ht="15">
      <c r="A4" s="373"/>
      <c r="B4" s="373"/>
      <c r="C4" s="373"/>
      <c r="D4" s="373"/>
      <c r="E4" s="373"/>
      <c r="F4" s="373"/>
      <c r="G4" s="373"/>
    </row>
    <row r="5" ht="15">
      <c r="A5" s="374" t="s">
        <v>594</v>
      </c>
    </row>
    <row r="6" ht="15">
      <c r="A6" s="374" t="str">
        <f>CONCATENATE(inputPrYr!D6-1," estimated expenditures show that at the end of this year")</f>
        <v>2011 estimated expenditures show that at the end of this year</v>
      </c>
    </row>
    <row r="7" ht="15">
      <c r="A7" s="374" t="s">
        <v>686</v>
      </c>
    </row>
    <row r="8" ht="15">
      <c r="A8" s="374" t="s">
        <v>687</v>
      </c>
    </row>
    <row r="10" ht="15">
      <c r="A10" t="s">
        <v>596</v>
      </c>
    </row>
    <row r="11" ht="15">
      <c r="A11" t="s">
        <v>597</v>
      </c>
    </row>
    <row r="12" ht="15">
      <c r="A12" t="s">
        <v>598</v>
      </c>
    </row>
    <row r="13" spans="1:7" ht="15">
      <c r="A13" s="373"/>
      <c r="B13" s="373"/>
      <c r="C13" s="373"/>
      <c r="D13" s="373"/>
      <c r="E13" s="373"/>
      <c r="F13" s="373"/>
      <c r="G13" s="373"/>
    </row>
    <row r="14" ht="15">
      <c r="A14" s="375" t="s">
        <v>688</v>
      </c>
    </row>
    <row r="15" ht="15">
      <c r="A15" s="374"/>
    </row>
    <row r="16" ht="15">
      <c r="A16" s="374" t="s">
        <v>689</v>
      </c>
    </row>
    <row r="17" ht="15">
      <c r="A17" s="374" t="s">
        <v>690</v>
      </c>
    </row>
    <row r="18" ht="15">
      <c r="A18" s="374" t="s">
        <v>691</v>
      </c>
    </row>
    <row r="19" ht="15">
      <c r="A19" s="374"/>
    </row>
    <row r="20" ht="15">
      <c r="A20" s="374" t="s">
        <v>692</v>
      </c>
    </row>
    <row r="21" ht="15">
      <c r="A21" s="374" t="s">
        <v>693</v>
      </c>
    </row>
    <row r="22" ht="15">
      <c r="A22" s="374" t="s">
        <v>694</v>
      </c>
    </row>
    <row r="23" ht="15">
      <c r="A23" s="374" t="s">
        <v>695</v>
      </c>
    </row>
    <row r="24" ht="15">
      <c r="A24" s="374"/>
    </row>
    <row r="25" ht="15">
      <c r="A25" s="375" t="s">
        <v>660</v>
      </c>
    </row>
    <row r="26" ht="15">
      <c r="A26" s="375"/>
    </row>
    <row r="27" ht="15">
      <c r="A27" s="374" t="s">
        <v>661</v>
      </c>
    </row>
    <row r="28" spans="1:6" ht="15">
      <c r="A28" s="374" t="s">
        <v>662</v>
      </c>
      <c r="B28" s="374"/>
      <c r="C28" s="374"/>
      <c r="D28" s="374"/>
      <c r="E28" s="374"/>
      <c r="F28" s="374"/>
    </row>
    <row r="29" spans="1:6" ht="15">
      <c r="A29" s="374" t="s">
        <v>663</v>
      </c>
      <c r="B29" s="374"/>
      <c r="C29" s="374"/>
      <c r="D29" s="374"/>
      <c r="E29" s="374"/>
      <c r="F29" s="374"/>
    </row>
    <row r="30" spans="1:6" ht="15">
      <c r="A30" s="374" t="s">
        <v>664</v>
      </c>
      <c r="B30" s="374"/>
      <c r="C30" s="374"/>
      <c r="D30" s="374"/>
      <c r="E30" s="374"/>
      <c r="F30" s="374"/>
    </row>
    <row r="31" ht="15">
      <c r="A31" s="374"/>
    </row>
    <row r="32" spans="1:7" ht="15">
      <c r="A32" s="375" t="s">
        <v>665</v>
      </c>
      <c r="B32" s="375"/>
      <c r="C32" s="375"/>
      <c r="D32" s="375"/>
      <c r="E32" s="375"/>
      <c r="F32" s="375"/>
      <c r="G32" s="375"/>
    </row>
    <row r="33" spans="1:7" ht="15">
      <c r="A33" s="375" t="s">
        <v>666</v>
      </c>
      <c r="B33" s="375"/>
      <c r="C33" s="375"/>
      <c r="D33" s="375"/>
      <c r="E33" s="375"/>
      <c r="F33" s="375"/>
      <c r="G33" s="375"/>
    </row>
    <row r="34" spans="1:7" ht="15">
      <c r="A34" s="375"/>
      <c r="B34" s="375"/>
      <c r="C34" s="375"/>
      <c r="D34" s="375"/>
      <c r="E34" s="375"/>
      <c r="F34" s="375"/>
      <c r="G34" s="375"/>
    </row>
    <row r="35" spans="1:7" ht="15">
      <c r="A35" s="374" t="s">
        <v>696</v>
      </c>
      <c r="B35" s="374"/>
      <c r="C35" s="374"/>
      <c r="D35" s="374"/>
      <c r="E35" s="374"/>
      <c r="F35" s="374"/>
      <c r="G35" s="374"/>
    </row>
    <row r="36" spans="1:7" ht="15">
      <c r="A36" s="374" t="s">
        <v>697</v>
      </c>
      <c r="B36" s="374"/>
      <c r="C36" s="374"/>
      <c r="D36" s="374"/>
      <c r="E36" s="374"/>
      <c r="F36" s="374"/>
      <c r="G36" s="374"/>
    </row>
    <row r="37" spans="1:7" ht="15">
      <c r="A37" s="374" t="s">
        <v>698</v>
      </c>
      <c r="B37" s="374"/>
      <c r="C37" s="374"/>
      <c r="D37" s="374"/>
      <c r="E37" s="374"/>
      <c r="F37" s="374"/>
      <c r="G37" s="374"/>
    </row>
    <row r="38" spans="1:7" ht="15">
      <c r="A38" s="374" t="s">
        <v>699</v>
      </c>
      <c r="B38" s="374"/>
      <c r="C38" s="374"/>
      <c r="D38" s="374"/>
      <c r="E38" s="374"/>
      <c r="F38" s="374"/>
      <c r="G38" s="374"/>
    </row>
    <row r="39" spans="1:7" ht="15">
      <c r="A39" s="374" t="s">
        <v>700</v>
      </c>
      <c r="B39" s="374"/>
      <c r="C39" s="374"/>
      <c r="D39" s="374"/>
      <c r="E39" s="374"/>
      <c r="F39" s="374"/>
      <c r="G39" s="374"/>
    </row>
    <row r="40" spans="1:7" ht="15">
      <c r="A40" s="375"/>
      <c r="B40" s="375"/>
      <c r="C40" s="375"/>
      <c r="D40" s="375"/>
      <c r="E40" s="375"/>
      <c r="F40" s="375"/>
      <c r="G40" s="375"/>
    </row>
    <row r="41" spans="1:6" ht="15">
      <c r="A41" s="368" t="str">
        <f>CONCATENATE("So, let's look to see if any of your ",inputPrYr!D6-1," expenditures can")</f>
        <v>So, let's look to see if any of your 2011 expenditures can</v>
      </c>
      <c r="B41" s="374"/>
      <c r="C41" s="374"/>
      <c r="D41" s="374"/>
      <c r="E41" s="374"/>
      <c r="F41" s="374"/>
    </row>
    <row r="42" spans="1:6" ht="15">
      <c r="A42" s="368" t="s">
        <v>667</v>
      </c>
      <c r="B42" s="374"/>
      <c r="C42" s="374"/>
      <c r="D42" s="374"/>
      <c r="E42" s="374"/>
      <c r="F42" s="374"/>
    </row>
    <row r="43" spans="1:6" ht="15">
      <c r="A43" s="368" t="s">
        <v>559</v>
      </c>
      <c r="B43" s="374"/>
      <c r="C43" s="374"/>
      <c r="D43" s="374"/>
      <c r="E43" s="374"/>
      <c r="F43" s="374"/>
    </row>
    <row r="44" spans="1:6" ht="15">
      <c r="A44" s="368" t="s">
        <v>560</v>
      </c>
      <c r="B44" s="374"/>
      <c r="C44" s="374"/>
      <c r="D44" s="374"/>
      <c r="E44" s="374"/>
      <c r="F44" s="374"/>
    </row>
    <row r="45" ht="15">
      <c r="A45" s="374"/>
    </row>
    <row r="46" spans="1:6" ht="15">
      <c r="A46" s="368" t="str">
        <f>CONCATENATE("Additionally, do your ",inputPrYr!D6-1," receipts contain a reimbursement")</f>
        <v>Additionally, do your 2011 receipts contain a reimbursement</v>
      </c>
      <c r="B46" s="374"/>
      <c r="C46" s="374"/>
      <c r="D46" s="374"/>
      <c r="E46" s="374"/>
      <c r="F46" s="374"/>
    </row>
    <row r="47" spans="1:6" ht="15">
      <c r="A47" s="368" t="s">
        <v>561</v>
      </c>
      <c r="B47" s="374"/>
      <c r="C47" s="374"/>
      <c r="D47" s="374"/>
      <c r="E47" s="374"/>
      <c r="F47" s="374"/>
    </row>
    <row r="48" spans="1:6" ht="15">
      <c r="A48" s="368" t="s">
        <v>562</v>
      </c>
      <c r="B48" s="374"/>
      <c r="C48" s="374"/>
      <c r="D48" s="374"/>
      <c r="E48" s="374"/>
      <c r="F48" s="374"/>
    </row>
    <row r="49" spans="1:7" ht="15">
      <c r="A49" s="374"/>
      <c r="B49" s="374"/>
      <c r="C49" s="374"/>
      <c r="D49" s="374"/>
      <c r="E49" s="374"/>
      <c r="F49" s="374"/>
      <c r="G49" s="374"/>
    </row>
    <row r="50" spans="1:7" ht="15">
      <c r="A50" s="374" t="s">
        <v>621</v>
      </c>
      <c r="B50" s="374"/>
      <c r="C50" s="374"/>
      <c r="D50" s="374"/>
      <c r="E50" s="374"/>
      <c r="F50" s="374"/>
      <c r="G50" s="374"/>
    </row>
    <row r="51" spans="1:7" ht="15">
      <c r="A51" s="374" t="s">
        <v>622</v>
      </c>
      <c r="B51" s="374"/>
      <c r="C51" s="374"/>
      <c r="D51" s="374"/>
      <c r="E51" s="374"/>
      <c r="F51" s="374"/>
      <c r="G51" s="374"/>
    </row>
    <row r="52" spans="1:7" ht="15">
      <c r="A52" s="374" t="s">
        <v>623</v>
      </c>
      <c r="B52" s="374"/>
      <c r="C52" s="374"/>
      <c r="D52" s="374"/>
      <c r="E52" s="374"/>
      <c r="F52" s="374"/>
      <c r="G52" s="374"/>
    </row>
    <row r="53" spans="1:7" ht="15">
      <c r="A53" s="374" t="s">
        <v>624</v>
      </c>
      <c r="B53" s="374"/>
      <c r="C53" s="374"/>
      <c r="D53" s="374"/>
      <c r="E53" s="374"/>
      <c r="F53" s="374"/>
      <c r="G53" s="374"/>
    </row>
    <row r="54" spans="1:7" ht="15">
      <c r="A54" s="374" t="s">
        <v>625</v>
      </c>
      <c r="B54" s="374"/>
      <c r="C54" s="374"/>
      <c r="D54" s="374"/>
      <c r="E54" s="374"/>
      <c r="F54" s="374"/>
      <c r="G54" s="374"/>
    </row>
    <row r="55" spans="1:7" ht="15">
      <c r="A55" s="374"/>
      <c r="B55" s="374"/>
      <c r="C55" s="374"/>
      <c r="D55" s="374"/>
      <c r="E55" s="374"/>
      <c r="F55" s="374"/>
      <c r="G55" s="374"/>
    </row>
    <row r="56" spans="1:6" ht="15">
      <c r="A56" s="368" t="s">
        <v>563</v>
      </c>
      <c r="B56" s="374"/>
      <c r="C56" s="374"/>
      <c r="D56" s="374"/>
      <c r="E56" s="374"/>
      <c r="F56" s="374"/>
    </row>
    <row r="57" spans="1:6" ht="15">
      <c r="A57" s="368" t="s">
        <v>564</v>
      </c>
      <c r="B57" s="374"/>
      <c r="C57" s="374"/>
      <c r="D57" s="374"/>
      <c r="E57" s="374"/>
      <c r="F57" s="374"/>
    </row>
    <row r="58" spans="1:6" ht="15">
      <c r="A58" s="368" t="s">
        <v>565</v>
      </c>
      <c r="B58" s="374"/>
      <c r="C58" s="374"/>
      <c r="D58" s="374"/>
      <c r="E58" s="374"/>
      <c r="F58" s="374"/>
    </row>
    <row r="59" spans="1:6" ht="15">
      <c r="A59" s="368"/>
      <c r="B59" s="374"/>
      <c r="C59" s="374"/>
      <c r="D59" s="374"/>
      <c r="E59" s="374"/>
      <c r="F59" s="374"/>
    </row>
    <row r="60" spans="1:7" ht="15">
      <c r="A60" s="374" t="s">
        <v>701</v>
      </c>
      <c r="B60" s="374"/>
      <c r="C60" s="374"/>
      <c r="D60" s="374"/>
      <c r="E60" s="374"/>
      <c r="F60" s="374"/>
      <c r="G60" s="374"/>
    </row>
    <row r="61" spans="1:7" ht="15">
      <c r="A61" s="374" t="s">
        <v>702</v>
      </c>
      <c r="B61" s="374"/>
      <c r="C61" s="374"/>
      <c r="D61" s="374"/>
      <c r="E61" s="374"/>
      <c r="F61" s="374"/>
      <c r="G61" s="374"/>
    </row>
    <row r="62" spans="1:7" ht="15">
      <c r="A62" s="374" t="s">
        <v>703</v>
      </c>
      <c r="B62" s="374"/>
      <c r="C62" s="374"/>
      <c r="D62" s="374"/>
      <c r="E62" s="374"/>
      <c r="F62" s="374"/>
      <c r="G62" s="374"/>
    </row>
    <row r="63" spans="1:7" ht="15">
      <c r="A63" s="374" t="s">
        <v>704</v>
      </c>
      <c r="B63" s="374"/>
      <c r="C63" s="374"/>
      <c r="D63" s="374"/>
      <c r="E63" s="374"/>
      <c r="F63" s="374"/>
      <c r="G63" s="374"/>
    </row>
    <row r="64" spans="1:7" ht="15">
      <c r="A64" s="374" t="s">
        <v>705</v>
      </c>
      <c r="B64" s="374"/>
      <c r="C64" s="374"/>
      <c r="D64" s="374"/>
      <c r="E64" s="374"/>
      <c r="F64" s="374"/>
      <c r="G64" s="374"/>
    </row>
    <row r="66" spans="1:6" ht="15">
      <c r="A66" s="368" t="s">
        <v>668</v>
      </c>
      <c r="B66" s="374"/>
      <c r="C66" s="374"/>
      <c r="D66" s="374"/>
      <c r="E66" s="374"/>
      <c r="F66" s="374"/>
    </row>
    <row r="67" spans="1:6" ht="15">
      <c r="A67" s="368" t="s">
        <v>669</v>
      </c>
      <c r="B67" s="374"/>
      <c r="C67" s="374"/>
      <c r="D67" s="374"/>
      <c r="E67" s="374"/>
      <c r="F67" s="374"/>
    </row>
    <row r="68" spans="1:6" ht="15">
      <c r="A68" s="368" t="s">
        <v>670</v>
      </c>
      <c r="B68" s="374"/>
      <c r="C68" s="374"/>
      <c r="D68" s="374"/>
      <c r="E68" s="374"/>
      <c r="F68" s="374"/>
    </row>
    <row r="69" spans="1:6" ht="15">
      <c r="A69" s="368" t="s">
        <v>671</v>
      </c>
      <c r="B69" s="374"/>
      <c r="C69" s="374"/>
      <c r="D69" s="374"/>
      <c r="E69" s="374"/>
      <c r="F69" s="374"/>
    </row>
    <row r="70" spans="1:6" ht="15">
      <c r="A70" s="368" t="s">
        <v>672</v>
      </c>
      <c r="B70" s="374"/>
      <c r="C70" s="374"/>
      <c r="D70" s="374"/>
      <c r="E70" s="374"/>
      <c r="F70" s="374"/>
    </row>
    <row r="71" ht="15">
      <c r="A71" s="374"/>
    </row>
    <row r="72" ht="15">
      <c r="A72" s="374" t="s">
        <v>592</v>
      </c>
    </row>
    <row r="73" ht="15">
      <c r="A73" s="374"/>
    </row>
    <row r="74" ht="15">
      <c r="A74" s="374"/>
    </row>
    <row r="75" ht="15">
      <c r="A75" s="374"/>
    </row>
    <row r="78" ht="15">
      <c r="A78" s="375"/>
    </row>
    <row r="80" ht="15">
      <c r="A80" s="374"/>
    </row>
    <row r="81" ht="15">
      <c r="A81" s="374"/>
    </row>
    <row r="82" ht="15">
      <c r="A82" s="374"/>
    </row>
    <row r="83" ht="15">
      <c r="A83" s="374"/>
    </row>
    <row r="84" ht="15">
      <c r="A84" s="374"/>
    </row>
    <row r="85" ht="15">
      <c r="A85" s="374"/>
    </row>
    <row r="86" ht="15">
      <c r="A86" s="374"/>
    </row>
    <row r="87" ht="15">
      <c r="A87" s="374"/>
    </row>
    <row r="88" ht="15">
      <c r="A88" s="374"/>
    </row>
    <row r="89" ht="15">
      <c r="A89" s="374"/>
    </row>
    <row r="90" ht="15">
      <c r="A90" s="374"/>
    </row>
    <row r="92" ht="15">
      <c r="A92" s="374"/>
    </row>
    <row r="93" ht="15">
      <c r="A93" s="374"/>
    </row>
    <row r="94" ht="15">
      <c r="A94" s="374"/>
    </row>
    <row r="95" ht="15">
      <c r="A95" s="374"/>
    </row>
    <row r="96" ht="15">
      <c r="A96" s="374"/>
    </row>
    <row r="97" ht="15">
      <c r="A97" s="374"/>
    </row>
    <row r="98" ht="15">
      <c r="A98" s="374"/>
    </row>
    <row r="99" ht="15">
      <c r="A99" s="374"/>
    </row>
    <row r="100" ht="15">
      <c r="A100" s="374"/>
    </row>
    <row r="101" ht="15">
      <c r="A101" s="374"/>
    </row>
    <row r="102" ht="15">
      <c r="A102" s="374"/>
    </row>
    <row r="103" ht="15">
      <c r="A103" s="374"/>
    </row>
    <row r="104" ht="15">
      <c r="A104" s="374"/>
    </row>
    <row r="105" ht="15">
      <c r="A105" s="374"/>
    </row>
    <row r="106" ht="15">
      <c r="A106" s="37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3" t="s">
        <v>706</v>
      </c>
      <c r="B3" s="373"/>
      <c r="C3" s="373"/>
      <c r="D3" s="373"/>
      <c r="E3" s="373"/>
      <c r="F3" s="373"/>
      <c r="G3" s="373"/>
    </row>
    <row r="4" spans="1:7" ht="15">
      <c r="A4" s="373" t="s">
        <v>707</v>
      </c>
      <c r="B4" s="373"/>
      <c r="C4" s="373"/>
      <c r="D4" s="373"/>
      <c r="E4" s="373"/>
      <c r="F4" s="373"/>
      <c r="G4" s="373"/>
    </row>
    <row r="5" spans="1:7" ht="15">
      <c r="A5" s="373"/>
      <c r="B5" s="373"/>
      <c r="C5" s="373"/>
      <c r="D5" s="373"/>
      <c r="E5" s="373"/>
      <c r="F5" s="373"/>
      <c r="G5" s="373"/>
    </row>
    <row r="6" spans="1:7" ht="15">
      <c r="A6" s="373"/>
      <c r="B6" s="373"/>
      <c r="C6" s="373"/>
      <c r="D6" s="373"/>
      <c r="E6" s="373"/>
      <c r="F6" s="373"/>
      <c r="G6" s="373"/>
    </row>
    <row r="7" ht="15">
      <c r="A7" s="374" t="s">
        <v>545</v>
      </c>
    </row>
    <row r="8" ht="15">
      <c r="A8" s="374" t="str">
        <f>CONCATENATE("estimated ",inputPrYr!D6," 'total expenditures' exceed your ",inputPrYr!D6,"")</f>
        <v>estimated 2012 'total expenditures' exceed your 2012</v>
      </c>
    </row>
    <row r="9" ht="15">
      <c r="A9" s="377" t="s">
        <v>708</v>
      </c>
    </row>
    <row r="10" ht="15">
      <c r="A10" s="374"/>
    </row>
    <row r="11" ht="15">
      <c r="A11" s="374" t="s">
        <v>709</v>
      </c>
    </row>
    <row r="12" ht="15">
      <c r="A12" s="374" t="s">
        <v>710</v>
      </c>
    </row>
    <row r="13" ht="15">
      <c r="A13" s="374" t="s">
        <v>711</v>
      </c>
    </row>
    <row r="14" ht="15">
      <c r="A14" s="374"/>
    </row>
    <row r="15" ht="15">
      <c r="A15" s="375" t="s">
        <v>712</v>
      </c>
    </row>
    <row r="16" spans="1:7" ht="15">
      <c r="A16" s="373"/>
      <c r="B16" s="373"/>
      <c r="C16" s="373"/>
      <c r="D16" s="373"/>
      <c r="E16" s="373"/>
      <c r="F16" s="373"/>
      <c r="G16" s="373"/>
    </row>
    <row r="17" spans="1:8" ht="15">
      <c r="A17" s="378" t="s">
        <v>713</v>
      </c>
      <c r="B17" s="370"/>
      <c r="C17" s="370"/>
      <c r="D17" s="370"/>
      <c r="E17" s="370"/>
      <c r="F17" s="370"/>
      <c r="G17" s="370"/>
      <c r="H17" s="370"/>
    </row>
    <row r="18" spans="1:7" ht="15">
      <c r="A18" s="374" t="s">
        <v>714</v>
      </c>
      <c r="B18" s="379"/>
      <c r="C18" s="379"/>
      <c r="D18" s="379"/>
      <c r="E18" s="379"/>
      <c r="F18" s="379"/>
      <c r="G18" s="379"/>
    </row>
    <row r="19" ht="15">
      <c r="A19" s="374" t="s">
        <v>715</v>
      </c>
    </row>
    <row r="20" ht="15">
      <c r="A20" s="374" t="s">
        <v>716</v>
      </c>
    </row>
    <row r="22" ht="15">
      <c r="A22" s="375" t="s">
        <v>717</v>
      </c>
    </row>
    <row r="24" ht="15">
      <c r="A24" s="374" t="s">
        <v>718</v>
      </c>
    </row>
    <row r="25" ht="15">
      <c r="A25" s="374" t="s">
        <v>719</v>
      </c>
    </row>
    <row r="26" ht="15">
      <c r="A26" s="374" t="s">
        <v>720</v>
      </c>
    </row>
    <row r="28" ht="15">
      <c r="A28" s="375" t="s">
        <v>721</v>
      </c>
    </row>
    <row r="30" ht="15">
      <c r="A30" t="s">
        <v>722</v>
      </c>
    </row>
    <row r="31" ht="15">
      <c r="A31" t="s">
        <v>723</v>
      </c>
    </row>
    <row r="32" ht="15">
      <c r="A32" t="s">
        <v>724</v>
      </c>
    </row>
    <row r="33" ht="15">
      <c r="A33" s="374" t="s">
        <v>725</v>
      </c>
    </row>
    <row r="35" ht="15">
      <c r="A35" t="s">
        <v>726</v>
      </c>
    </row>
    <row r="36" ht="15">
      <c r="A36" t="s">
        <v>727</v>
      </c>
    </row>
    <row r="37" ht="15">
      <c r="A37" t="s">
        <v>728</v>
      </c>
    </row>
    <row r="38" ht="15">
      <c r="A38" t="s">
        <v>729</v>
      </c>
    </row>
    <row r="40" ht="15">
      <c r="A40" t="s">
        <v>730</v>
      </c>
    </row>
    <row r="41" ht="15">
      <c r="A41" t="s">
        <v>731</v>
      </c>
    </row>
    <row r="42" ht="15">
      <c r="A42" t="s">
        <v>732</v>
      </c>
    </row>
    <row r="43" ht="15">
      <c r="A43" t="s">
        <v>733</v>
      </c>
    </row>
    <row r="44" ht="15">
      <c r="A44" t="s">
        <v>734</v>
      </c>
    </row>
    <row r="45" ht="15">
      <c r="A45" t="s">
        <v>735</v>
      </c>
    </row>
    <row r="47" ht="15">
      <c r="A47" t="s">
        <v>736</v>
      </c>
    </row>
    <row r="48" ht="15">
      <c r="A48" t="s">
        <v>737</v>
      </c>
    </row>
    <row r="49" ht="15">
      <c r="A49" s="374" t="s">
        <v>738</v>
      </c>
    </row>
    <row r="50" ht="15">
      <c r="A50" s="374" t="s">
        <v>739</v>
      </c>
    </row>
    <row r="52" ht="15">
      <c r="A52" t="s">
        <v>592</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
  <cols>
    <col min="1" max="1" width="7.59765625" style="427" customWidth="1"/>
    <col min="2" max="2" width="11.19921875" style="428" customWidth="1"/>
    <col min="3" max="3" width="7.3984375" style="428" customWidth="1"/>
    <col min="4" max="4" width="8.8984375" style="428" customWidth="1"/>
    <col min="5" max="5" width="1.59765625" style="428" customWidth="1"/>
    <col min="6" max="6" width="14.296875" style="428" customWidth="1"/>
    <col min="7" max="7" width="2.59765625" style="428" customWidth="1"/>
    <col min="8" max="8" width="9.796875" style="428" customWidth="1"/>
    <col min="9" max="9" width="2" style="428" customWidth="1"/>
    <col min="10" max="10" width="8.59765625" style="428" customWidth="1"/>
    <col min="11" max="11" width="11.69921875" style="428" customWidth="1"/>
    <col min="12" max="12" width="7.59765625" style="427" customWidth="1"/>
    <col min="13" max="14" width="8.8984375" style="427" customWidth="1"/>
    <col min="15" max="15" width="9.8984375" style="427" bestFit="1" customWidth="1"/>
    <col min="16" max="16384" width="8.8984375" style="427"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651" t="s">
        <v>28</v>
      </c>
      <c r="C6" s="652"/>
      <c r="D6" s="652"/>
      <c r="E6" s="652"/>
      <c r="F6" s="652"/>
      <c r="G6" s="652"/>
      <c r="H6" s="652"/>
      <c r="I6" s="652"/>
      <c r="J6" s="652"/>
      <c r="K6" s="652"/>
      <c r="L6" s="429"/>
    </row>
    <row r="7" spans="1:12" ht="40.5" customHeight="1">
      <c r="A7" s="426"/>
      <c r="B7" s="653" t="s">
        <v>29</v>
      </c>
      <c r="C7" s="654"/>
      <c r="D7" s="654"/>
      <c r="E7" s="654"/>
      <c r="F7" s="654"/>
      <c r="G7" s="654"/>
      <c r="H7" s="654"/>
      <c r="I7" s="654"/>
      <c r="J7" s="654"/>
      <c r="K7" s="654"/>
      <c r="L7" s="426"/>
    </row>
    <row r="8" spans="1:12" ht="14.25">
      <c r="A8" s="426"/>
      <c r="B8" s="655" t="s">
        <v>30</v>
      </c>
      <c r="C8" s="655"/>
      <c r="D8" s="655"/>
      <c r="E8" s="655"/>
      <c r="F8" s="655"/>
      <c r="G8" s="655"/>
      <c r="H8" s="655"/>
      <c r="I8" s="655"/>
      <c r="J8" s="655"/>
      <c r="K8" s="655"/>
      <c r="L8" s="426"/>
    </row>
    <row r="9" spans="1:12" ht="14.25">
      <c r="A9" s="426"/>
      <c r="L9" s="426"/>
    </row>
    <row r="10" spans="1:12" ht="14.25">
      <c r="A10" s="426"/>
      <c r="B10" s="655" t="s">
        <v>31</v>
      </c>
      <c r="C10" s="655"/>
      <c r="D10" s="655"/>
      <c r="E10" s="655"/>
      <c r="F10" s="655"/>
      <c r="G10" s="655"/>
      <c r="H10" s="655"/>
      <c r="I10" s="655"/>
      <c r="J10" s="655"/>
      <c r="K10" s="655"/>
      <c r="L10" s="426"/>
    </row>
    <row r="11" spans="1:12" ht="14.25">
      <c r="A11" s="426"/>
      <c r="B11" s="430"/>
      <c r="C11" s="430"/>
      <c r="D11" s="430"/>
      <c r="E11" s="430"/>
      <c r="F11" s="430"/>
      <c r="G11" s="430"/>
      <c r="H11" s="430"/>
      <c r="I11" s="430"/>
      <c r="J11" s="430"/>
      <c r="K11" s="430"/>
      <c r="L11" s="426"/>
    </row>
    <row r="12" spans="1:12" ht="32.25" customHeight="1">
      <c r="A12" s="426"/>
      <c r="B12" s="650" t="s">
        <v>32</v>
      </c>
      <c r="C12" s="650"/>
      <c r="D12" s="650"/>
      <c r="E12" s="650"/>
      <c r="F12" s="650"/>
      <c r="G12" s="650"/>
      <c r="H12" s="650"/>
      <c r="I12" s="650"/>
      <c r="J12" s="650"/>
      <c r="K12" s="650"/>
      <c r="L12" s="426"/>
    </row>
    <row r="13" spans="1:12" ht="14.25">
      <c r="A13" s="426"/>
      <c r="L13" s="426"/>
    </row>
    <row r="14" spans="1:12" ht="14.25">
      <c r="A14" s="426"/>
      <c r="B14" s="431" t="s">
        <v>33</v>
      </c>
      <c r="L14" s="426"/>
    </row>
    <row r="15" spans="1:12" ht="14.25">
      <c r="A15" s="426"/>
      <c r="L15" s="426"/>
    </row>
    <row r="16" spans="1:12" ht="14.25">
      <c r="A16" s="426"/>
      <c r="B16" s="428" t="s">
        <v>34</v>
      </c>
      <c r="L16" s="426"/>
    </row>
    <row r="17" spans="1:12" ht="14.25">
      <c r="A17" s="426"/>
      <c r="B17" s="428" t="s">
        <v>35</v>
      </c>
      <c r="L17" s="426"/>
    </row>
    <row r="18" spans="1:12" ht="14.25">
      <c r="A18" s="426"/>
      <c r="L18" s="426"/>
    </row>
    <row r="19" spans="1:12" ht="14.25">
      <c r="A19" s="426"/>
      <c r="B19" s="431" t="s">
        <v>36</v>
      </c>
      <c r="L19" s="426"/>
    </row>
    <row r="20" spans="1:12" ht="14.25">
      <c r="A20" s="426"/>
      <c r="B20" s="431"/>
      <c r="L20" s="426"/>
    </row>
    <row r="21" spans="1:12" ht="14.25">
      <c r="A21" s="426"/>
      <c r="B21" s="428" t="s">
        <v>37</v>
      </c>
      <c r="L21" s="426"/>
    </row>
    <row r="22" spans="1:12" ht="14.25">
      <c r="A22" s="426"/>
      <c r="L22" s="426"/>
    </row>
    <row r="23" spans="1:12" ht="14.25">
      <c r="A23" s="426"/>
      <c r="B23" s="428" t="s">
        <v>38</v>
      </c>
      <c r="E23" s="428" t="s">
        <v>39</v>
      </c>
      <c r="F23" s="649">
        <v>133685008</v>
      </c>
      <c r="G23" s="649"/>
      <c r="L23" s="426"/>
    </row>
    <row r="24" spans="1:12" ht="14.25">
      <c r="A24" s="426"/>
      <c r="L24" s="426"/>
    </row>
    <row r="25" spans="1:12" ht="14.25">
      <c r="A25" s="426"/>
      <c r="C25" s="658">
        <f>F23</f>
        <v>133685008</v>
      </c>
      <c r="D25" s="658"/>
      <c r="E25" s="428" t="s">
        <v>40</v>
      </c>
      <c r="F25" s="432">
        <v>1000</v>
      </c>
      <c r="G25" s="432" t="s">
        <v>39</v>
      </c>
      <c r="H25" s="433">
        <f>F23/F25</f>
        <v>133685.008</v>
      </c>
      <c r="L25" s="426"/>
    </row>
    <row r="26" spans="1:12" ht="15" thickBot="1">
      <c r="A26" s="426"/>
      <c r="L26" s="426"/>
    </row>
    <row r="27" spans="1:12" ht="14.25">
      <c r="A27" s="426"/>
      <c r="B27" s="434" t="s">
        <v>33</v>
      </c>
      <c r="C27" s="435"/>
      <c r="D27" s="435"/>
      <c r="E27" s="435"/>
      <c r="F27" s="435"/>
      <c r="G27" s="435"/>
      <c r="H27" s="435"/>
      <c r="I27" s="435"/>
      <c r="J27" s="435"/>
      <c r="K27" s="436"/>
      <c r="L27" s="426"/>
    </row>
    <row r="28" spans="1:12" ht="14.25">
      <c r="A28" s="426"/>
      <c r="B28" s="437">
        <f>F23</f>
        <v>133685008</v>
      </c>
      <c r="C28" s="438" t="s">
        <v>41</v>
      </c>
      <c r="D28" s="438"/>
      <c r="E28" s="438" t="s">
        <v>40</v>
      </c>
      <c r="F28" s="439">
        <v>1000</v>
      </c>
      <c r="G28" s="439" t="s">
        <v>39</v>
      </c>
      <c r="H28" s="440">
        <f>B28/F28</f>
        <v>133685.008</v>
      </c>
      <c r="I28" s="438" t="s">
        <v>42</v>
      </c>
      <c r="J28" s="438"/>
      <c r="K28" s="441"/>
      <c r="L28" s="426"/>
    </row>
    <row r="29" spans="1:12" ht="15" thickBot="1">
      <c r="A29" s="426"/>
      <c r="B29" s="442"/>
      <c r="C29" s="443"/>
      <c r="D29" s="443"/>
      <c r="E29" s="443"/>
      <c r="F29" s="443"/>
      <c r="G29" s="443"/>
      <c r="H29" s="443"/>
      <c r="I29" s="443"/>
      <c r="J29" s="443"/>
      <c r="K29" s="444"/>
      <c r="L29" s="426"/>
    </row>
    <row r="30" spans="1:12" ht="40.5" customHeight="1">
      <c r="A30" s="426"/>
      <c r="B30" s="659" t="s">
        <v>29</v>
      </c>
      <c r="C30" s="659"/>
      <c r="D30" s="659"/>
      <c r="E30" s="659"/>
      <c r="F30" s="659"/>
      <c r="G30" s="659"/>
      <c r="H30" s="659"/>
      <c r="I30" s="659"/>
      <c r="J30" s="659"/>
      <c r="K30" s="659"/>
      <c r="L30" s="426"/>
    </row>
    <row r="31" spans="1:12" ht="14.25">
      <c r="A31" s="426"/>
      <c r="B31" s="655" t="s">
        <v>43</v>
      </c>
      <c r="C31" s="655"/>
      <c r="D31" s="655"/>
      <c r="E31" s="655"/>
      <c r="F31" s="655"/>
      <c r="G31" s="655"/>
      <c r="H31" s="655"/>
      <c r="I31" s="655"/>
      <c r="J31" s="655"/>
      <c r="K31" s="655"/>
      <c r="L31" s="426"/>
    </row>
    <row r="32" spans="1:12" ht="14.25">
      <c r="A32" s="426"/>
      <c r="L32" s="426"/>
    </row>
    <row r="33" spans="1:12" ht="14.25">
      <c r="A33" s="426"/>
      <c r="B33" s="655" t="s">
        <v>44</v>
      </c>
      <c r="C33" s="655"/>
      <c r="D33" s="655"/>
      <c r="E33" s="655"/>
      <c r="F33" s="655"/>
      <c r="G33" s="655"/>
      <c r="H33" s="655"/>
      <c r="I33" s="655"/>
      <c r="J33" s="655"/>
      <c r="K33" s="655"/>
      <c r="L33" s="426"/>
    </row>
    <row r="34" spans="1:12" ht="14.25">
      <c r="A34" s="426"/>
      <c r="L34" s="426"/>
    </row>
    <row r="35" spans="1:12" ht="89.25" customHeight="1">
      <c r="A35" s="426"/>
      <c r="B35" s="650" t="s">
        <v>45</v>
      </c>
      <c r="C35" s="656"/>
      <c r="D35" s="656"/>
      <c r="E35" s="656"/>
      <c r="F35" s="656"/>
      <c r="G35" s="656"/>
      <c r="H35" s="656"/>
      <c r="I35" s="656"/>
      <c r="J35" s="656"/>
      <c r="K35" s="656"/>
      <c r="L35" s="426"/>
    </row>
    <row r="36" spans="1:12" ht="14.25">
      <c r="A36" s="426"/>
      <c r="L36" s="426"/>
    </row>
    <row r="37" spans="1:12" ht="14.25">
      <c r="A37" s="426"/>
      <c r="B37" s="431" t="s">
        <v>46</v>
      </c>
      <c r="L37" s="426"/>
    </row>
    <row r="38" spans="1:12" ht="14.25">
      <c r="A38" s="426"/>
      <c r="L38" s="426"/>
    </row>
    <row r="39" spans="1:12" ht="14.25">
      <c r="A39" s="426"/>
      <c r="B39" s="428" t="s">
        <v>47</v>
      </c>
      <c r="L39" s="426"/>
    </row>
    <row r="40" spans="1:12" ht="14.25">
      <c r="A40" s="426"/>
      <c r="L40" s="426"/>
    </row>
    <row r="41" spans="1:12" ht="14.25">
      <c r="A41" s="426"/>
      <c r="C41" s="657">
        <v>3120000</v>
      </c>
      <c r="D41" s="657"/>
      <c r="E41" s="428" t="s">
        <v>40</v>
      </c>
      <c r="F41" s="432">
        <v>1000</v>
      </c>
      <c r="G41" s="432" t="s">
        <v>39</v>
      </c>
      <c r="H41" s="445">
        <f>C41/F41</f>
        <v>3120</v>
      </c>
      <c r="L41" s="426"/>
    </row>
    <row r="42" spans="1:12" ht="14.25">
      <c r="A42" s="426"/>
      <c r="L42" s="426"/>
    </row>
    <row r="43" spans="1:12" ht="14.25">
      <c r="A43" s="426"/>
      <c r="B43" s="428" t="s">
        <v>48</v>
      </c>
      <c r="L43" s="426"/>
    </row>
    <row r="44" spans="1:12" ht="14.25">
      <c r="A44" s="426"/>
      <c r="L44" s="426"/>
    </row>
    <row r="45" spans="1:12" ht="14.25">
      <c r="A45" s="426"/>
      <c r="B45" s="428" t="s">
        <v>49</v>
      </c>
      <c r="L45" s="426"/>
    </row>
    <row r="46" spans="1:12" ht="15" thickBot="1">
      <c r="A46" s="426"/>
      <c r="L46" s="426"/>
    </row>
    <row r="47" spans="1:12" ht="14.25">
      <c r="A47" s="426"/>
      <c r="B47" s="446" t="s">
        <v>33</v>
      </c>
      <c r="C47" s="435"/>
      <c r="D47" s="435"/>
      <c r="E47" s="435"/>
      <c r="F47" s="435"/>
      <c r="G47" s="435"/>
      <c r="H47" s="435"/>
      <c r="I47" s="435"/>
      <c r="J47" s="435"/>
      <c r="K47" s="436"/>
      <c r="L47" s="426"/>
    </row>
    <row r="48" spans="1:12" ht="14.25">
      <c r="A48" s="426"/>
      <c r="B48" s="649">
        <v>133685008</v>
      </c>
      <c r="C48" s="649"/>
      <c r="D48" s="438" t="s">
        <v>50</v>
      </c>
      <c r="E48" s="438" t="s">
        <v>40</v>
      </c>
      <c r="F48" s="439">
        <v>1000</v>
      </c>
      <c r="G48" s="439" t="s">
        <v>39</v>
      </c>
      <c r="H48" s="440">
        <f>B48/F48</f>
        <v>133685.008</v>
      </c>
      <c r="I48" s="438" t="s">
        <v>51</v>
      </c>
      <c r="J48" s="438"/>
      <c r="K48" s="441"/>
      <c r="L48" s="426"/>
    </row>
    <row r="49" spans="1:12" ht="14.25">
      <c r="A49" s="426"/>
      <c r="B49" s="447"/>
      <c r="C49" s="438"/>
      <c r="D49" s="438"/>
      <c r="E49" s="438"/>
      <c r="F49" s="438"/>
      <c r="G49" s="438"/>
      <c r="H49" s="438"/>
      <c r="I49" s="438"/>
      <c r="J49" s="438"/>
      <c r="K49" s="441"/>
      <c r="L49" s="426"/>
    </row>
    <row r="50" spans="1:12" ht="14.25">
      <c r="A50" s="426"/>
      <c r="B50" s="448">
        <v>7067793</v>
      </c>
      <c r="C50" s="438" t="s">
        <v>52</v>
      </c>
      <c r="D50" s="438"/>
      <c r="E50" s="438" t="s">
        <v>40</v>
      </c>
      <c r="F50" s="440">
        <f>H48</f>
        <v>133685.008</v>
      </c>
      <c r="G50" s="660" t="s">
        <v>53</v>
      </c>
      <c r="H50" s="661"/>
      <c r="I50" s="439" t="s">
        <v>39</v>
      </c>
      <c r="J50" s="449">
        <f>B50/F50</f>
        <v>52.8690023342034</v>
      </c>
      <c r="K50" s="441"/>
      <c r="L50" s="426"/>
    </row>
    <row r="51" spans="1:15" ht="15" thickBot="1">
      <c r="A51" s="426"/>
      <c r="B51" s="442"/>
      <c r="C51" s="443"/>
      <c r="D51" s="443"/>
      <c r="E51" s="443"/>
      <c r="F51" s="443"/>
      <c r="G51" s="443"/>
      <c r="H51" s="443"/>
      <c r="I51" s="662" t="s">
        <v>54</v>
      </c>
      <c r="J51" s="662"/>
      <c r="K51" s="663"/>
      <c r="L51" s="426"/>
      <c r="O51" s="450"/>
    </row>
    <row r="52" spans="1:12" ht="40.5" customHeight="1">
      <c r="A52" s="426"/>
      <c r="B52" s="659" t="s">
        <v>29</v>
      </c>
      <c r="C52" s="659"/>
      <c r="D52" s="659"/>
      <c r="E52" s="659"/>
      <c r="F52" s="659"/>
      <c r="G52" s="659"/>
      <c r="H52" s="659"/>
      <c r="I52" s="659"/>
      <c r="J52" s="659"/>
      <c r="K52" s="659"/>
      <c r="L52" s="426"/>
    </row>
    <row r="53" spans="1:12" ht="14.25">
      <c r="A53" s="426"/>
      <c r="B53" s="655" t="s">
        <v>55</v>
      </c>
      <c r="C53" s="655"/>
      <c r="D53" s="655"/>
      <c r="E53" s="655"/>
      <c r="F53" s="655"/>
      <c r="G53" s="655"/>
      <c r="H53" s="655"/>
      <c r="I53" s="655"/>
      <c r="J53" s="655"/>
      <c r="K53" s="655"/>
      <c r="L53" s="426"/>
    </row>
    <row r="54" spans="1:12" ht="14.25">
      <c r="A54" s="426"/>
      <c r="B54" s="430"/>
      <c r="C54" s="430"/>
      <c r="D54" s="430"/>
      <c r="E54" s="430"/>
      <c r="F54" s="430"/>
      <c r="G54" s="430"/>
      <c r="H54" s="430"/>
      <c r="I54" s="430"/>
      <c r="J54" s="430"/>
      <c r="K54" s="430"/>
      <c r="L54" s="426"/>
    </row>
    <row r="55" spans="1:12" ht="14.25">
      <c r="A55" s="426"/>
      <c r="B55" s="651" t="s">
        <v>56</v>
      </c>
      <c r="C55" s="651"/>
      <c r="D55" s="651"/>
      <c r="E55" s="651"/>
      <c r="F55" s="651"/>
      <c r="G55" s="651"/>
      <c r="H55" s="651"/>
      <c r="I55" s="651"/>
      <c r="J55" s="651"/>
      <c r="K55" s="651"/>
      <c r="L55" s="426"/>
    </row>
    <row r="56" spans="1:12" ht="15" customHeight="1">
      <c r="A56" s="426"/>
      <c r="L56" s="426"/>
    </row>
    <row r="57" spans="1:24" ht="74.25" customHeight="1">
      <c r="A57" s="426"/>
      <c r="B57" s="650" t="s">
        <v>57</v>
      </c>
      <c r="C57" s="656"/>
      <c r="D57" s="656"/>
      <c r="E57" s="656"/>
      <c r="F57" s="656"/>
      <c r="G57" s="656"/>
      <c r="H57" s="656"/>
      <c r="I57" s="656"/>
      <c r="J57" s="656"/>
      <c r="K57" s="656"/>
      <c r="L57" s="426"/>
      <c r="M57" s="451"/>
      <c r="N57" s="452"/>
      <c r="O57" s="452"/>
      <c r="P57" s="452"/>
      <c r="Q57" s="452"/>
      <c r="R57" s="452"/>
      <c r="S57" s="452"/>
      <c r="T57" s="452"/>
      <c r="U57" s="452"/>
      <c r="V57" s="452"/>
      <c r="W57" s="452"/>
      <c r="X57" s="452"/>
    </row>
    <row r="58" spans="1:24" ht="15" customHeight="1">
      <c r="A58" s="426"/>
      <c r="B58" s="650"/>
      <c r="C58" s="656"/>
      <c r="D58" s="656"/>
      <c r="E58" s="656"/>
      <c r="F58" s="656"/>
      <c r="G58" s="656"/>
      <c r="H58" s="656"/>
      <c r="I58" s="656"/>
      <c r="J58" s="656"/>
      <c r="K58" s="656"/>
      <c r="L58" s="426"/>
      <c r="M58" s="451"/>
      <c r="N58" s="452"/>
      <c r="O58" s="452"/>
      <c r="P58" s="452"/>
      <c r="Q58" s="452"/>
      <c r="R58" s="452"/>
      <c r="S58" s="452"/>
      <c r="T58" s="452"/>
      <c r="U58" s="452"/>
      <c r="V58" s="452"/>
      <c r="W58" s="452"/>
      <c r="X58" s="452"/>
    </row>
    <row r="59" spans="1:24" ht="14.25">
      <c r="A59" s="426"/>
      <c r="B59" s="431" t="s">
        <v>46</v>
      </c>
      <c r="L59" s="426"/>
      <c r="M59" s="452"/>
      <c r="N59" s="452"/>
      <c r="O59" s="452"/>
      <c r="P59" s="452"/>
      <c r="Q59" s="452"/>
      <c r="R59" s="452"/>
      <c r="S59" s="452"/>
      <c r="T59" s="452"/>
      <c r="U59" s="452"/>
      <c r="V59" s="452"/>
      <c r="W59" s="452"/>
      <c r="X59" s="452"/>
    </row>
    <row r="60" spans="1:24" ht="14.25">
      <c r="A60" s="426"/>
      <c r="L60" s="426"/>
      <c r="M60" s="452"/>
      <c r="N60" s="452"/>
      <c r="O60" s="452"/>
      <c r="P60" s="452"/>
      <c r="Q60" s="452"/>
      <c r="R60" s="452"/>
      <c r="S60" s="452"/>
      <c r="T60" s="452"/>
      <c r="U60" s="452"/>
      <c r="V60" s="452"/>
      <c r="W60" s="452"/>
      <c r="X60" s="452"/>
    </row>
    <row r="61" spans="1:24" ht="14.25">
      <c r="A61" s="426"/>
      <c r="B61" s="428" t="s">
        <v>58</v>
      </c>
      <c r="L61" s="426"/>
      <c r="M61" s="452"/>
      <c r="N61" s="452"/>
      <c r="O61" s="452"/>
      <c r="P61" s="452"/>
      <c r="Q61" s="452"/>
      <c r="R61" s="452"/>
      <c r="S61" s="452"/>
      <c r="T61" s="452"/>
      <c r="U61" s="452"/>
      <c r="V61" s="452"/>
      <c r="W61" s="452"/>
      <c r="X61" s="452"/>
    </row>
    <row r="62" spans="1:24" ht="14.25">
      <c r="A62" s="426"/>
      <c r="B62" s="428" t="s">
        <v>59</v>
      </c>
      <c r="L62" s="426"/>
      <c r="M62" s="452"/>
      <c r="N62" s="452"/>
      <c r="O62" s="452"/>
      <c r="P62" s="452"/>
      <c r="Q62" s="452"/>
      <c r="R62" s="452"/>
      <c r="S62" s="452"/>
      <c r="T62" s="452"/>
      <c r="U62" s="452"/>
      <c r="V62" s="452"/>
      <c r="W62" s="452"/>
      <c r="X62" s="452"/>
    </row>
    <row r="63" spans="1:24" ht="14.25">
      <c r="A63" s="426"/>
      <c r="B63" s="428" t="s">
        <v>60</v>
      </c>
      <c r="L63" s="426"/>
      <c r="M63" s="452"/>
      <c r="N63" s="452"/>
      <c r="O63" s="452"/>
      <c r="P63" s="452"/>
      <c r="Q63" s="452"/>
      <c r="R63" s="452"/>
      <c r="S63" s="452"/>
      <c r="T63" s="452"/>
      <c r="U63" s="452"/>
      <c r="V63" s="452"/>
      <c r="W63" s="452"/>
      <c r="X63" s="452"/>
    </row>
    <row r="64" spans="1:24" ht="14.25">
      <c r="A64" s="426"/>
      <c r="L64" s="426"/>
      <c r="M64" s="452"/>
      <c r="N64" s="452"/>
      <c r="O64" s="452"/>
      <c r="P64" s="452"/>
      <c r="Q64" s="452"/>
      <c r="R64" s="452"/>
      <c r="S64" s="452"/>
      <c r="T64" s="452"/>
      <c r="U64" s="452"/>
      <c r="V64" s="452"/>
      <c r="W64" s="452"/>
      <c r="X64" s="452"/>
    </row>
    <row r="65" spans="1:24" ht="14.25">
      <c r="A65" s="426"/>
      <c r="B65" s="428" t="s">
        <v>61</v>
      </c>
      <c r="L65" s="426"/>
      <c r="M65" s="452"/>
      <c r="N65" s="452"/>
      <c r="O65" s="452"/>
      <c r="P65" s="452"/>
      <c r="Q65" s="452"/>
      <c r="R65" s="452"/>
      <c r="S65" s="452"/>
      <c r="T65" s="452"/>
      <c r="U65" s="452"/>
      <c r="V65" s="452"/>
      <c r="W65" s="452"/>
      <c r="X65" s="452"/>
    </row>
    <row r="66" spans="1:24" ht="14.25">
      <c r="A66" s="426"/>
      <c r="B66" s="428" t="s">
        <v>62</v>
      </c>
      <c r="L66" s="426"/>
      <c r="M66" s="452"/>
      <c r="N66" s="452"/>
      <c r="O66" s="452"/>
      <c r="P66" s="452"/>
      <c r="Q66" s="452"/>
      <c r="R66" s="452"/>
      <c r="S66" s="452"/>
      <c r="T66" s="452"/>
      <c r="U66" s="452"/>
      <c r="V66" s="452"/>
      <c r="W66" s="452"/>
      <c r="X66" s="452"/>
    </row>
    <row r="67" spans="1:24" ht="14.25">
      <c r="A67" s="426"/>
      <c r="L67" s="426"/>
      <c r="M67" s="452"/>
      <c r="N67" s="452"/>
      <c r="O67" s="452"/>
      <c r="P67" s="452"/>
      <c r="Q67" s="452"/>
      <c r="R67" s="452"/>
      <c r="S67" s="452"/>
      <c r="T67" s="452"/>
      <c r="U67" s="452"/>
      <c r="V67" s="452"/>
      <c r="W67" s="452"/>
      <c r="X67" s="452"/>
    </row>
    <row r="68" spans="1:24" ht="14.25">
      <c r="A68" s="426"/>
      <c r="B68" s="428" t="s">
        <v>63</v>
      </c>
      <c r="L68" s="426"/>
      <c r="M68" s="453"/>
      <c r="N68" s="454"/>
      <c r="O68" s="454"/>
      <c r="P68" s="454"/>
      <c r="Q68" s="454"/>
      <c r="R68" s="454"/>
      <c r="S68" s="454"/>
      <c r="T68" s="454"/>
      <c r="U68" s="454"/>
      <c r="V68" s="454"/>
      <c r="W68" s="454"/>
      <c r="X68" s="452"/>
    </row>
    <row r="69" spans="1:24" ht="14.25">
      <c r="A69" s="426"/>
      <c r="B69" s="428" t="s">
        <v>64</v>
      </c>
      <c r="L69" s="426"/>
      <c r="M69" s="452"/>
      <c r="N69" s="452"/>
      <c r="O69" s="452"/>
      <c r="P69" s="452"/>
      <c r="Q69" s="452"/>
      <c r="R69" s="452"/>
      <c r="S69" s="452"/>
      <c r="T69" s="452"/>
      <c r="U69" s="452"/>
      <c r="V69" s="452"/>
      <c r="W69" s="452"/>
      <c r="X69" s="452"/>
    </row>
    <row r="70" spans="1:24" ht="14.25">
      <c r="A70" s="426"/>
      <c r="B70" s="428" t="s">
        <v>65</v>
      </c>
      <c r="L70" s="426"/>
      <c r="M70" s="452"/>
      <c r="N70" s="452"/>
      <c r="O70" s="452"/>
      <c r="P70" s="452"/>
      <c r="Q70" s="452"/>
      <c r="R70" s="452"/>
      <c r="S70" s="452"/>
      <c r="T70" s="452"/>
      <c r="U70" s="452"/>
      <c r="V70" s="452"/>
      <c r="W70" s="452"/>
      <c r="X70" s="452"/>
    </row>
    <row r="71" spans="1:12" ht="15" thickBot="1">
      <c r="A71" s="426"/>
      <c r="B71" s="438"/>
      <c r="C71" s="438"/>
      <c r="D71" s="438"/>
      <c r="E71" s="438"/>
      <c r="F71" s="438"/>
      <c r="G71" s="438"/>
      <c r="H71" s="438"/>
      <c r="I71" s="438"/>
      <c r="J71" s="438"/>
      <c r="K71" s="438"/>
      <c r="L71" s="426"/>
    </row>
    <row r="72" spans="1:12" ht="14.25">
      <c r="A72" s="426"/>
      <c r="B72" s="434" t="s">
        <v>33</v>
      </c>
      <c r="C72" s="435"/>
      <c r="D72" s="435"/>
      <c r="E72" s="435"/>
      <c r="F72" s="435"/>
      <c r="G72" s="435"/>
      <c r="H72" s="435"/>
      <c r="I72" s="435"/>
      <c r="J72" s="435"/>
      <c r="K72" s="436"/>
      <c r="L72" s="455"/>
    </row>
    <row r="73" spans="1:12" ht="14.25">
      <c r="A73" s="426"/>
      <c r="B73" s="447"/>
      <c r="C73" s="438" t="s">
        <v>41</v>
      </c>
      <c r="D73" s="438"/>
      <c r="E73" s="438"/>
      <c r="F73" s="438"/>
      <c r="G73" s="438"/>
      <c r="H73" s="438"/>
      <c r="I73" s="438"/>
      <c r="J73" s="438"/>
      <c r="K73" s="441"/>
      <c r="L73" s="455"/>
    </row>
    <row r="74" spans="1:12" ht="14.25">
      <c r="A74" s="426"/>
      <c r="B74" s="447" t="s">
        <v>66</v>
      </c>
      <c r="C74" s="649">
        <v>133685008</v>
      </c>
      <c r="D74" s="649"/>
      <c r="E74" s="439" t="s">
        <v>40</v>
      </c>
      <c r="F74" s="439">
        <v>1000</v>
      </c>
      <c r="G74" s="439" t="s">
        <v>39</v>
      </c>
      <c r="H74" s="456">
        <f>C74/F74</f>
        <v>133685.008</v>
      </c>
      <c r="I74" s="438" t="s">
        <v>67</v>
      </c>
      <c r="J74" s="438"/>
      <c r="K74" s="441"/>
      <c r="L74" s="455"/>
    </row>
    <row r="75" spans="1:12" ht="14.25">
      <c r="A75" s="426"/>
      <c r="B75" s="447"/>
      <c r="C75" s="438"/>
      <c r="D75" s="438"/>
      <c r="E75" s="439"/>
      <c r="F75" s="438"/>
      <c r="G75" s="438"/>
      <c r="H75" s="438"/>
      <c r="I75" s="438"/>
      <c r="J75" s="438"/>
      <c r="K75" s="441"/>
      <c r="L75" s="455"/>
    </row>
    <row r="76" spans="1:12" ht="14.25">
      <c r="A76" s="426"/>
      <c r="B76" s="447"/>
      <c r="C76" s="438" t="s">
        <v>68</v>
      </c>
      <c r="D76" s="438"/>
      <c r="E76" s="439"/>
      <c r="F76" s="438" t="s">
        <v>67</v>
      </c>
      <c r="G76" s="438"/>
      <c r="H76" s="438"/>
      <c r="I76" s="438"/>
      <c r="J76" s="438"/>
      <c r="K76" s="441"/>
      <c r="L76" s="455"/>
    </row>
    <row r="77" spans="1:12" ht="14.25">
      <c r="A77" s="426"/>
      <c r="B77" s="447" t="s">
        <v>69</v>
      </c>
      <c r="C77" s="649">
        <v>5000</v>
      </c>
      <c r="D77" s="649"/>
      <c r="E77" s="439" t="s">
        <v>40</v>
      </c>
      <c r="F77" s="456">
        <f>H74</f>
        <v>133685.008</v>
      </c>
      <c r="G77" s="439" t="s">
        <v>39</v>
      </c>
      <c r="H77" s="449">
        <f>C77/F77</f>
        <v>0.03740135169083432</v>
      </c>
      <c r="I77" s="438" t="s">
        <v>70</v>
      </c>
      <c r="J77" s="438"/>
      <c r="K77" s="441"/>
      <c r="L77" s="455"/>
    </row>
    <row r="78" spans="1:12" ht="14.25">
      <c r="A78" s="426"/>
      <c r="B78" s="447"/>
      <c r="C78" s="438"/>
      <c r="D78" s="438"/>
      <c r="E78" s="439"/>
      <c r="F78" s="438"/>
      <c r="G78" s="438"/>
      <c r="H78" s="438"/>
      <c r="I78" s="438"/>
      <c r="J78" s="438"/>
      <c r="K78" s="441"/>
      <c r="L78" s="455"/>
    </row>
    <row r="79" spans="1:12" ht="14.25">
      <c r="A79" s="426"/>
      <c r="B79" s="457"/>
      <c r="C79" s="458" t="s">
        <v>71</v>
      </c>
      <c r="D79" s="458"/>
      <c r="E79" s="459"/>
      <c r="F79" s="458"/>
      <c r="G79" s="458"/>
      <c r="H79" s="458"/>
      <c r="I79" s="458"/>
      <c r="J79" s="458"/>
      <c r="K79" s="460"/>
      <c r="L79" s="455"/>
    </row>
    <row r="80" spans="1:12" ht="14.25">
      <c r="A80" s="426"/>
      <c r="B80" s="447" t="s">
        <v>72</v>
      </c>
      <c r="C80" s="649">
        <v>100000</v>
      </c>
      <c r="D80" s="649"/>
      <c r="E80" s="439" t="s">
        <v>231</v>
      </c>
      <c r="F80" s="439">
        <v>0.115</v>
      </c>
      <c r="G80" s="439" t="s">
        <v>39</v>
      </c>
      <c r="H80" s="456">
        <f>C80*F80</f>
        <v>11500</v>
      </c>
      <c r="I80" s="438" t="s">
        <v>73</v>
      </c>
      <c r="J80" s="438"/>
      <c r="K80" s="441"/>
      <c r="L80" s="455"/>
    </row>
    <row r="81" spans="1:12" ht="14.25">
      <c r="A81" s="426"/>
      <c r="B81" s="447"/>
      <c r="C81" s="438"/>
      <c r="D81" s="438"/>
      <c r="E81" s="439"/>
      <c r="F81" s="438"/>
      <c r="G81" s="438"/>
      <c r="H81" s="438"/>
      <c r="I81" s="438"/>
      <c r="J81" s="438"/>
      <c r="K81" s="441"/>
      <c r="L81" s="455"/>
    </row>
    <row r="82" spans="1:12" ht="14.25">
      <c r="A82" s="426"/>
      <c r="B82" s="457"/>
      <c r="C82" s="458" t="s">
        <v>74</v>
      </c>
      <c r="D82" s="458"/>
      <c r="E82" s="459"/>
      <c r="F82" s="458" t="s">
        <v>70</v>
      </c>
      <c r="G82" s="458"/>
      <c r="H82" s="458"/>
      <c r="I82" s="458"/>
      <c r="J82" s="458" t="s">
        <v>75</v>
      </c>
      <c r="K82" s="460"/>
      <c r="L82" s="455"/>
    </row>
    <row r="83" spans="1:12" ht="14.25">
      <c r="A83" s="426"/>
      <c r="B83" s="447" t="s">
        <v>76</v>
      </c>
      <c r="C83" s="664">
        <f>H80</f>
        <v>11500</v>
      </c>
      <c r="D83" s="664"/>
      <c r="E83" s="439" t="s">
        <v>231</v>
      </c>
      <c r="F83" s="449">
        <f>H77</f>
        <v>0.03740135169083432</v>
      </c>
      <c r="G83" s="439" t="s">
        <v>40</v>
      </c>
      <c r="H83" s="439">
        <v>1000</v>
      </c>
      <c r="I83" s="439" t="s">
        <v>39</v>
      </c>
      <c r="J83" s="461">
        <f>C83*F83/H83</f>
        <v>0.43011554444459466</v>
      </c>
      <c r="K83" s="441"/>
      <c r="L83" s="455"/>
    </row>
    <row r="84" spans="1:12" ht="15" thickBot="1">
      <c r="A84" s="426"/>
      <c r="B84" s="442"/>
      <c r="C84" s="462"/>
      <c r="D84" s="462"/>
      <c r="E84" s="463"/>
      <c r="F84" s="464"/>
      <c r="G84" s="463"/>
      <c r="H84" s="463"/>
      <c r="I84" s="463"/>
      <c r="J84" s="465"/>
      <c r="K84" s="444"/>
      <c r="L84" s="455"/>
    </row>
    <row r="85" spans="1:12" ht="40.5" customHeight="1">
      <c r="A85" s="426"/>
      <c r="B85" s="659" t="s">
        <v>29</v>
      </c>
      <c r="C85" s="659"/>
      <c r="D85" s="659"/>
      <c r="E85" s="659"/>
      <c r="F85" s="659"/>
      <c r="G85" s="659"/>
      <c r="H85" s="659"/>
      <c r="I85" s="659"/>
      <c r="J85" s="659"/>
      <c r="K85" s="659"/>
      <c r="L85" s="426"/>
    </row>
    <row r="86" spans="1:12" ht="14.25">
      <c r="A86" s="426"/>
      <c r="B86" s="651" t="s">
        <v>77</v>
      </c>
      <c r="C86" s="651"/>
      <c r="D86" s="651"/>
      <c r="E86" s="651"/>
      <c r="F86" s="651"/>
      <c r="G86" s="651"/>
      <c r="H86" s="651"/>
      <c r="I86" s="651"/>
      <c r="J86" s="651"/>
      <c r="K86" s="651"/>
      <c r="L86" s="426"/>
    </row>
    <row r="87" spans="1:12" ht="14.25">
      <c r="A87" s="426"/>
      <c r="B87" s="466"/>
      <c r="C87" s="466"/>
      <c r="D87" s="466"/>
      <c r="E87" s="466"/>
      <c r="F87" s="466"/>
      <c r="G87" s="466"/>
      <c r="H87" s="466"/>
      <c r="I87" s="466"/>
      <c r="J87" s="466"/>
      <c r="K87" s="466"/>
      <c r="L87" s="426"/>
    </row>
    <row r="88" spans="1:12" ht="14.25">
      <c r="A88" s="426"/>
      <c r="B88" s="651" t="s">
        <v>78</v>
      </c>
      <c r="C88" s="651"/>
      <c r="D88" s="651"/>
      <c r="E88" s="651"/>
      <c r="F88" s="651"/>
      <c r="G88" s="651"/>
      <c r="H88" s="651"/>
      <c r="I88" s="651"/>
      <c r="J88" s="651"/>
      <c r="K88" s="651"/>
      <c r="L88" s="426"/>
    </row>
    <row r="89" spans="1:12" ht="14.25">
      <c r="A89" s="426"/>
      <c r="B89" s="467"/>
      <c r="C89" s="467"/>
      <c r="D89" s="467"/>
      <c r="E89" s="467"/>
      <c r="F89" s="467"/>
      <c r="G89" s="467"/>
      <c r="H89" s="467"/>
      <c r="I89" s="467"/>
      <c r="J89" s="467"/>
      <c r="K89" s="467"/>
      <c r="L89" s="426"/>
    </row>
    <row r="90" spans="1:12" ht="45" customHeight="1">
      <c r="A90" s="426"/>
      <c r="B90" s="650" t="s">
        <v>79</v>
      </c>
      <c r="C90" s="650"/>
      <c r="D90" s="650"/>
      <c r="E90" s="650"/>
      <c r="F90" s="650"/>
      <c r="G90" s="650"/>
      <c r="H90" s="650"/>
      <c r="I90" s="650"/>
      <c r="J90" s="650"/>
      <c r="K90" s="650"/>
      <c r="L90" s="426"/>
    </row>
    <row r="91" spans="1:12" ht="15" customHeight="1" thickBot="1">
      <c r="A91" s="426"/>
      <c r="L91" s="426"/>
    </row>
    <row r="92" spans="1:12" ht="15" customHeight="1">
      <c r="A92" s="426"/>
      <c r="B92" s="468" t="s">
        <v>33</v>
      </c>
      <c r="C92" s="469"/>
      <c r="D92" s="469"/>
      <c r="E92" s="469"/>
      <c r="F92" s="469"/>
      <c r="G92" s="469"/>
      <c r="H92" s="469"/>
      <c r="I92" s="469"/>
      <c r="J92" s="469"/>
      <c r="K92" s="470"/>
      <c r="L92" s="426"/>
    </row>
    <row r="93" spans="1:12" ht="15" customHeight="1">
      <c r="A93" s="426"/>
      <c r="B93" s="471"/>
      <c r="C93" s="472" t="s">
        <v>41</v>
      </c>
      <c r="D93" s="472"/>
      <c r="E93" s="472"/>
      <c r="F93" s="472"/>
      <c r="G93" s="472"/>
      <c r="H93" s="472"/>
      <c r="I93" s="472"/>
      <c r="J93" s="472"/>
      <c r="K93" s="473"/>
      <c r="L93" s="426"/>
    </row>
    <row r="94" spans="1:12" ht="15" customHeight="1">
      <c r="A94" s="426"/>
      <c r="B94" s="471" t="s">
        <v>66</v>
      </c>
      <c r="C94" s="649">
        <v>133685008</v>
      </c>
      <c r="D94" s="649"/>
      <c r="E94" s="439" t="s">
        <v>40</v>
      </c>
      <c r="F94" s="439">
        <v>1000</v>
      </c>
      <c r="G94" s="439" t="s">
        <v>39</v>
      </c>
      <c r="H94" s="456">
        <f>C94/F94</f>
        <v>133685.008</v>
      </c>
      <c r="I94" s="472" t="s">
        <v>67</v>
      </c>
      <c r="J94" s="472"/>
      <c r="K94" s="473"/>
      <c r="L94" s="426"/>
    </row>
    <row r="95" spans="1:12" ht="15" customHeight="1">
      <c r="A95" s="426"/>
      <c r="B95" s="471"/>
      <c r="C95" s="472"/>
      <c r="D95" s="472"/>
      <c r="E95" s="439"/>
      <c r="F95" s="472"/>
      <c r="G95" s="472"/>
      <c r="H95" s="472"/>
      <c r="I95" s="472"/>
      <c r="J95" s="472"/>
      <c r="K95" s="473"/>
      <c r="L95" s="426"/>
    </row>
    <row r="96" spans="1:12" ht="15" customHeight="1">
      <c r="A96" s="426"/>
      <c r="B96" s="471"/>
      <c r="C96" s="472" t="s">
        <v>68</v>
      </c>
      <c r="D96" s="472"/>
      <c r="E96" s="439"/>
      <c r="F96" s="472" t="s">
        <v>67</v>
      </c>
      <c r="G96" s="472"/>
      <c r="H96" s="472"/>
      <c r="I96" s="472"/>
      <c r="J96" s="472"/>
      <c r="K96" s="473"/>
      <c r="L96" s="426"/>
    </row>
    <row r="97" spans="1:12" ht="15" customHeight="1">
      <c r="A97" s="426"/>
      <c r="B97" s="471" t="s">
        <v>69</v>
      </c>
      <c r="C97" s="649">
        <v>50000</v>
      </c>
      <c r="D97" s="649"/>
      <c r="E97" s="439" t="s">
        <v>40</v>
      </c>
      <c r="F97" s="456">
        <f>H94</f>
        <v>133685.008</v>
      </c>
      <c r="G97" s="439" t="s">
        <v>39</v>
      </c>
      <c r="H97" s="449">
        <f>C97/F97</f>
        <v>0.3740135169083432</v>
      </c>
      <c r="I97" s="472" t="s">
        <v>70</v>
      </c>
      <c r="J97" s="472"/>
      <c r="K97" s="473"/>
      <c r="L97" s="426"/>
    </row>
    <row r="98" spans="1:12" ht="15" customHeight="1">
      <c r="A98" s="426"/>
      <c r="B98" s="471"/>
      <c r="C98" s="472"/>
      <c r="D98" s="472"/>
      <c r="E98" s="439"/>
      <c r="F98" s="472"/>
      <c r="G98" s="472"/>
      <c r="H98" s="472"/>
      <c r="I98" s="472"/>
      <c r="J98" s="472"/>
      <c r="K98" s="473"/>
      <c r="L98" s="426"/>
    </row>
    <row r="99" spans="1:12" ht="15" customHeight="1">
      <c r="A99" s="426"/>
      <c r="B99" s="474"/>
      <c r="C99" s="475" t="s">
        <v>80</v>
      </c>
      <c r="D99" s="475"/>
      <c r="E99" s="459"/>
      <c r="F99" s="475"/>
      <c r="G99" s="475"/>
      <c r="H99" s="475"/>
      <c r="I99" s="475"/>
      <c r="J99" s="475"/>
      <c r="K99" s="476"/>
      <c r="L99" s="426"/>
    </row>
    <row r="100" spans="1:12" ht="15" customHeight="1">
      <c r="A100" s="426"/>
      <c r="B100" s="471" t="s">
        <v>72</v>
      </c>
      <c r="C100" s="649">
        <v>2500000</v>
      </c>
      <c r="D100" s="649"/>
      <c r="E100" s="439" t="s">
        <v>231</v>
      </c>
      <c r="F100" s="477">
        <v>0.3</v>
      </c>
      <c r="G100" s="439" t="s">
        <v>39</v>
      </c>
      <c r="H100" s="456">
        <f>C100*F100</f>
        <v>750000</v>
      </c>
      <c r="I100" s="472" t="s">
        <v>73</v>
      </c>
      <c r="J100" s="472"/>
      <c r="K100" s="473"/>
      <c r="L100" s="426"/>
    </row>
    <row r="101" spans="1:12" ht="15" customHeight="1">
      <c r="A101" s="426"/>
      <c r="B101" s="471"/>
      <c r="C101" s="472"/>
      <c r="D101" s="472"/>
      <c r="E101" s="439"/>
      <c r="F101" s="472"/>
      <c r="G101" s="472"/>
      <c r="H101" s="472"/>
      <c r="I101" s="472"/>
      <c r="J101" s="472"/>
      <c r="K101" s="473"/>
      <c r="L101" s="426"/>
    </row>
    <row r="102" spans="1:12" ht="15" customHeight="1">
      <c r="A102" s="426"/>
      <c r="B102" s="474"/>
      <c r="C102" s="475" t="s">
        <v>74</v>
      </c>
      <c r="D102" s="475"/>
      <c r="E102" s="459"/>
      <c r="F102" s="475" t="s">
        <v>70</v>
      </c>
      <c r="G102" s="475"/>
      <c r="H102" s="475"/>
      <c r="I102" s="475"/>
      <c r="J102" s="475" t="s">
        <v>75</v>
      </c>
      <c r="K102" s="476"/>
      <c r="L102" s="426"/>
    </row>
    <row r="103" spans="1:12" ht="15" customHeight="1">
      <c r="A103" s="426"/>
      <c r="B103" s="471" t="s">
        <v>76</v>
      </c>
      <c r="C103" s="664">
        <f>H100</f>
        <v>750000</v>
      </c>
      <c r="D103" s="664"/>
      <c r="E103" s="439" t="s">
        <v>231</v>
      </c>
      <c r="F103" s="449">
        <f>H97</f>
        <v>0.3740135169083432</v>
      </c>
      <c r="G103" s="439" t="s">
        <v>40</v>
      </c>
      <c r="H103" s="439">
        <v>1000</v>
      </c>
      <c r="I103" s="439" t="s">
        <v>39</v>
      </c>
      <c r="J103" s="461">
        <f>C103*F103/H103</f>
        <v>280.51013768125745</v>
      </c>
      <c r="K103" s="473"/>
      <c r="L103" s="426"/>
    </row>
    <row r="104" spans="1:12" ht="15" customHeight="1" thickBot="1">
      <c r="A104" s="426"/>
      <c r="B104" s="478"/>
      <c r="C104" s="462"/>
      <c r="D104" s="462"/>
      <c r="E104" s="463"/>
      <c r="F104" s="464"/>
      <c r="G104" s="463"/>
      <c r="H104" s="463"/>
      <c r="I104" s="463"/>
      <c r="J104" s="465"/>
      <c r="K104" s="479"/>
      <c r="L104" s="426"/>
    </row>
    <row r="105" spans="1:12" ht="40.5" customHeight="1">
      <c r="A105" s="426"/>
      <c r="B105" s="659" t="s">
        <v>29</v>
      </c>
      <c r="C105" s="668"/>
      <c r="D105" s="668"/>
      <c r="E105" s="668"/>
      <c r="F105" s="668"/>
      <c r="G105" s="668"/>
      <c r="H105" s="668"/>
      <c r="I105" s="668"/>
      <c r="J105" s="668"/>
      <c r="K105" s="668"/>
      <c r="L105" s="426"/>
    </row>
    <row r="106" spans="1:12" ht="15" customHeight="1">
      <c r="A106" s="426"/>
      <c r="B106" s="665" t="s">
        <v>81</v>
      </c>
      <c r="C106" s="652"/>
      <c r="D106" s="652"/>
      <c r="E106" s="652"/>
      <c r="F106" s="652"/>
      <c r="G106" s="652"/>
      <c r="H106" s="652"/>
      <c r="I106" s="652"/>
      <c r="J106" s="652"/>
      <c r="K106" s="652"/>
      <c r="L106" s="426"/>
    </row>
    <row r="107" spans="1:12" ht="15" customHeight="1">
      <c r="A107" s="426"/>
      <c r="B107" s="472"/>
      <c r="C107" s="480"/>
      <c r="D107" s="480"/>
      <c r="E107" s="439"/>
      <c r="F107" s="449"/>
      <c r="G107" s="439"/>
      <c r="H107" s="439"/>
      <c r="I107" s="439"/>
      <c r="J107" s="461"/>
      <c r="K107" s="472"/>
      <c r="L107" s="426"/>
    </row>
    <row r="108" spans="1:12" ht="15" customHeight="1">
      <c r="A108" s="426"/>
      <c r="B108" s="665" t="s">
        <v>82</v>
      </c>
      <c r="C108" s="666"/>
      <c r="D108" s="666"/>
      <c r="E108" s="666"/>
      <c r="F108" s="666"/>
      <c r="G108" s="666"/>
      <c r="H108" s="666"/>
      <c r="I108" s="666"/>
      <c r="J108" s="666"/>
      <c r="K108" s="666"/>
      <c r="L108" s="426"/>
    </row>
    <row r="109" spans="1:12" ht="15" customHeight="1">
      <c r="A109" s="426"/>
      <c r="B109" s="472"/>
      <c r="C109" s="480"/>
      <c r="D109" s="480"/>
      <c r="E109" s="439"/>
      <c r="F109" s="449"/>
      <c r="G109" s="439"/>
      <c r="H109" s="439"/>
      <c r="I109" s="439"/>
      <c r="J109" s="461"/>
      <c r="K109" s="472"/>
      <c r="L109" s="426"/>
    </row>
    <row r="110" spans="1:12" ht="59.25" customHeight="1">
      <c r="A110" s="426"/>
      <c r="B110" s="667" t="s">
        <v>83</v>
      </c>
      <c r="C110" s="656"/>
      <c r="D110" s="656"/>
      <c r="E110" s="656"/>
      <c r="F110" s="656"/>
      <c r="G110" s="656"/>
      <c r="H110" s="656"/>
      <c r="I110" s="656"/>
      <c r="J110" s="656"/>
      <c r="K110" s="656"/>
      <c r="L110" s="426"/>
    </row>
    <row r="111" spans="1:12" ht="15" thickBot="1">
      <c r="A111" s="426"/>
      <c r="B111" s="430"/>
      <c r="C111" s="430"/>
      <c r="D111" s="430"/>
      <c r="E111" s="430"/>
      <c r="F111" s="430"/>
      <c r="G111" s="430"/>
      <c r="H111" s="430"/>
      <c r="I111" s="430"/>
      <c r="J111" s="430"/>
      <c r="K111" s="430"/>
      <c r="L111" s="481"/>
    </row>
    <row r="112" spans="1:12" ht="14.25">
      <c r="A112" s="426"/>
      <c r="B112" s="434" t="s">
        <v>33</v>
      </c>
      <c r="C112" s="435"/>
      <c r="D112" s="435"/>
      <c r="E112" s="435"/>
      <c r="F112" s="435"/>
      <c r="G112" s="435"/>
      <c r="H112" s="435"/>
      <c r="I112" s="435"/>
      <c r="J112" s="435"/>
      <c r="K112" s="436"/>
      <c r="L112" s="426"/>
    </row>
    <row r="113" spans="1:12" ht="14.25">
      <c r="A113" s="426"/>
      <c r="B113" s="447"/>
      <c r="C113" s="438" t="s">
        <v>41</v>
      </c>
      <c r="D113" s="438"/>
      <c r="E113" s="438"/>
      <c r="F113" s="438"/>
      <c r="G113" s="438"/>
      <c r="H113" s="438"/>
      <c r="I113" s="438"/>
      <c r="J113" s="438"/>
      <c r="K113" s="441"/>
      <c r="L113" s="426"/>
    </row>
    <row r="114" spans="1:12" ht="14.25">
      <c r="A114" s="426"/>
      <c r="B114" s="447" t="s">
        <v>66</v>
      </c>
      <c r="C114" s="649">
        <v>133685008</v>
      </c>
      <c r="D114" s="649"/>
      <c r="E114" s="439" t="s">
        <v>40</v>
      </c>
      <c r="F114" s="439">
        <v>1000</v>
      </c>
      <c r="G114" s="439" t="s">
        <v>39</v>
      </c>
      <c r="H114" s="456">
        <f>C114/F114</f>
        <v>133685.008</v>
      </c>
      <c r="I114" s="438" t="s">
        <v>67</v>
      </c>
      <c r="J114" s="438"/>
      <c r="K114" s="441"/>
      <c r="L114" s="426"/>
    </row>
    <row r="115" spans="1:12" ht="14.25">
      <c r="A115" s="426"/>
      <c r="B115" s="447"/>
      <c r="C115" s="438"/>
      <c r="D115" s="438"/>
      <c r="E115" s="439"/>
      <c r="F115" s="438"/>
      <c r="G115" s="438"/>
      <c r="H115" s="438"/>
      <c r="I115" s="438"/>
      <c r="J115" s="438"/>
      <c r="K115" s="441"/>
      <c r="L115" s="426"/>
    </row>
    <row r="116" spans="1:12" ht="14.25">
      <c r="A116" s="426"/>
      <c r="B116" s="447"/>
      <c r="C116" s="438" t="s">
        <v>68</v>
      </c>
      <c r="D116" s="438"/>
      <c r="E116" s="439"/>
      <c r="F116" s="438" t="s">
        <v>67</v>
      </c>
      <c r="G116" s="438"/>
      <c r="H116" s="438"/>
      <c r="I116" s="438"/>
      <c r="J116" s="438"/>
      <c r="K116" s="441"/>
      <c r="L116" s="426"/>
    </row>
    <row r="117" spans="1:12" ht="14.25">
      <c r="A117" s="426"/>
      <c r="B117" s="447" t="s">
        <v>69</v>
      </c>
      <c r="C117" s="649">
        <v>50000</v>
      </c>
      <c r="D117" s="649"/>
      <c r="E117" s="439" t="s">
        <v>40</v>
      </c>
      <c r="F117" s="456">
        <f>H114</f>
        <v>133685.008</v>
      </c>
      <c r="G117" s="439" t="s">
        <v>39</v>
      </c>
      <c r="H117" s="449">
        <f>C117/F117</f>
        <v>0.3740135169083432</v>
      </c>
      <c r="I117" s="438" t="s">
        <v>70</v>
      </c>
      <c r="J117" s="438"/>
      <c r="K117" s="441"/>
      <c r="L117" s="426"/>
    </row>
    <row r="118" spans="1:12" ht="14.25">
      <c r="A118" s="426"/>
      <c r="B118" s="447"/>
      <c r="C118" s="438"/>
      <c r="D118" s="438"/>
      <c r="E118" s="439"/>
      <c r="F118" s="438"/>
      <c r="G118" s="438"/>
      <c r="H118" s="438"/>
      <c r="I118" s="438"/>
      <c r="J118" s="438"/>
      <c r="K118" s="441"/>
      <c r="L118" s="426"/>
    </row>
    <row r="119" spans="1:12" ht="14.25">
      <c r="A119" s="426"/>
      <c r="B119" s="457"/>
      <c r="C119" s="458" t="s">
        <v>80</v>
      </c>
      <c r="D119" s="458"/>
      <c r="E119" s="459"/>
      <c r="F119" s="458"/>
      <c r="G119" s="458"/>
      <c r="H119" s="458"/>
      <c r="I119" s="458"/>
      <c r="J119" s="458"/>
      <c r="K119" s="460"/>
      <c r="L119" s="426"/>
    </row>
    <row r="120" spans="1:12" ht="14.25">
      <c r="A120" s="426"/>
      <c r="B120" s="447" t="s">
        <v>72</v>
      </c>
      <c r="C120" s="649">
        <v>2500000</v>
      </c>
      <c r="D120" s="649"/>
      <c r="E120" s="439" t="s">
        <v>231</v>
      </c>
      <c r="F120" s="477">
        <v>0.25</v>
      </c>
      <c r="G120" s="439" t="s">
        <v>39</v>
      </c>
      <c r="H120" s="456">
        <f>C120*F120</f>
        <v>625000</v>
      </c>
      <c r="I120" s="438" t="s">
        <v>73</v>
      </c>
      <c r="J120" s="438"/>
      <c r="K120" s="441"/>
      <c r="L120" s="426"/>
    </row>
    <row r="121" spans="1:12" ht="14.25">
      <c r="A121" s="426"/>
      <c r="B121" s="447"/>
      <c r="C121" s="438"/>
      <c r="D121" s="438"/>
      <c r="E121" s="439"/>
      <c r="F121" s="438"/>
      <c r="G121" s="438"/>
      <c r="H121" s="438"/>
      <c r="I121" s="438"/>
      <c r="J121" s="438"/>
      <c r="K121" s="441"/>
      <c r="L121" s="426"/>
    </row>
    <row r="122" spans="1:12" ht="14.25">
      <c r="A122" s="426"/>
      <c r="B122" s="457"/>
      <c r="C122" s="458" t="s">
        <v>74</v>
      </c>
      <c r="D122" s="458"/>
      <c r="E122" s="459"/>
      <c r="F122" s="458" t="s">
        <v>70</v>
      </c>
      <c r="G122" s="458"/>
      <c r="H122" s="458"/>
      <c r="I122" s="458"/>
      <c r="J122" s="458" t="s">
        <v>75</v>
      </c>
      <c r="K122" s="460"/>
      <c r="L122" s="426"/>
    </row>
    <row r="123" spans="1:12" ht="14.25">
      <c r="A123" s="426"/>
      <c r="B123" s="447" t="s">
        <v>76</v>
      </c>
      <c r="C123" s="664">
        <f>H120</f>
        <v>625000</v>
      </c>
      <c r="D123" s="664"/>
      <c r="E123" s="439" t="s">
        <v>231</v>
      </c>
      <c r="F123" s="449">
        <f>H117</f>
        <v>0.3740135169083432</v>
      </c>
      <c r="G123" s="439" t="s">
        <v>40</v>
      </c>
      <c r="H123" s="439">
        <v>1000</v>
      </c>
      <c r="I123" s="439" t="s">
        <v>39</v>
      </c>
      <c r="J123" s="461">
        <f>C123*F123/H123</f>
        <v>233.7584480677145</v>
      </c>
      <c r="K123" s="441"/>
      <c r="L123" s="426"/>
    </row>
    <row r="124" spans="1:12" ht="15" thickBot="1">
      <c r="A124" s="426"/>
      <c r="B124" s="442"/>
      <c r="C124" s="462"/>
      <c r="D124" s="462"/>
      <c r="E124" s="463"/>
      <c r="F124" s="464"/>
      <c r="G124" s="463"/>
      <c r="H124" s="463"/>
      <c r="I124" s="463"/>
      <c r="J124" s="465"/>
      <c r="K124" s="444"/>
      <c r="L124" s="426"/>
    </row>
    <row r="125" spans="1:12" ht="40.5" customHeight="1">
      <c r="A125" s="426"/>
      <c r="B125" s="659" t="s">
        <v>29</v>
      </c>
      <c r="C125" s="659"/>
      <c r="D125" s="659"/>
      <c r="E125" s="659"/>
      <c r="F125" s="659"/>
      <c r="G125" s="659"/>
      <c r="H125" s="659"/>
      <c r="I125" s="659"/>
      <c r="J125" s="659"/>
      <c r="K125" s="659"/>
      <c r="L125" s="481"/>
    </row>
    <row r="126" spans="1:12" ht="14.25">
      <c r="A126" s="426"/>
      <c r="B126" s="651" t="s">
        <v>84</v>
      </c>
      <c r="C126" s="651"/>
      <c r="D126" s="651"/>
      <c r="E126" s="651"/>
      <c r="F126" s="651"/>
      <c r="G126" s="651"/>
      <c r="H126" s="651"/>
      <c r="I126" s="651"/>
      <c r="J126" s="651"/>
      <c r="K126" s="651"/>
      <c r="L126" s="481"/>
    </row>
    <row r="127" spans="1:12" ht="14.25">
      <c r="A127" s="426"/>
      <c r="B127" s="430"/>
      <c r="C127" s="430"/>
      <c r="D127" s="430"/>
      <c r="E127" s="430"/>
      <c r="F127" s="430"/>
      <c r="G127" s="430"/>
      <c r="H127" s="430"/>
      <c r="I127" s="430"/>
      <c r="J127" s="430"/>
      <c r="K127" s="430"/>
      <c r="L127" s="481"/>
    </row>
    <row r="128" spans="1:12" ht="14.25">
      <c r="A128" s="426"/>
      <c r="B128" s="651" t="s">
        <v>85</v>
      </c>
      <c r="C128" s="651"/>
      <c r="D128" s="651"/>
      <c r="E128" s="651"/>
      <c r="F128" s="651"/>
      <c r="G128" s="651"/>
      <c r="H128" s="651"/>
      <c r="I128" s="651"/>
      <c r="J128" s="651"/>
      <c r="K128" s="651"/>
      <c r="L128" s="481"/>
    </row>
    <row r="129" spans="1:12" ht="14.25">
      <c r="A129" s="426"/>
      <c r="B129" s="467"/>
      <c r="C129" s="467"/>
      <c r="D129" s="467"/>
      <c r="E129" s="467"/>
      <c r="F129" s="467"/>
      <c r="G129" s="467"/>
      <c r="H129" s="467"/>
      <c r="I129" s="467"/>
      <c r="J129" s="467"/>
      <c r="K129" s="467"/>
      <c r="L129" s="481"/>
    </row>
    <row r="130" spans="1:12" ht="74.25" customHeight="1">
      <c r="A130" s="426"/>
      <c r="B130" s="650" t="s">
        <v>86</v>
      </c>
      <c r="C130" s="650"/>
      <c r="D130" s="650"/>
      <c r="E130" s="650"/>
      <c r="F130" s="650"/>
      <c r="G130" s="650"/>
      <c r="H130" s="650"/>
      <c r="I130" s="650"/>
      <c r="J130" s="650"/>
      <c r="K130" s="650"/>
      <c r="L130" s="481"/>
    </row>
    <row r="131" spans="1:12" ht="15" thickBot="1">
      <c r="A131" s="426"/>
      <c r="L131" s="426"/>
    </row>
    <row r="132" spans="1:12" ht="14.25">
      <c r="A132" s="426"/>
      <c r="B132" s="434" t="s">
        <v>33</v>
      </c>
      <c r="C132" s="435"/>
      <c r="D132" s="435"/>
      <c r="E132" s="435"/>
      <c r="F132" s="435"/>
      <c r="G132" s="435"/>
      <c r="H132" s="435"/>
      <c r="I132" s="435"/>
      <c r="J132" s="435"/>
      <c r="K132" s="436"/>
      <c r="L132" s="426"/>
    </row>
    <row r="133" spans="1:12" ht="14.25">
      <c r="A133" s="426"/>
      <c r="B133" s="447"/>
      <c r="C133" s="672" t="s">
        <v>87</v>
      </c>
      <c r="D133" s="672"/>
      <c r="E133" s="438"/>
      <c r="F133" s="439" t="s">
        <v>88</v>
      </c>
      <c r="G133" s="438"/>
      <c r="H133" s="672" t="s">
        <v>73</v>
      </c>
      <c r="I133" s="672"/>
      <c r="J133" s="438"/>
      <c r="K133" s="441"/>
      <c r="L133" s="426"/>
    </row>
    <row r="134" spans="1:12" ht="14.25">
      <c r="A134" s="426"/>
      <c r="B134" s="447" t="s">
        <v>66</v>
      </c>
      <c r="C134" s="649">
        <v>100000</v>
      </c>
      <c r="D134" s="649"/>
      <c r="E134" s="439" t="s">
        <v>231</v>
      </c>
      <c r="F134" s="439">
        <v>0.115</v>
      </c>
      <c r="G134" s="439" t="s">
        <v>39</v>
      </c>
      <c r="H134" s="670">
        <f>C134*F134</f>
        <v>11500</v>
      </c>
      <c r="I134" s="670"/>
      <c r="J134" s="438"/>
      <c r="K134" s="441"/>
      <c r="L134" s="426"/>
    </row>
    <row r="135" spans="1:12" ht="14.25">
      <c r="A135" s="426"/>
      <c r="B135" s="447"/>
      <c r="C135" s="438"/>
      <c r="D135" s="438"/>
      <c r="E135" s="438"/>
      <c r="F135" s="438"/>
      <c r="G135" s="438"/>
      <c r="H135" s="438"/>
      <c r="I135" s="438"/>
      <c r="J135" s="438"/>
      <c r="K135" s="441"/>
      <c r="L135" s="426"/>
    </row>
    <row r="136" spans="1:12" ht="14.25">
      <c r="A136" s="426"/>
      <c r="B136" s="457"/>
      <c r="C136" s="675" t="s">
        <v>73</v>
      </c>
      <c r="D136" s="675"/>
      <c r="E136" s="458"/>
      <c r="F136" s="459" t="s">
        <v>89</v>
      </c>
      <c r="G136" s="459"/>
      <c r="H136" s="458"/>
      <c r="I136" s="458"/>
      <c r="J136" s="458" t="s">
        <v>90</v>
      </c>
      <c r="K136" s="460"/>
      <c r="L136" s="426"/>
    </row>
    <row r="137" spans="1:12" ht="14.25">
      <c r="A137" s="426"/>
      <c r="B137" s="447" t="s">
        <v>69</v>
      </c>
      <c r="C137" s="670">
        <f>H134</f>
        <v>11500</v>
      </c>
      <c r="D137" s="670"/>
      <c r="E137" s="439" t="s">
        <v>231</v>
      </c>
      <c r="F137" s="482">
        <v>52.869</v>
      </c>
      <c r="G137" s="439" t="s">
        <v>40</v>
      </c>
      <c r="H137" s="439">
        <v>1000</v>
      </c>
      <c r="I137" s="439" t="s">
        <v>39</v>
      </c>
      <c r="J137" s="483">
        <f>C137*F137/H137</f>
        <v>607.9935</v>
      </c>
      <c r="K137" s="441"/>
      <c r="L137" s="426"/>
    </row>
    <row r="138" spans="1:12" ht="15" thickBot="1">
      <c r="A138" s="426"/>
      <c r="B138" s="442"/>
      <c r="C138" s="484"/>
      <c r="D138" s="484"/>
      <c r="E138" s="463"/>
      <c r="F138" s="485"/>
      <c r="G138" s="463"/>
      <c r="H138" s="463"/>
      <c r="I138" s="463"/>
      <c r="J138" s="486"/>
      <c r="K138" s="444"/>
      <c r="L138" s="426"/>
    </row>
    <row r="139" spans="1:12" ht="40.5" customHeight="1">
      <c r="A139" s="426"/>
      <c r="B139" s="487" t="s">
        <v>29</v>
      </c>
      <c r="C139" s="488"/>
      <c r="D139" s="488"/>
      <c r="E139" s="489"/>
      <c r="F139" s="490"/>
      <c r="G139" s="489"/>
      <c r="H139" s="489"/>
      <c r="I139" s="489"/>
      <c r="J139" s="491"/>
      <c r="K139" s="492"/>
      <c r="L139" s="426"/>
    </row>
    <row r="140" spans="1:12" ht="14.25">
      <c r="A140" s="426"/>
      <c r="B140" s="493" t="s">
        <v>91</v>
      </c>
      <c r="C140" s="494"/>
      <c r="D140" s="494"/>
      <c r="E140" s="495"/>
      <c r="F140" s="496"/>
      <c r="G140" s="495"/>
      <c r="H140" s="495"/>
      <c r="I140" s="495"/>
      <c r="J140" s="497"/>
      <c r="K140" s="498"/>
      <c r="L140" s="426"/>
    </row>
    <row r="141" spans="1:12" ht="14.25">
      <c r="A141" s="426"/>
      <c r="B141" s="447"/>
      <c r="C141" s="456"/>
      <c r="D141" s="456"/>
      <c r="E141" s="439"/>
      <c r="F141" s="499"/>
      <c r="G141" s="439"/>
      <c r="H141" s="439"/>
      <c r="I141" s="439"/>
      <c r="J141" s="483"/>
      <c r="K141" s="441"/>
      <c r="L141" s="426"/>
    </row>
    <row r="142" spans="1:12" ht="14.25">
      <c r="A142" s="426"/>
      <c r="B142" s="493" t="s">
        <v>92</v>
      </c>
      <c r="C142" s="494"/>
      <c r="D142" s="494"/>
      <c r="E142" s="495"/>
      <c r="F142" s="496"/>
      <c r="G142" s="495"/>
      <c r="H142" s="495"/>
      <c r="I142" s="495"/>
      <c r="J142" s="497"/>
      <c r="K142" s="498"/>
      <c r="L142" s="426"/>
    </row>
    <row r="143" spans="1:12" ht="14.25">
      <c r="A143" s="426"/>
      <c r="B143" s="447"/>
      <c r="C143" s="456"/>
      <c r="D143" s="456"/>
      <c r="E143" s="439"/>
      <c r="F143" s="499"/>
      <c r="G143" s="439"/>
      <c r="H143" s="439"/>
      <c r="I143" s="439"/>
      <c r="J143" s="483"/>
      <c r="K143" s="441"/>
      <c r="L143" s="426"/>
    </row>
    <row r="144" spans="1:12" ht="76.5" customHeight="1">
      <c r="A144" s="426"/>
      <c r="B144" s="676" t="s">
        <v>93</v>
      </c>
      <c r="C144" s="677"/>
      <c r="D144" s="677"/>
      <c r="E144" s="677"/>
      <c r="F144" s="677"/>
      <c r="G144" s="677"/>
      <c r="H144" s="677"/>
      <c r="I144" s="677"/>
      <c r="J144" s="677"/>
      <c r="K144" s="678"/>
      <c r="L144" s="426"/>
    </row>
    <row r="145" spans="1:12" ht="15" thickBot="1">
      <c r="A145" s="426"/>
      <c r="B145" s="447"/>
      <c r="C145" s="456"/>
      <c r="D145" s="456"/>
      <c r="E145" s="439"/>
      <c r="F145" s="499"/>
      <c r="G145" s="439"/>
      <c r="H145" s="439"/>
      <c r="I145" s="439"/>
      <c r="J145" s="483"/>
      <c r="K145" s="441"/>
      <c r="L145" s="426"/>
    </row>
    <row r="146" spans="1:12" ht="14.25">
      <c r="A146" s="426"/>
      <c r="B146" s="434" t="s">
        <v>33</v>
      </c>
      <c r="C146" s="500"/>
      <c r="D146" s="500"/>
      <c r="E146" s="501"/>
      <c r="F146" s="502"/>
      <c r="G146" s="501"/>
      <c r="H146" s="501"/>
      <c r="I146" s="501"/>
      <c r="J146" s="503"/>
      <c r="K146" s="436"/>
      <c r="L146" s="426"/>
    </row>
    <row r="147" spans="1:12" ht="14.25">
      <c r="A147" s="426"/>
      <c r="B147" s="447"/>
      <c r="C147" s="670" t="s">
        <v>94</v>
      </c>
      <c r="D147" s="670"/>
      <c r="E147" s="439"/>
      <c r="F147" s="499" t="s">
        <v>95</v>
      </c>
      <c r="G147" s="439"/>
      <c r="H147" s="439"/>
      <c r="I147" s="439"/>
      <c r="J147" s="673" t="s">
        <v>96</v>
      </c>
      <c r="K147" s="674"/>
      <c r="L147" s="426"/>
    </row>
    <row r="148" spans="1:12" ht="14.25">
      <c r="A148" s="426"/>
      <c r="B148" s="447"/>
      <c r="C148" s="669">
        <v>52.869</v>
      </c>
      <c r="D148" s="669"/>
      <c r="E148" s="439" t="s">
        <v>231</v>
      </c>
      <c r="F148" s="504">
        <v>133685008</v>
      </c>
      <c r="G148" s="505" t="s">
        <v>40</v>
      </c>
      <c r="H148" s="439">
        <v>1000</v>
      </c>
      <c r="I148" s="439" t="s">
        <v>39</v>
      </c>
      <c r="J148" s="670">
        <f>C148*(F148/1000)</f>
        <v>7067792.687952</v>
      </c>
      <c r="K148" s="671"/>
      <c r="L148" s="426"/>
    </row>
    <row r="149" spans="1:12" ht="15" thickBot="1">
      <c r="A149" s="426"/>
      <c r="B149" s="442"/>
      <c r="C149" s="484"/>
      <c r="D149" s="484"/>
      <c r="E149" s="463"/>
      <c r="F149" s="485"/>
      <c r="G149" s="463"/>
      <c r="H149" s="463"/>
      <c r="I149" s="463"/>
      <c r="J149" s="486"/>
      <c r="K149" s="444"/>
      <c r="L149" s="426"/>
    </row>
    <row r="150" spans="1:12" ht="15" thickBot="1">
      <c r="A150" s="426"/>
      <c r="B150" s="442"/>
      <c r="C150" s="443"/>
      <c r="D150" s="443"/>
      <c r="E150" s="443"/>
      <c r="F150" s="443"/>
      <c r="G150" s="443"/>
      <c r="H150" s="443"/>
      <c r="I150" s="443"/>
      <c r="J150" s="443"/>
      <c r="K150" s="444"/>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mergeCells count="55">
    <mergeCell ref="B126:K126"/>
    <mergeCell ref="B125:K125"/>
    <mergeCell ref="C117:D117"/>
    <mergeCell ref="C148:D148"/>
    <mergeCell ref="J148:K148"/>
    <mergeCell ref="B128:K128"/>
    <mergeCell ref="B130:K130"/>
    <mergeCell ref="C133:D133"/>
    <mergeCell ref="H133:I133"/>
    <mergeCell ref="C134:D134"/>
    <mergeCell ref="J147:K147"/>
    <mergeCell ref="H134:I134"/>
    <mergeCell ref="C136:D136"/>
    <mergeCell ref="C137:D137"/>
    <mergeCell ref="C147:D147"/>
    <mergeCell ref="B144:K144"/>
    <mergeCell ref="C120:D120"/>
    <mergeCell ref="C123:D123"/>
    <mergeCell ref="C97:D97"/>
    <mergeCell ref="B108:K108"/>
    <mergeCell ref="B110:K110"/>
    <mergeCell ref="C114:D114"/>
    <mergeCell ref="B106:K106"/>
    <mergeCell ref="C103:D103"/>
    <mergeCell ref="B105:K105"/>
    <mergeCell ref="B90:K90"/>
    <mergeCell ref="C94:D94"/>
    <mergeCell ref="C100:D100"/>
    <mergeCell ref="I51:K51"/>
    <mergeCell ref="C83:D83"/>
    <mergeCell ref="B85:K85"/>
    <mergeCell ref="B86:K86"/>
    <mergeCell ref="B88:K88"/>
    <mergeCell ref="B55:K55"/>
    <mergeCell ref="C80:D80"/>
    <mergeCell ref="B52:K52"/>
    <mergeCell ref="B53:K53"/>
    <mergeCell ref="B57:K57"/>
    <mergeCell ref="B58:K58"/>
    <mergeCell ref="C74:D74"/>
    <mergeCell ref="C77:D77"/>
    <mergeCell ref="B35:K35"/>
    <mergeCell ref="C41:D41"/>
    <mergeCell ref="B48:C48"/>
    <mergeCell ref="C25:D25"/>
    <mergeCell ref="B30:K30"/>
    <mergeCell ref="B31:K31"/>
    <mergeCell ref="B33:K33"/>
    <mergeCell ref="G50:H50"/>
    <mergeCell ref="F23:G23"/>
    <mergeCell ref="B12:K12"/>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07" t="s">
        <v>97</v>
      </c>
    </row>
    <row r="3" ht="31.5">
      <c r="A3" s="508" t="s">
        <v>98</v>
      </c>
    </row>
    <row r="4" ht="15.75">
      <c r="A4" s="509" t="s">
        <v>99</v>
      </c>
    </row>
    <row r="7" ht="31.5">
      <c r="A7" s="508" t="s">
        <v>100</v>
      </c>
    </row>
    <row r="8" ht="15.75">
      <c r="A8" s="509" t="s">
        <v>101</v>
      </c>
    </row>
    <row r="11" ht="15.75">
      <c r="A11" s="510" t="s">
        <v>102</v>
      </c>
    </row>
    <row r="12" ht="15.75">
      <c r="A12" s="509" t="s">
        <v>103</v>
      </c>
    </row>
    <row r="15" ht="15.75">
      <c r="A15" s="510" t="s">
        <v>104</v>
      </c>
    </row>
    <row r="16" ht="15.75">
      <c r="A16" s="509" t="s">
        <v>105</v>
      </c>
    </row>
    <row r="19" ht="15.75">
      <c r="A19" s="510" t="s">
        <v>106</v>
      </c>
    </row>
    <row r="20" ht="15.75">
      <c r="A20" s="509" t="s">
        <v>107</v>
      </c>
    </row>
    <row r="23" ht="15.75">
      <c r="A23" s="510" t="s">
        <v>108</v>
      </c>
    </row>
    <row r="24" ht="15.75">
      <c r="A24" s="509" t="s">
        <v>109</v>
      </c>
    </row>
    <row r="27" ht="15.75">
      <c r="A27" s="510" t="s">
        <v>110</v>
      </c>
    </row>
    <row r="28" ht="15.75">
      <c r="A28" s="509" t="s">
        <v>111</v>
      </c>
    </row>
    <row r="31" ht="15.75">
      <c r="A31" s="510" t="s">
        <v>112</v>
      </c>
    </row>
    <row r="32" ht="15.75">
      <c r="A32" s="509" t="s">
        <v>113</v>
      </c>
    </row>
    <row r="35" ht="15.75">
      <c r="A35" s="510" t="s">
        <v>114</v>
      </c>
    </row>
    <row r="36" ht="15.75">
      <c r="A36" s="509" t="s">
        <v>115</v>
      </c>
    </row>
    <row r="39" ht="15.75">
      <c r="A39" s="510" t="s">
        <v>116</v>
      </c>
    </row>
    <row r="40" ht="15.75">
      <c r="A40" s="509" t="s">
        <v>117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1" t="s">
        <v>181</v>
      </c>
    </row>
    <row r="2" ht="15.75">
      <c r="A2" s="564" t="s">
        <v>182</v>
      </c>
    </row>
    <row r="3" ht="15.75">
      <c r="A3" s="564" t="s">
        <v>183</v>
      </c>
    </row>
    <row r="5" ht="15.75">
      <c r="A5" s="371" t="s">
        <v>135</v>
      </c>
    </row>
    <row r="6" ht="15.75">
      <c r="A6" s="564" t="s">
        <v>136</v>
      </c>
    </row>
    <row r="7" ht="15.75">
      <c r="A7" s="564" t="s">
        <v>137</v>
      </c>
    </row>
    <row r="8" ht="31.5">
      <c r="A8" s="565" t="s">
        <v>177</v>
      </c>
    </row>
    <row r="9" ht="15.75">
      <c r="A9" s="564" t="s">
        <v>138</v>
      </c>
    </row>
    <row r="10" ht="15.75">
      <c r="A10" s="564" t="s">
        <v>139</v>
      </c>
    </row>
    <row r="11" ht="15.75">
      <c r="A11" s="564" t="s">
        <v>140</v>
      </c>
    </row>
    <row r="12" ht="15.75">
      <c r="A12" s="564" t="s">
        <v>141</v>
      </c>
    </row>
    <row r="13" ht="15.75">
      <c r="A13" s="564" t="s">
        <v>142</v>
      </c>
    </row>
    <row r="14" ht="15.75">
      <c r="A14" s="564" t="s">
        <v>143</v>
      </c>
    </row>
    <row r="15" ht="15.75">
      <c r="A15" s="564" t="s">
        <v>144</v>
      </c>
    </row>
    <row r="16" ht="15.75">
      <c r="A16" s="564" t="s">
        <v>145</v>
      </c>
    </row>
    <row r="17" ht="15.75">
      <c r="A17" s="564" t="s">
        <v>146</v>
      </c>
    </row>
    <row r="18" ht="15.75">
      <c r="A18" s="564" t="s">
        <v>147</v>
      </c>
    </row>
    <row r="19" ht="15.75">
      <c r="A19" s="564" t="s">
        <v>148</v>
      </c>
    </row>
    <row r="20" ht="15.75">
      <c r="A20" s="564" t="s">
        <v>149</v>
      </c>
    </row>
    <row r="21" ht="15.75">
      <c r="A21" s="564" t="s">
        <v>150</v>
      </c>
    </row>
    <row r="22" ht="15.75">
      <c r="A22" s="564" t="s">
        <v>151</v>
      </c>
    </row>
    <row r="23" ht="15.75">
      <c r="A23" s="564" t="s">
        <v>152</v>
      </c>
    </row>
    <row r="24" ht="15.75">
      <c r="A24" s="564" t="s">
        <v>153</v>
      </c>
    </row>
    <row r="25" ht="15.75">
      <c r="A25" s="564" t="s">
        <v>154</v>
      </c>
    </row>
    <row r="26" ht="15.75">
      <c r="A26" s="564" t="s">
        <v>155</v>
      </c>
    </row>
    <row r="27" ht="15.75">
      <c r="A27" s="564" t="s">
        <v>156</v>
      </c>
    </row>
    <row r="28" ht="15.75">
      <c r="A28" s="564" t="s">
        <v>178</v>
      </c>
    </row>
    <row r="30" ht="15.75">
      <c r="A30" s="371" t="s">
        <v>18</v>
      </c>
    </row>
    <row r="31" ht="15.75">
      <c r="A31" s="98" t="s">
        <v>21</v>
      </c>
    </row>
    <row r="32" ht="15.75">
      <c r="A32" s="98" t="s">
        <v>19</v>
      </c>
    </row>
    <row r="33" ht="15.75">
      <c r="A33" s="98" t="s">
        <v>20</v>
      </c>
    </row>
    <row r="35" ht="15.75">
      <c r="A35" s="384" t="s">
        <v>10</v>
      </c>
    </row>
    <row r="36" ht="15.75">
      <c r="A36" s="98" t="s">
        <v>17</v>
      </c>
    </row>
    <row r="38" ht="15.75">
      <c r="A38" s="371" t="s">
        <v>539</v>
      </c>
    </row>
    <row r="39" ht="15.75">
      <c r="A39" s="372" t="s">
        <v>540</v>
      </c>
    </row>
    <row r="40" ht="15.75">
      <c r="A40" s="372" t="s">
        <v>541</v>
      </c>
    </row>
    <row r="41" ht="15.75">
      <c r="A41" s="372" t="s">
        <v>542</v>
      </c>
    </row>
    <row r="42" ht="15.75">
      <c r="A42" s="98" t="s">
        <v>543</v>
      </c>
    </row>
    <row r="44" ht="15.75">
      <c r="A44" s="332" t="s">
        <v>495</v>
      </c>
    </row>
    <row r="45" ht="15.75">
      <c r="A45" s="98" t="s">
        <v>486</v>
      </c>
    </row>
    <row r="46" ht="15.75">
      <c r="A46" s="98" t="s">
        <v>487</v>
      </c>
    </row>
    <row r="47" ht="15.75">
      <c r="A47" s="98" t="s">
        <v>488</v>
      </c>
    </row>
    <row r="48" ht="15.75">
      <c r="A48" s="98" t="s">
        <v>489</v>
      </c>
    </row>
    <row r="49" ht="15.75">
      <c r="A49" s="98" t="s">
        <v>490</v>
      </c>
    </row>
    <row r="50" ht="15.75">
      <c r="A50" s="98" t="s">
        <v>491</v>
      </c>
    </row>
    <row r="51" ht="15.75">
      <c r="A51" s="98" t="s">
        <v>508</v>
      </c>
    </row>
    <row r="52" ht="15.75">
      <c r="A52" s="98" t="s">
        <v>509</v>
      </c>
    </row>
    <row r="53" ht="15.75">
      <c r="A53" s="98" t="s">
        <v>510</v>
      </c>
    </row>
    <row r="54" ht="15.75">
      <c r="A54" s="98" t="s">
        <v>511</v>
      </c>
    </row>
    <row r="55" ht="15.75">
      <c r="A55" s="98" t="s">
        <v>512</v>
      </c>
    </row>
    <row r="56" ht="15.75">
      <c r="A56" s="98" t="s">
        <v>513</v>
      </c>
    </row>
    <row r="58" ht="15.75">
      <c r="A58" s="332" t="s">
        <v>481</v>
      </c>
    </row>
    <row r="59" ht="15.75">
      <c r="A59" s="98" t="s">
        <v>492</v>
      </c>
    </row>
    <row r="60" ht="15.75">
      <c r="A60" s="98" t="s">
        <v>482</v>
      </c>
    </row>
    <row r="61" ht="15.75">
      <c r="A61" s="98" t="s">
        <v>483</v>
      </c>
    </row>
    <row r="63" ht="15.75">
      <c r="A63" s="332" t="s">
        <v>477</v>
      </c>
    </row>
    <row r="64" ht="15.75">
      <c r="A64" s="98" t="s">
        <v>478</v>
      </c>
    </row>
    <row r="65" ht="15.75">
      <c r="A65" s="98" t="s">
        <v>479</v>
      </c>
    </row>
    <row r="67" ht="15.75">
      <c r="A67" s="332" t="s">
        <v>458</v>
      </c>
    </row>
    <row r="68" ht="15.75">
      <c r="A68" s="98" t="s">
        <v>459</v>
      </c>
    </row>
    <row r="69" ht="36" customHeight="1">
      <c r="A69" s="333" t="s">
        <v>460</v>
      </c>
    </row>
    <row r="70" ht="15.75">
      <c r="A70" s="98" t="s">
        <v>461</v>
      </c>
    </row>
    <row r="71" ht="18.75" customHeight="1">
      <c r="A71" s="98" t="s">
        <v>462</v>
      </c>
    </row>
    <row r="72" ht="15.75">
      <c r="A72" s="98" t="s">
        <v>463</v>
      </c>
    </row>
    <row r="73" ht="24.75" customHeight="1">
      <c r="A73" s="98" t="s">
        <v>464</v>
      </c>
    </row>
    <row r="74" ht="39" customHeight="1">
      <c r="A74" s="333" t="s">
        <v>465</v>
      </c>
    </row>
    <row r="75" ht="38.25" customHeight="1">
      <c r="A75" s="333" t="s">
        <v>466</v>
      </c>
    </row>
    <row r="76" ht="37.5" customHeight="1">
      <c r="A76" s="333" t="s">
        <v>467</v>
      </c>
    </row>
    <row r="77" ht="21" customHeight="1">
      <c r="A77" s="333" t="s">
        <v>468</v>
      </c>
    </row>
    <row r="78" ht="35.25" customHeight="1">
      <c r="A78" s="333" t="s">
        <v>469</v>
      </c>
    </row>
    <row r="79" ht="15.75">
      <c r="A79" s="98" t="s">
        <v>470</v>
      </c>
    </row>
    <row r="80" ht="15.75">
      <c r="A80" s="98" t="s">
        <v>471</v>
      </c>
    </row>
    <row r="81" ht="15.75">
      <c r="A81" s="98" t="s">
        <v>472</v>
      </c>
    </row>
    <row r="82" ht="15.75">
      <c r="A82" s="98" t="s">
        <v>473</v>
      </c>
    </row>
    <row r="83" ht="15.75">
      <c r="A83" s="98" t="s">
        <v>474</v>
      </c>
    </row>
    <row r="86" ht="15.75">
      <c r="A86" s="332" t="s">
        <v>380</v>
      </c>
    </row>
    <row r="87" ht="15.75">
      <c r="A87" s="98" t="s">
        <v>389</v>
      </c>
    </row>
    <row r="88" ht="15.75">
      <c r="A88" s="98" t="s">
        <v>390</v>
      </c>
    </row>
    <row r="89" ht="15.75">
      <c r="A89" s="98" t="s">
        <v>391</v>
      </c>
    </row>
    <row r="90" ht="15.75">
      <c r="A90" s="98" t="s">
        <v>404</v>
      </c>
    </row>
    <row r="91" ht="15.75">
      <c r="A91" s="98" t="s">
        <v>392</v>
      </c>
    </row>
    <row r="92" ht="15.75">
      <c r="A92" s="98" t="s">
        <v>393</v>
      </c>
    </row>
    <row r="93" ht="15.75">
      <c r="A93" s="98" t="s">
        <v>394</v>
      </c>
    </row>
    <row r="94" ht="15.75">
      <c r="A94" s="98" t="s">
        <v>395</v>
      </c>
    </row>
    <row r="95" ht="15.75">
      <c r="A95" s="98" t="s">
        <v>405</v>
      </c>
    </row>
    <row r="96" ht="15.75">
      <c r="A96" s="98" t="s">
        <v>396</v>
      </c>
    </row>
    <row r="97" ht="15.75">
      <c r="A97" s="98" t="s">
        <v>397</v>
      </c>
    </row>
    <row r="98" ht="15.75">
      <c r="A98" s="98" t="s">
        <v>398</v>
      </c>
    </row>
    <row r="99" ht="15.75">
      <c r="A99" s="98" t="s">
        <v>406</v>
      </c>
    </row>
    <row r="100" ht="15.75">
      <c r="A100" s="98" t="s">
        <v>407</v>
      </c>
    </row>
    <row r="101" ht="15.75">
      <c r="A101" s="98" t="s">
        <v>414</v>
      </c>
    </row>
    <row r="102" ht="15.75">
      <c r="A102" s="98" t="s">
        <v>493</v>
      </c>
    </row>
    <row r="103" ht="15.75">
      <c r="A103" s="98" t="s">
        <v>203</v>
      </c>
    </row>
    <row r="104" ht="15.75">
      <c r="A104" s="98" t="s">
        <v>204</v>
      </c>
    </row>
    <row r="105" ht="15.75">
      <c r="A105" s="98" t="s">
        <v>205</v>
      </c>
    </row>
    <row r="106" ht="15.75">
      <c r="A106" s="98" t="s">
        <v>494</v>
      </c>
    </row>
    <row r="107" ht="15.75">
      <c r="A107" s="98" t="s">
        <v>423</v>
      </c>
    </row>
    <row r="108" ht="15.75">
      <c r="A108" s="98" t="s">
        <v>424</v>
      </c>
    </row>
    <row r="109" ht="15.75">
      <c r="A109" s="98" t="s">
        <v>206</v>
      </c>
    </row>
    <row r="110" ht="15.75">
      <c r="A110" s="98" t="s">
        <v>207</v>
      </c>
    </row>
    <row r="111" ht="15.75">
      <c r="A111" s="98" t="s">
        <v>432</v>
      </c>
    </row>
    <row r="112" ht="15.75">
      <c r="A112" s="98" t="s">
        <v>433</v>
      </c>
    </row>
    <row r="113" ht="15.75">
      <c r="A113" s="98" t="s">
        <v>438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8">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N. Centropolis Fire</v>
      </c>
      <c r="B1" s="62"/>
      <c r="C1" s="62"/>
      <c r="D1" s="62"/>
      <c r="E1" s="62">
        <f>inputPrYr!D6</f>
        <v>2012</v>
      </c>
    </row>
    <row r="2" spans="1:5" ht="15.75">
      <c r="A2" s="62" t="str">
        <f>inputPrYr!D4</f>
        <v>Franklin County</v>
      </c>
      <c r="B2" s="62"/>
      <c r="C2" s="62"/>
      <c r="D2" s="62"/>
      <c r="E2" s="62"/>
    </row>
    <row r="3" spans="1:5" ht="15">
      <c r="A3" s="64"/>
      <c r="B3" s="64"/>
      <c r="C3" s="64"/>
      <c r="D3" s="64"/>
      <c r="E3" s="64"/>
    </row>
    <row r="4" spans="1:5" ht="15.75">
      <c r="A4" s="569" t="s">
        <v>399</v>
      </c>
      <c r="B4" s="570"/>
      <c r="C4" s="570"/>
      <c r="D4" s="570"/>
      <c r="E4" s="570"/>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4147229</v>
      </c>
    </row>
    <row r="8" spans="1:5" ht="15.75">
      <c r="A8" s="68" t="str">
        <f>CONCATENATE("New Improvements for ",inputPrYr!D6-1,"")</f>
        <v>New Improvements for 2011</v>
      </c>
      <c r="B8" s="69"/>
      <c r="C8" s="69"/>
      <c r="D8" s="69"/>
      <c r="E8" s="70">
        <v>29309</v>
      </c>
    </row>
    <row r="9" spans="1:5" ht="15.75">
      <c r="A9" s="68" t="str">
        <f>CONCATENATE("Personal Property excluding oil, gas, and mobile homes- ",inputPrYr!D6-1,"")</f>
        <v>Personal Property excluding oil, gas, and mobile homes- 2011</v>
      </c>
      <c r="B9" s="69"/>
      <c r="C9" s="69"/>
      <c r="D9" s="69"/>
      <c r="E9" s="70">
        <v>56919</v>
      </c>
    </row>
    <row r="10" spans="1:5" ht="15.75">
      <c r="A10" s="68" t="str">
        <f>CONCATENATE("Property that has changed in use for ",inputPrYr!D6-1,"")</f>
        <v>Property that has changed in use for 2011</v>
      </c>
      <c r="B10" s="69"/>
      <c r="C10" s="69"/>
      <c r="D10" s="69"/>
      <c r="E10" s="70">
        <v>17132</v>
      </c>
    </row>
    <row r="11" spans="1:5" ht="15.75">
      <c r="A11" s="67" t="str">
        <f>CONCATENATE("Personal Property excluding oil, gas, and mobile homes- ",inputPrYr!D6-2,"")</f>
        <v>Personal Property excluding oil, gas, and mobile homes- 2010</v>
      </c>
      <c r="B11" s="42"/>
      <c r="C11" s="42"/>
      <c r="D11" s="42"/>
      <c r="E11" s="70">
        <v>54678</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79" t="s">
        <v>229</v>
      </c>
      <c r="B15" s="574"/>
      <c r="C15" s="64"/>
      <c r="D15" s="75" t="s">
        <v>263</v>
      </c>
      <c r="E15" s="74"/>
    </row>
    <row r="16" spans="1:5" ht="15.75">
      <c r="A16" s="67" t="s">
        <v>213</v>
      </c>
      <c r="B16" s="42"/>
      <c r="C16" s="71"/>
      <c r="D16" s="76">
        <v>2.077</v>
      </c>
      <c r="E16" s="74"/>
    </row>
    <row r="17" spans="1:5" ht="15.75">
      <c r="A17" s="68" t="s">
        <v>480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409</v>
      </c>
      <c r="C22" s="80"/>
      <c r="D22" s="81">
        <f>SUM(D16:D21)</f>
        <v>2.077</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4151848</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217</v>
      </c>
      <c r="B27" s="42"/>
      <c r="C27" s="42"/>
      <c r="D27" s="85"/>
      <c r="E27" s="37">
        <v>1685</v>
      </c>
    </row>
    <row r="28" spans="1:5" ht="15.75">
      <c r="A28" s="68" t="s">
        <v>218</v>
      </c>
      <c r="B28" s="69"/>
      <c r="C28" s="69"/>
      <c r="D28" s="86"/>
      <c r="E28" s="37">
        <v>36</v>
      </c>
    </row>
    <row r="29" spans="1:5" ht="15.75">
      <c r="A29" s="68" t="s">
        <v>374</v>
      </c>
      <c r="B29" s="69"/>
      <c r="C29" s="69"/>
      <c r="D29" s="86"/>
      <c r="E29" s="37">
        <v>69</v>
      </c>
    </row>
    <row r="30" spans="1:5" ht="15.75">
      <c r="A30" s="68" t="s">
        <v>362</v>
      </c>
      <c r="B30" s="69"/>
      <c r="C30" s="69"/>
      <c r="D30" s="86"/>
      <c r="E30" s="37"/>
    </row>
    <row r="31" spans="1:5" ht="15.75">
      <c r="A31" s="68" t="s">
        <v>363</v>
      </c>
      <c r="B31" s="69"/>
      <c r="C31" s="69"/>
      <c r="D31" s="86"/>
      <c r="E31" s="37"/>
    </row>
    <row r="32" spans="1:5" ht="15.75">
      <c r="A32" s="67"/>
      <c r="B32" s="42"/>
      <c r="C32" s="42"/>
      <c r="D32" s="85"/>
      <c r="E32" s="37"/>
    </row>
    <row r="33" spans="1:5" ht="15.75">
      <c r="A33" s="18" t="s">
        <v>375</v>
      </c>
      <c r="B33" s="18"/>
      <c r="C33" s="18"/>
      <c r="D33" s="18"/>
      <c r="E33" s="18"/>
    </row>
    <row r="34" spans="1:5" ht="15.75">
      <c r="A34" s="87" t="s">
        <v>313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410</v>
      </c>
      <c r="B36" s="88"/>
      <c r="C36" s="71"/>
      <c r="D36" s="71"/>
      <c r="E36" s="403"/>
    </row>
    <row r="37" spans="1:5" ht="15.75">
      <c r="A37" s="90" t="s">
        <v>376</v>
      </c>
      <c r="B37" s="90"/>
      <c r="C37" s="91"/>
      <c r="D37" s="91"/>
      <c r="E37" s="92"/>
    </row>
    <row r="38" spans="1:5" ht="15">
      <c r="A38" s="64"/>
      <c r="B38" s="64"/>
      <c r="C38" s="64"/>
      <c r="D38" s="64"/>
      <c r="E38" s="64"/>
    </row>
    <row r="39" spans="1:5" ht="15.75">
      <c r="A39" s="580" t="str">
        <f>CONCATENATE("From the ",E1-2," Budget Certificate Page")</f>
        <v>From the 2010 Budget Certificate Page</v>
      </c>
      <c r="B39" s="581"/>
      <c r="C39" s="64"/>
      <c r="D39" s="64"/>
      <c r="E39" s="64"/>
    </row>
    <row r="40" spans="1:5" ht="15.75">
      <c r="A40" s="93"/>
      <c r="B40" s="93" t="str">
        <f>CONCATENATE("",E1-2," Expenditure Amounts")</f>
        <v>2010 Expenditure Amounts</v>
      </c>
      <c r="C40" s="582" t="str">
        <f>CONCATENATE("Note: If the ",E1-2," budget was amended, then the")</f>
        <v>Note: If the 2010 budget was amended, then the</v>
      </c>
      <c r="D40" s="583"/>
      <c r="E40" s="583"/>
    </row>
    <row r="41" spans="1:5" ht="15.75">
      <c r="A41" s="94" t="s">
        <v>419</v>
      </c>
      <c r="B41" s="94" t="s">
        <v>420</v>
      </c>
      <c r="C41" s="95" t="s">
        <v>421</v>
      </c>
      <c r="D41" s="96"/>
      <c r="E41" s="96"/>
    </row>
    <row r="42" spans="1:5" ht="15.75">
      <c r="A42" s="97" t="str">
        <f>inputPrYr!B19</f>
        <v>General</v>
      </c>
      <c r="B42" s="58">
        <v>26626</v>
      </c>
      <c r="C42" s="95" t="s">
        <v>422</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584" t="s">
        <v>528</v>
      </c>
      <c r="B2" s="585"/>
      <c r="C2" s="585"/>
      <c r="D2" s="585"/>
      <c r="E2" s="585"/>
      <c r="F2" s="585"/>
    </row>
    <row r="4" spans="1:6" ht="15.75">
      <c r="A4" s="358"/>
      <c r="B4" s="358"/>
      <c r="C4" s="358"/>
      <c r="D4" s="359"/>
      <c r="E4" s="358"/>
      <c r="F4" s="358"/>
    </row>
    <row r="5" spans="1:6" ht="15.75">
      <c r="A5" s="360" t="s">
        <v>529</v>
      </c>
      <c r="B5" s="361" t="s">
        <v>192</v>
      </c>
      <c r="C5" s="362"/>
      <c r="D5" s="360" t="s">
        <v>180</v>
      </c>
      <c r="E5" s="358"/>
      <c r="F5" s="358"/>
    </row>
    <row r="6" spans="1:6" ht="15.75">
      <c r="A6" s="360"/>
      <c r="B6" s="363"/>
      <c r="C6" s="364"/>
      <c r="D6" s="360" t="s">
        <v>179</v>
      </c>
      <c r="E6" s="358"/>
      <c r="F6" s="358"/>
    </row>
    <row r="7" spans="1:6" ht="15.75">
      <c r="A7" s="360" t="s">
        <v>530</v>
      </c>
      <c r="B7" s="361" t="s">
        <v>190</v>
      </c>
      <c r="C7" s="365"/>
      <c r="D7" s="360"/>
      <c r="E7" s="358"/>
      <c r="F7" s="358"/>
    </row>
    <row r="8" spans="1:6" ht="15.75">
      <c r="A8" s="360"/>
      <c r="B8" s="360"/>
      <c r="C8" s="360"/>
      <c r="D8" s="360"/>
      <c r="E8" s="358"/>
      <c r="F8" s="358"/>
    </row>
    <row r="9" spans="1:6" ht="15.75">
      <c r="A9" s="360" t="s">
        <v>531</v>
      </c>
      <c r="B9" s="366" t="s">
        <v>191</v>
      </c>
      <c r="C9" s="366"/>
      <c r="D9" s="366"/>
      <c r="E9" s="367"/>
      <c r="F9" s="358"/>
    </row>
    <row r="10" spans="1:6" ht="15.75">
      <c r="A10" s="360"/>
      <c r="B10" s="360"/>
      <c r="C10" s="360"/>
      <c r="D10" s="360"/>
      <c r="E10" s="358"/>
      <c r="F10" s="358"/>
    </row>
    <row r="11" spans="1:6" ht="15.75">
      <c r="A11" s="360"/>
      <c r="B11" s="360"/>
      <c r="C11" s="360"/>
      <c r="D11" s="360"/>
      <c r="E11" s="358"/>
      <c r="F11" s="358"/>
    </row>
    <row r="12" spans="1:6" ht="15.75">
      <c r="A12" s="360" t="s">
        <v>532</v>
      </c>
      <c r="B12" s="366" t="s">
        <v>185</v>
      </c>
      <c r="C12" s="366"/>
      <c r="D12" s="366"/>
      <c r="E12" s="367"/>
      <c r="F12" s="358"/>
    </row>
    <row r="15" spans="1:6" ht="15.75">
      <c r="A15" s="586" t="s">
        <v>533</v>
      </c>
      <c r="B15" s="586"/>
      <c r="C15" s="360"/>
      <c r="D15" s="360"/>
      <c r="E15" s="360"/>
      <c r="F15" s="358"/>
    </row>
    <row r="16" spans="1:6" ht="15.75">
      <c r="A16" s="360"/>
      <c r="B16" s="360"/>
      <c r="C16" s="360"/>
      <c r="D16" s="360"/>
      <c r="E16" s="360"/>
      <c r="F16" s="358"/>
    </row>
    <row r="17" spans="1:5" ht="15.75">
      <c r="A17" s="360" t="s">
        <v>529</v>
      </c>
      <c r="B17" s="363" t="s">
        <v>534</v>
      </c>
      <c r="C17" s="360"/>
      <c r="D17" s="360"/>
      <c r="E17" s="360"/>
    </row>
    <row r="18" spans="1:5" ht="15.75">
      <c r="A18" s="360"/>
      <c r="B18" s="360"/>
      <c r="C18" s="360"/>
      <c r="D18" s="360"/>
      <c r="E18" s="360"/>
    </row>
    <row r="19" spans="1:5" ht="15.75">
      <c r="A19" s="360" t="s">
        <v>530</v>
      </c>
      <c r="B19" s="360" t="s">
        <v>535</v>
      </c>
      <c r="C19" s="360"/>
      <c r="D19" s="360"/>
      <c r="E19" s="360"/>
    </row>
    <row r="20" spans="1:5" ht="15.75">
      <c r="A20" s="360"/>
      <c r="B20" s="360"/>
      <c r="C20" s="360"/>
      <c r="D20" s="360"/>
      <c r="E20" s="360"/>
    </row>
    <row r="21" spans="1:5" ht="15.75">
      <c r="A21" s="360" t="s">
        <v>531</v>
      </c>
      <c r="B21" s="360" t="s">
        <v>537</v>
      </c>
      <c r="C21" s="360"/>
      <c r="D21" s="360"/>
      <c r="E21" s="360"/>
    </row>
    <row r="22" spans="1:5" ht="15.75">
      <c r="A22" s="360"/>
      <c r="B22" s="360"/>
      <c r="C22" s="360"/>
      <c r="D22" s="360"/>
      <c r="E22" s="360"/>
    </row>
    <row r="23" spans="1:5" ht="15.75">
      <c r="A23" s="360" t="s">
        <v>532</v>
      </c>
      <c r="B23" s="360" t="s">
        <v>536</v>
      </c>
      <c r="C23" s="360"/>
      <c r="D23" s="360"/>
      <c r="E23" s="36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59"/>
  <sheetViews>
    <sheetView tabSelected="1" zoomScalePageLayoutView="0" workbookViewId="0" topLeftCell="A10">
      <selection activeCell="G27" sqref="G27:G28"/>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588" t="s">
        <v>281</v>
      </c>
      <c r="B2" s="588"/>
      <c r="C2" s="588"/>
      <c r="D2" s="588"/>
      <c r="E2" s="588"/>
      <c r="F2" s="588"/>
      <c r="G2" s="588"/>
    </row>
    <row r="3" spans="1:7" ht="15.75">
      <c r="A3" s="18"/>
      <c r="B3" s="18"/>
      <c r="C3" s="18"/>
      <c r="D3" s="18"/>
      <c r="E3" s="18"/>
      <c r="F3" s="18"/>
      <c r="G3" s="62">
        <f>inputPrYr!D6</f>
        <v>2012</v>
      </c>
    </row>
    <row r="4" spans="1:7" ht="15.75">
      <c r="A4" s="589" t="str">
        <f>CONCATENATE("To the Clerk of ",inputPrYr!D4,", State of Kansas")</f>
        <v>To the Clerk of Franklin County, State of Kansas</v>
      </c>
      <c r="B4" s="589"/>
      <c r="C4" s="589"/>
      <c r="D4" s="589"/>
      <c r="E4" s="589"/>
      <c r="F4" s="589"/>
      <c r="G4" s="589"/>
    </row>
    <row r="5" spans="1:7" ht="15.75">
      <c r="A5" s="100" t="s">
        <v>358</v>
      </c>
      <c r="B5" s="26"/>
      <c r="C5" s="26"/>
      <c r="D5" s="26"/>
      <c r="E5" s="26"/>
      <c r="F5" s="26"/>
      <c r="G5" s="26"/>
    </row>
    <row r="6" spans="1:7" ht="15.75">
      <c r="A6" s="571" t="str">
        <f>inputPrYr!D3</f>
        <v>N. Centropolis Fire</v>
      </c>
      <c r="B6" s="571"/>
      <c r="C6" s="571"/>
      <c r="D6" s="571"/>
      <c r="E6" s="571"/>
      <c r="F6" s="571"/>
      <c r="G6" s="571"/>
    </row>
    <row r="7" spans="1:7" ht="15.75">
      <c r="A7" s="18"/>
      <c r="B7" s="18"/>
      <c r="C7" s="18"/>
      <c r="D7" s="18"/>
      <c r="E7" s="18"/>
      <c r="F7" s="18"/>
      <c r="G7" s="18"/>
    </row>
    <row r="8" spans="1:7" ht="15.75">
      <c r="A8" s="100" t="s">
        <v>219</v>
      </c>
      <c r="B8" s="26"/>
      <c r="C8" s="26"/>
      <c r="D8" s="26"/>
      <c r="E8" s="26"/>
      <c r="F8" s="26"/>
      <c r="G8" s="26"/>
    </row>
    <row r="9" spans="1:7" ht="15.75">
      <c r="A9" s="100" t="s">
        <v>220</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590" t="str">
        <f>CONCATENATE("",G3," Adopted Budget")</f>
        <v>2012 Adopted Budget</v>
      </c>
      <c r="F13" s="591"/>
      <c r="G13" s="592"/>
    </row>
    <row r="14" spans="1:8" ht="15.75">
      <c r="A14" s="17"/>
      <c r="B14" s="18"/>
      <c r="C14" s="18"/>
      <c r="D14" s="42"/>
      <c r="E14" s="103" t="s">
        <v>221</v>
      </c>
      <c r="F14" s="104"/>
      <c r="G14" s="105" t="s">
        <v>222</v>
      </c>
      <c r="H14" s="106"/>
    </row>
    <row r="15" spans="1:7" ht="15.75">
      <c r="A15" s="18"/>
      <c r="B15" s="18"/>
      <c r="C15" s="18"/>
      <c r="D15" s="104" t="s">
        <v>223</v>
      </c>
      <c r="E15" s="107" t="s">
        <v>420</v>
      </c>
      <c r="F15" s="593" t="str">
        <f>CONCATENATE("Amount of ",G3-1," Ad Valorem Tax")</f>
        <v>Amount of 2011 Ad Valorem Tax</v>
      </c>
      <c r="G15" s="105" t="s">
        <v>224</v>
      </c>
    </row>
    <row r="16" spans="1:7" ht="15.75">
      <c r="A16" s="17" t="s">
        <v>225</v>
      </c>
      <c r="B16" s="18"/>
      <c r="C16" s="18"/>
      <c r="D16" s="107" t="s">
        <v>226</v>
      </c>
      <c r="E16" s="107" t="s">
        <v>22</v>
      </c>
      <c r="F16" s="593"/>
      <c r="G16" s="105" t="s">
        <v>228</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416</v>
      </c>
      <c r="B19" s="108"/>
      <c r="C19" s="108"/>
      <c r="D19" s="113">
        <v>3</v>
      </c>
      <c r="E19" s="102"/>
      <c r="F19" s="102"/>
      <c r="G19" s="114"/>
    </row>
    <row r="20" spans="1:7" ht="15.75">
      <c r="A20" s="115" t="s">
        <v>347</v>
      </c>
      <c r="B20" s="108"/>
      <c r="C20" s="108"/>
      <c r="D20" s="116">
        <v>4</v>
      </c>
      <c r="E20" s="102"/>
      <c r="F20" s="102"/>
      <c r="G20" s="114"/>
    </row>
    <row r="21" spans="1:7" ht="15.75">
      <c r="A21" s="112" t="s">
        <v>346</v>
      </c>
      <c r="B21" s="108"/>
      <c r="C21" s="108"/>
      <c r="D21" s="116">
        <v>5</v>
      </c>
      <c r="E21" s="102"/>
      <c r="F21" s="102"/>
      <c r="G21" s="114"/>
    </row>
    <row r="22" spans="1:7" ht="15.75">
      <c r="A22" s="117" t="s">
        <v>229</v>
      </c>
      <c r="B22" s="118"/>
      <c r="C22" s="119" t="s">
        <v>230</v>
      </c>
      <c r="D22" s="113"/>
      <c r="E22" s="120"/>
      <c r="F22" s="42"/>
      <c r="G22" s="46"/>
    </row>
    <row r="23" spans="1:7" ht="15.75">
      <c r="A23" s="121" t="s">
        <v>213</v>
      </c>
      <c r="B23" s="118"/>
      <c r="C23" s="113" t="str">
        <f>inputPrYr!C19</f>
        <v>80-1546</v>
      </c>
      <c r="D23" s="122">
        <v>6</v>
      </c>
      <c r="E23" s="123">
        <f>IF(gen!$E$50&lt;&gt;0,gen!$E$50,"  ")</f>
        <v>21475</v>
      </c>
      <c r="F23" s="123">
        <f>IF(gen!$E$57&lt;&gt;0,gen!$E$57,"  ")</f>
        <v>8724</v>
      </c>
      <c r="G23" s="124">
        <v>2.102</v>
      </c>
    </row>
    <row r="24" spans="1:7" ht="15.75">
      <c r="A24" s="129" t="s">
        <v>336</v>
      </c>
      <c r="B24" s="69"/>
      <c r="C24" s="118"/>
      <c r="D24" s="130" t="s">
        <v>231</v>
      </c>
      <c r="E24" s="404">
        <f>SUM(E23:E23)</f>
        <v>21475</v>
      </c>
      <c r="F24" s="405">
        <f>SUM(F23:F23)</f>
        <v>8724</v>
      </c>
      <c r="G24" s="408">
        <f>IF(SUM(G23:G23)=0,"",SUM(G23:G23))</f>
        <v>2.102</v>
      </c>
    </row>
    <row r="25" spans="1:7" ht="15.75">
      <c r="A25" s="121" t="s">
        <v>408</v>
      </c>
      <c r="B25" s="69"/>
      <c r="C25" s="118"/>
      <c r="D25" s="133">
        <f>summ!E26</f>
        <v>7</v>
      </c>
      <c r="E25" s="137" t="s">
        <v>403</v>
      </c>
      <c r="F25" s="407" t="str">
        <f>IF(F24&gt;computation!J34,"Yes","No")</f>
        <v>No</v>
      </c>
      <c r="G25" s="409" t="s">
        <v>337</v>
      </c>
    </row>
    <row r="26" spans="1:7" ht="15.75">
      <c r="A26" s="121" t="s">
        <v>427</v>
      </c>
      <c r="B26" s="135"/>
      <c r="C26" s="136"/>
      <c r="D26" s="133">
        <f>IF(Nhood!C35=0,"",Nhood!C35)</f>
      </c>
      <c r="E26" s="406"/>
      <c r="F26" s="71"/>
      <c r="G26" s="142">
        <v>4150816</v>
      </c>
    </row>
    <row r="27" spans="1:7" ht="15.75">
      <c r="A27" s="138" t="s">
        <v>402</v>
      </c>
      <c r="B27" s="69"/>
      <c r="C27" s="118"/>
      <c r="D27" s="133">
        <f>IF(Resolution!E45=0,"",Resolution!E45)</f>
      </c>
      <c r="E27" s="62"/>
      <c r="F27" s="71"/>
      <c r="G27" s="594" t="str">
        <f>CONCATENATE("Nov. 1, ",G3," Total Assessed Valuation")</f>
        <v>Nov. 1, 2012 Total Assessed Valuation</v>
      </c>
    </row>
    <row r="28" spans="1:7" ht="15.75">
      <c r="A28" s="21"/>
      <c r="B28" s="71"/>
      <c r="C28" s="18"/>
      <c r="D28" s="139"/>
      <c r="E28" s="62"/>
      <c r="F28" s="71"/>
      <c r="G28" s="595"/>
    </row>
    <row r="29" spans="1:7" ht="15.75">
      <c r="A29" s="140" t="s">
        <v>25</v>
      </c>
      <c r="B29" s="71"/>
      <c r="C29" s="71"/>
      <c r="D29" s="71"/>
      <c r="E29" s="134"/>
      <c r="F29" s="71"/>
      <c r="G29" s="18"/>
    </row>
    <row r="30" spans="1:7" ht="15.75">
      <c r="A30" s="418" t="s">
        <v>185</v>
      </c>
      <c r="B30" s="418"/>
      <c r="C30" s="71"/>
      <c r="D30" s="71"/>
      <c r="E30" s="141"/>
      <c r="F30" s="71"/>
      <c r="G30" s="18"/>
    </row>
    <row r="31" spans="1:7" ht="15.75">
      <c r="A31" s="419"/>
      <c r="B31" s="420"/>
      <c r="C31" s="71"/>
      <c r="D31" s="71"/>
      <c r="E31" s="423"/>
      <c r="F31" s="71"/>
      <c r="G31" s="18"/>
    </row>
    <row r="32" spans="1:7" ht="15.75">
      <c r="A32" s="143" t="s">
        <v>26</v>
      </c>
      <c r="B32" s="71"/>
      <c r="C32" s="71"/>
      <c r="D32" s="127"/>
      <c r="E32" s="424"/>
      <c r="F32" s="127"/>
      <c r="G32" s="127"/>
    </row>
    <row r="33" spans="1:7" ht="15.75">
      <c r="A33" s="418" t="s">
        <v>186</v>
      </c>
      <c r="B33" s="418"/>
      <c r="C33" s="71"/>
      <c r="D33" s="42"/>
      <c r="E33" s="411"/>
      <c r="F33" s="411"/>
      <c r="G33" s="42"/>
    </row>
    <row r="34" spans="1:7" ht="15.75">
      <c r="A34" s="420" t="s">
        <v>187</v>
      </c>
      <c r="B34" s="421"/>
      <c r="C34" s="54"/>
      <c r="D34" s="18"/>
      <c r="E34" s="144"/>
      <c r="F34" s="144"/>
      <c r="G34" s="18"/>
    </row>
    <row r="35" spans="1:7" ht="15.75">
      <c r="A35" s="420"/>
      <c r="B35" s="420"/>
      <c r="C35" s="18"/>
      <c r="D35" s="42"/>
      <c r="E35" s="276"/>
      <c r="F35" s="42"/>
      <c r="G35" s="42"/>
    </row>
    <row r="36" spans="1:7" ht="15.75">
      <c r="A36" s="422"/>
      <c r="B36" s="420"/>
      <c r="C36" s="17"/>
      <c r="D36" s="23"/>
      <c r="E36" s="145"/>
      <c r="F36" s="18"/>
      <c r="G36" s="18"/>
    </row>
    <row r="37" spans="1:7" ht="15.75">
      <c r="A37" s="21"/>
      <c r="B37" s="71"/>
      <c r="C37" s="71"/>
      <c r="D37" s="410"/>
      <c r="E37" s="410"/>
      <c r="F37" s="146"/>
      <c r="G37" s="146"/>
    </row>
    <row r="38" spans="1:7" ht="15.75">
      <c r="A38" s="21"/>
      <c r="B38" s="102"/>
      <c r="C38" s="71"/>
      <c r="D38" s="145"/>
      <c r="E38" s="145"/>
      <c r="F38" s="54"/>
      <c r="G38" s="54"/>
    </row>
    <row r="39" spans="1:7" ht="15.75">
      <c r="A39" s="21"/>
      <c r="B39" s="71"/>
      <c r="C39" s="71"/>
      <c r="D39" s="410"/>
      <c r="E39" s="410"/>
      <c r="F39" s="146"/>
      <c r="G39" s="146"/>
    </row>
    <row r="40" spans="1:7" ht="15.75">
      <c r="A40" s="71"/>
      <c r="B40" s="71"/>
      <c r="C40" s="71"/>
      <c r="D40" s="54"/>
      <c r="E40" s="54"/>
      <c r="F40" s="54"/>
      <c r="G40" s="54"/>
    </row>
    <row r="41" spans="1:7" ht="15.75">
      <c r="A41" s="17" t="s">
        <v>400</v>
      </c>
      <c r="B41" s="18"/>
      <c r="C41" s="17">
        <f>G3-1</f>
        <v>2011</v>
      </c>
      <c r="D41" s="42"/>
      <c r="E41" s="42"/>
      <c r="F41" s="146"/>
      <c r="G41" s="146"/>
    </row>
    <row r="42" spans="1:7" ht="15.75">
      <c r="A42" s="145"/>
      <c r="B42" s="71"/>
      <c r="C42" s="17"/>
      <c r="D42" s="18"/>
      <c r="E42" s="18"/>
      <c r="F42" s="26"/>
      <c r="G42" s="26"/>
    </row>
    <row r="43" spans="1:7" ht="15.75">
      <c r="A43" s="596"/>
      <c r="B43" s="597"/>
      <c r="C43" s="18"/>
      <c r="D43" s="42"/>
      <c r="E43" s="42"/>
      <c r="F43" s="42"/>
      <c r="G43" s="42"/>
    </row>
    <row r="44" spans="1:7" ht="15.75">
      <c r="A44" s="26" t="s">
        <v>233</v>
      </c>
      <c r="B44" s="26"/>
      <c r="C44" s="18"/>
      <c r="D44" s="598" t="s">
        <v>232</v>
      </c>
      <c r="E44" s="599"/>
      <c r="F44" s="599"/>
      <c r="G44" s="599"/>
    </row>
    <row r="45" spans="1:7" ht="15.75">
      <c r="A45" s="600"/>
      <c r="B45" s="600"/>
      <c r="C45" s="600"/>
      <c r="D45" s="600"/>
      <c r="E45" s="600"/>
      <c r="F45" s="600"/>
      <c r="G45" s="600"/>
    </row>
    <row r="46" spans="1:7" ht="15.75">
      <c r="A46" s="601"/>
      <c r="B46" s="601"/>
      <c r="C46" s="601"/>
      <c r="D46" s="601"/>
      <c r="E46" s="601"/>
      <c r="F46" s="601"/>
      <c r="G46" s="601"/>
    </row>
    <row r="47" spans="1:7" ht="15.75">
      <c r="A47" s="16"/>
      <c r="B47" s="16"/>
      <c r="C47" s="16"/>
      <c r="D47" s="16"/>
      <c r="E47" s="16"/>
      <c r="F47" s="16"/>
      <c r="G47" s="587"/>
    </row>
    <row r="48" spans="1:7" ht="15.75">
      <c r="A48" s="16"/>
      <c r="B48" s="16"/>
      <c r="C48" s="16"/>
      <c r="D48" s="16"/>
      <c r="E48" s="16"/>
      <c r="F48" s="16"/>
      <c r="G48" s="587"/>
    </row>
    <row r="49" spans="1:7" ht="15.75">
      <c r="A49" s="16"/>
      <c r="B49" s="16"/>
      <c r="C49" s="16"/>
      <c r="D49" s="16"/>
      <c r="E49" s="16"/>
      <c r="F49" s="16"/>
      <c r="G49" s="587"/>
    </row>
    <row r="50" spans="1:7" ht="15.75">
      <c r="A50" s="16"/>
      <c r="B50" s="16"/>
      <c r="C50" s="16"/>
      <c r="D50" s="16"/>
      <c r="E50" s="16"/>
      <c r="F50" s="16"/>
      <c r="G50" s="587"/>
    </row>
    <row r="51" spans="1:7" ht="15.75">
      <c r="A51" s="16"/>
      <c r="B51" s="16"/>
      <c r="C51" s="16"/>
      <c r="D51" s="147"/>
      <c r="E51" s="16"/>
      <c r="F51" s="16"/>
      <c r="G51" s="587"/>
    </row>
    <row r="52" ht="15.75">
      <c r="G52" s="587"/>
    </row>
    <row r="53" ht="15.75">
      <c r="G53" s="587"/>
    </row>
    <row r="54" ht="15.75">
      <c r="G54" s="587"/>
    </row>
    <row r="55" ht="15.75">
      <c r="G55" s="587"/>
    </row>
    <row r="56" ht="15.75">
      <c r="G56" s="587"/>
    </row>
    <row r="57" ht="15.75">
      <c r="G57" s="587"/>
    </row>
    <row r="58" ht="15.75">
      <c r="G58" s="587"/>
    </row>
    <row r="59" ht="15.75">
      <c r="G59" s="587"/>
    </row>
  </sheetData>
  <sheetProtection sheet="1" objects="1" scenarios="1"/>
  <mergeCells count="16">
    <mergeCell ref="G47:G59"/>
    <mergeCell ref="A2:G2"/>
    <mergeCell ref="A4:G4"/>
    <mergeCell ref="A6:G6"/>
    <mergeCell ref="E13:G13"/>
    <mergeCell ref="F15:F16"/>
    <mergeCell ref="G27:G28"/>
    <mergeCell ref="A43:B43"/>
    <mergeCell ref="D44:G44"/>
    <mergeCell ref="G45:G46"/>
    <mergeCell ref="E45:E46"/>
    <mergeCell ref="F45:F46"/>
    <mergeCell ref="A45:A46"/>
    <mergeCell ref="B45:B46"/>
    <mergeCell ref="C45:C46"/>
    <mergeCell ref="D45:D46"/>
  </mergeCells>
  <printOptions/>
  <pageMargins left="1.25" right="0.5" top="0" bottom="0.5" header="0" footer="0.5"/>
  <pageSetup blackAndWhite="1" fitToHeight="1" fitToWidth="1" horizontalDpi="120" verticalDpi="120" orientation="portrait" scale="82"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48" customWidth="1"/>
    <col min="3" max="3" width="31.296875" style="148" customWidth="1"/>
    <col min="4" max="4" width="2.296875" style="148" customWidth="1"/>
    <col min="5" max="5" width="15.796875" style="148" customWidth="1"/>
    <col min="6" max="6" width="2" style="148" customWidth="1"/>
    <col min="7" max="7" width="15.796875" style="148" customWidth="1"/>
    <col min="8" max="8" width="1.8984375" style="148" customWidth="1"/>
    <col min="9" max="9" width="1.796875" style="148" customWidth="1"/>
    <col min="10" max="10" width="15.796875" style="148" customWidth="1"/>
    <col min="11" max="16384" width="8.8984375" style="148" customWidth="1"/>
  </cols>
  <sheetData>
    <row r="1" spans="1:10" ht="15.75" customHeight="1">
      <c r="A1" s="18"/>
      <c r="B1" s="18"/>
      <c r="C1" s="18" t="str">
        <f>inputPrYr!D3</f>
        <v>N. Centropolis Fire</v>
      </c>
      <c r="D1" s="18"/>
      <c r="E1" s="18"/>
      <c r="F1" s="18"/>
      <c r="G1" s="18"/>
      <c r="H1" s="18"/>
      <c r="I1" s="18"/>
      <c r="J1" s="18">
        <f>inputPrYr!D6</f>
        <v>2012</v>
      </c>
    </row>
    <row r="2" spans="1:10" ht="15.75" customHeight="1">
      <c r="A2" s="18"/>
      <c r="B2" s="18"/>
      <c r="C2" s="18" t="str">
        <f>inputPrYr!D4</f>
        <v>Franklin County</v>
      </c>
      <c r="D2" s="18"/>
      <c r="E2" s="18"/>
      <c r="F2" s="18"/>
      <c r="G2" s="18"/>
      <c r="H2" s="18"/>
      <c r="I2" s="18"/>
      <c r="J2" s="18"/>
    </row>
    <row r="3" spans="1:10" ht="15.75">
      <c r="A3" s="573" t="str">
        <f>CONCATENATE("Computation to Determine Limit for ",J1,"")</f>
        <v>Computation to Determine Limit for 2012</v>
      </c>
      <c r="B3" s="588"/>
      <c r="C3" s="588"/>
      <c r="D3" s="588"/>
      <c r="E3" s="588"/>
      <c r="F3" s="588"/>
      <c r="G3" s="588"/>
      <c r="H3" s="588"/>
      <c r="I3" s="588"/>
      <c r="J3" s="588"/>
    </row>
    <row r="4" spans="1:10" ht="15.75">
      <c r="A4" s="18"/>
      <c r="B4" s="18"/>
      <c r="C4" s="18"/>
      <c r="D4" s="18"/>
      <c r="E4" s="588"/>
      <c r="F4" s="588"/>
      <c r="G4" s="588"/>
      <c r="H4" s="99"/>
      <c r="I4" s="18"/>
      <c r="J4" s="149" t="s">
        <v>292</v>
      </c>
    </row>
    <row r="5" spans="1:10" ht="15.75">
      <c r="A5" s="150" t="s">
        <v>293</v>
      </c>
      <c r="B5" s="18" t="str">
        <f>CONCATENATE("Total Tax Levy Amount in ",J1-1," Budget")</f>
        <v>Total Tax Levy Amount in 2011 Budget</v>
      </c>
      <c r="C5" s="18"/>
      <c r="D5" s="18"/>
      <c r="E5" s="39"/>
      <c r="F5" s="39"/>
      <c r="G5" s="39"/>
      <c r="H5" s="151" t="s">
        <v>294</v>
      </c>
      <c r="I5" s="39" t="s">
        <v>295</v>
      </c>
      <c r="J5" s="382">
        <f>inputPrYr!E24</f>
        <v>8622</v>
      </c>
    </row>
    <row r="6" spans="1:10" ht="15.75">
      <c r="A6" s="150" t="s">
        <v>296</v>
      </c>
      <c r="B6" s="18" t="str">
        <f>CONCATENATE("Debt Service Levy in ",J1-1," Budget")</f>
        <v>Debt Service Levy in 2011 Budget</v>
      </c>
      <c r="C6" s="18"/>
      <c r="D6" s="18"/>
      <c r="E6" s="39"/>
      <c r="F6" s="39"/>
      <c r="G6" s="39"/>
      <c r="H6" s="151" t="s">
        <v>297</v>
      </c>
      <c r="I6" s="39" t="s">
        <v>295</v>
      </c>
      <c r="J6" s="152">
        <f>inputPrYr!E20</f>
        <v>0</v>
      </c>
    </row>
    <row r="7" spans="1:10" ht="15.75">
      <c r="A7" s="150" t="s">
        <v>321</v>
      </c>
      <c r="B7" s="27" t="s">
        <v>315</v>
      </c>
      <c r="C7" s="18"/>
      <c r="D7" s="18"/>
      <c r="E7" s="39"/>
      <c r="F7" s="39"/>
      <c r="G7" s="39"/>
      <c r="H7" s="39"/>
      <c r="I7" s="39" t="s">
        <v>295</v>
      </c>
      <c r="J7" s="43">
        <f>J5-J6</f>
        <v>8622</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0" t="s">
        <v>298</v>
      </c>
      <c r="B11" s="27" t="str">
        <f>CONCATENATE("New Improvements for ",J1-1,":")</f>
        <v>New Improvements for 2011:</v>
      </c>
      <c r="C11" s="18"/>
      <c r="D11" s="18"/>
      <c r="E11" s="151"/>
      <c r="F11" s="151" t="s">
        <v>294</v>
      </c>
      <c r="G11" s="153">
        <f>inputOth!E8</f>
        <v>29309</v>
      </c>
      <c r="H11" s="154"/>
      <c r="I11" s="39"/>
      <c r="J11" s="39"/>
    </row>
    <row r="12" spans="1:10" ht="15.75">
      <c r="A12" s="150"/>
      <c r="B12" s="150"/>
      <c r="C12" s="18"/>
      <c r="D12" s="18"/>
      <c r="E12" s="151"/>
      <c r="F12" s="151"/>
      <c r="G12" s="154"/>
      <c r="H12" s="154"/>
      <c r="I12" s="39"/>
      <c r="J12" s="39"/>
    </row>
    <row r="13" spans="1:10" ht="15.75">
      <c r="A13" s="150" t="s">
        <v>299</v>
      </c>
      <c r="B13" s="27" t="str">
        <f>CONCATENATE("Increase in Personal Property for ",J1-1,":")</f>
        <v>Increase in Personal Property for 2011:</v>
      </c>
      <c r="C13" s="18"/>
      <c r="D13" s="18"/>
      <c r="E13" s="151"/>
      <c r="F13" s="151"/>
      <c r="G13" s="154"/>
      <c r="H13" s="154"/>
      <c r="I13" s="39"/>
      <c r="J13" s="39"/>
    </row>
    <row r="14" spans="1:10" ht="15.75">
      <c r="A14" s="18"/>
      <c r="B14" s="18" t="s">
        <v>300</v>
      </c>
      <c r="C14" s="18" t="str">
        <f>CONCATENATE("Personal Property ",J1-1,"")</f>
        <v>Personal Property 2011</v>
      </c>
      <c r="D14" s="150" t="s">
        <v>294</v>
      </c>
      <c r="E14" s="153">
        <f>inputOth!E9</f>
        <v>56919</v>
      </c>
      <c r="F14" s="151"/>
      <c r="G14" s="39"/>
      <c r="H14" s="39"/>
      <c r="I14" s="154"/>
      <c r="J14" s="39"/>
    </row>
    <row r="15" spans="1:10" ht="15.75">
      <c r="A15" s="150"/>
      <c r="B15" s="18" t="s">
        <v>301</v>
      </c>
      <c r="C15" s="18" t="str">
        <f>CONCATENATE("Personal Property ",J1-2,"")</f>
        <v>Personal Property 2010</v>
      </c>
      <c r="D15" s="150" t="s">
        <v>297</v>
      </c>
      <c r="E15" s="43">
        <f>inputOth!E11</f>
        <v>54678</v>
      </c>
      <c r="F15" s="151"/>
      <c r="G15" s="154"/>
      <c r="H15" s="154"/>
      <c r="I15" s="39"/>
      <c r="J15" s="39"/>
    </row>
    <row r="16" spans="1:10" ht="15.75">
      <c r="A16" s="150"/>
      <c r="B16" s="18" t="s">
        <v>302</v>
      </c>
      <c r="C16" s="18" t="s">
        <v>316</v>
      </c>
      <c r="D16" s="18"/>
      <c r="E16" s="39"/>
      <c r="F16" s="39" t="s">
        <v>294</v>
      </c>
      <c r="G16" s="153">
        <f>IF(E14&gt;E15,E14-E15,0)</f>
        <v>2241</v>
      </c>
      <c r="H16" s="154"/>
      <c r="I16" s="39"/>
      <c r="J16" s="39"/>
    </row>
    <row r="17" spans="1:10" ht="15.75">
      <c r="A17" s="150"/>
      <c r="B17" s="150"/>
      <c r="C17" s="18"/>
      <c r="D17" s="18"/>
      <c r="E17" s="39"/>
      <c r="F17" s="39"/>
      <c r="G17" s="154" t="s">
        <v>310</v>
      </c>
      <c r="H17" s="154"/>
      <c r="I17" s="39"/>
      <c r="J17" s="39"/>
    </row>
    <row r="18" spans="1:10" ht="15.75">
      <c r="A18" s="150" t="s">
        <v>303</v>
      </c>
      <c r="B18" s="27" t="str">
        <f>CONCATENATE("Valuation of Property that has Changed in Use during ",J1-1,":")</f>
        <v>Valuation of Property that has Changed in Use during 2011:</v>
      </c>
      <c r="C18" s="18"/>
      <c r="D18" s="150"/>
      <c r="E18" s="39"/>
      <c r="F18" s="39"/>
      <c r="G18" s="39">
        <f>inputOth!E10</f>
        <v>17132</v>
      </c>
      <c r="H18" s="39"/>
      <c r="I18" s="39"/>
      <c r="J18" s="39"/>
    </row>
    <row r="19" spans="1:10" ht="15.75">
      <c r="A19" s="18" t="s">
        <v>221</v>
      </c>
      <c r="B19" s="18"/>
      <c r="C19" s="18"/>
      <c r="D19" s="18"/>
      <c r="E19" s="154"/>
      <c r="F19" s="39"/>
      <c r="G19" s="155"/>
      <c r="H19" s="154"/>
      <c r="I19" s="39"/>
      <c r="J19" s="39"/>
    </row>
    <row r="20" spans="1:10" ht="15.75">
      <c r="A20" s="150" t="s">
        <v>304</v>
      </c>
      <c r="B20" s="27" t="s">
        <v>317</v>
      </c>
      <c r="C20" s="18"/>
      <c r="D20" s="150"/>
      <c r="E20" s="39"/>
      <c r="F20" s="39"/>
      <c r="G20" s="153">
        <f>G11+G16+G18</f>
        <v>48682</v>
      </c>
      <c r="H20" s="154"/>
      <c r="I20" s="39"/>
      <c r="J20" s="39"/>
    </row>
    <row r="21" spans="1:10" ht="15.75">
      <c r="A21" s="150"/>
      <c r="B21" s="150"/>
      <c r="C21" s="27"/>
      <c r="D21" s="18"/>
      <c r="E21" s="39"/>
      <c r="F21" s="39"/>
      <c r="G21" s="154"/>
      <c r="H21" s="154"/>
      <c r="I21" s="39"/>
      <c r="J21" s="39"/>
    </row>
    <row r="22" spans="1:10" ht="15.75">
      <c r="A22" s="150" t="s">
        <v>305</v>
      </c>
      <c r="B22" s="18" t="str">
        <f>CONCATENATE("Total Estimated Valuation July, 1,",J1-1,"")</f>
        <v>Total Estimated Valuation July, 1,2011</v>
      </c>
      <c r="C22" s="18"/>
      <c r="D22" s="18"/>
      <c r="E22" s="153">
        <f>inputOth!E7</f>
        <v>4147229</v>
      </c>
      <c r="F22" s="39"/>
      <c r="G22" s="39"/>
      <c r="H22" s="39"/>
      <c r="I22" s="151"/>
      <c r="J22" s="39"/>
    </row>
    <row r="23" spans="1:10" ht="15.75">
      <c r="A23" s="150"/>
      <c r="B23" s="150"/>
      <c r="C23" s="18"/>
      <c r="D23" s="18"/>
      <c r="E23" s="154"/>
      <c r="F23" s="39"/>
      <c r="G23" s="39"/>
      <c r="H23" s="39"/>
      <c r="I23" s="151"/>
      <c r="J23" s="39"/>
    </row>
    <row r="24" spans="1:10" ht="15.75">
      <c r="A24" s="150" t="s">
        <v>306</v>
      </c>
      <c r="B24" s="27" t="s">
        <v>318</v>
      </c>
      <c r="C24" s="18"/>
      <c r="D24" s="18"/>
      <c r="E24" s="39"/>
      <c r="F24" s="39"/>
      <c r="G24" s="153">
        <f>E22-G20</f>
        <v>4098547</v>
      </c>
      <c r="H24" s="154"/>
      <c r="I24" s="151"/>
      <c r="J24" s="39"/>
    </row>
    <row r="25" spans="1:10" ht="15.75">
      <c r="A25" s="150"/>
      <c r="B25" s="150"/>
      <c r="C25" s="27"/>
      <c r="D25" s="18"/>
      <c r="E25" s="39"/>
      <c r="F25" s="39"/>
      <c r="G25" s="155"/>
      <c r="H25" s="154"/>
      <c r="I25" s="151"/>
      <c r="J25" s="39"/>
    </row>
    <row r="26" spans="1:10" ht="15.75">
      <c r="A26" s="150" t="s">
        <v>307</v>
      </c>
      <c r="B26" s="18" t="s">
        <v>319</v>
      </c>
      <c r="C26" s="18"/>
      <c r="D26" s="18"/>
      <c r="E26" s="18"/>
      <c r="F26" s="18"/>
      <c r="G26" s="156">
        <f>IF(G20&gt;0,G20/G24,0)</f>
        <v>0.011877867937100635</v>
      </c>
      <c r="H26" s="71"/>
      <c r="I26" s="18"/>
      <c r="J26" s="18"/>
    </row>
    <row r="27" spans="1:10" ht="15.75">
      <c r="A27" s="150"/>
      <c r="B27" s="150"/>
      <c r="C27" s="18"/>
      <c r="D27" s="18"/>
      <c r="E27" s="18"/>
      <c r="F27" s="18"/>
      <c r="G27" s="71"/>
      <c r="H27" s="71"/>
      <c r="I27" s="18"/>
      <c r="J27" s="18"/>
    </row>
    <row r="28" spans="1:10" ht="15.75">
      <c r="A28" s="150" t="s">
        <v>308</v>
      </c>
      <c r="B28" s="18" t="s">
        <v>320</v>
      </c>
      <c r="C28" s="18"/>
      <c r="D28" s="18"/>
      <c r="E28" s="18"/>
      <c r="F28" s="18"/>
      <c r="G28" s="71"/>
      <c r="H28" s="157" t="s">
        <v>294</v>
      </c>
      <c r="I28" s="18" t="s">
        <v>295</v>
      </c>
      <c r="J28" s="153">
        <f>ROUND(G26*J7,0)</f>
        <v>102</v>
      </c>
    </row>
    <row r="29" spans="1:10" ht="15.75">
      <c r="A29" s="150"/>
      <c r="B29" s="150"/>
      <c r="C29" s="18"/>
      <c r="D29" s="18"/>
      <c r="E29" s="18"/>
      <c r="F29" s="18"/>
      <c r="G29" s="71"/>
      <c r="H29" s="157"/>
      <c r="I29" s="18"/>
      <c r="J29" s="154"/>
    </row>
    <row r="30" spans="1:10" ht="16.5" thickBot="1">
      <c r="A30" s="150" t="s">
        <v>309</v>
      </c>
      <c r="B30" s="27" t="s">
        <v>325</v>
      </c>
      <c r="C30" s="18"/>
      <c r="D30" s="18"/>
      <c r="E30" s="18"/>
      <c r="F30" s="18"/>
      <c r="G30" s="18"/>
      <c r="H30" s="18"/>
      <c r="I30" s="18" t="s">
        <v>295</v>
      </c>
      <c r="J30" s="158">
        <f>J7+J28</f>
        <v>8724</v>
      </c>
    </row>
    <row r="31" spans="1:10" ht="16.5" thickTop="1">
      <c r="A31" s="150"/>
      <c r="B31" s="27"/>
      <c r="C31" s="18"/>
      <c r="D31" s="18"/>
      <c r="E31" s="18"/>
      <c r="F31" s="18"/>
      <c r="G31" s="18"/>
      <c r="H31" s="18"/>
      <c r="I31" s="18"/>
      <c r="J31" s="18"/>
    </row>
    <row r="32" spans="1:10" ht="15.75">
      <c r="A32" s="150" t="s">
        <v>323</v>
      </c>
      <c r="B32" s="27" t="str">
        <f>CONCATENATE("Debt Service Levy in this ",J1," Budget")</f>
        <v>Debt Service Levy in this 2012 Budget</v>
      </c>
      <c r="C32" s="18"/>
      <c r="D32" s="18"/>
      <c r="E32" s="18"/>
      <c r="F32" s="18"/>
      <c r="G32" s="18"/>
      <c r="H32" s="18"/>
      <c r="I32" s="18"/>
      <c r="J32" s="159">
        <f>DebtService!E61</f>
        <v>0</v>
      </c>
    </row>
    <row r="33" spans="1:10" ht="15.75">
      <c r="A33" s="150"/>
      <c r="B33" s="27"/>
      <c r="C33" s="18"/>
      <c r="D33" s="18"/>
      <c r="E33" s="18"/>
      <c r="F33" s="18"/>
      <c r="G33" s="18"/>
      <c r="H33" s="18"/>
      <c r="I33" s="18"/>
      <c r="J33" s="71"/>
    </row>
    <row r="34" spans="1:10" ht="16.5" thickBot="1">
      <c r="A34" s="150" t="s">
        <v>324</v>
      </c>
      <c r="B34" s="27" t="s">
        <v>326</v>
      </c>
      <c r="C34" s="18"/>
      <c r="D34" s="18"/>
      <c r="E34" s="18"/>
      <c r="F34" s="18"/>
      <c r="G34" s="18"/>
      <c r="H34" s="18"/>
      <c r="I34" s="18"/>
      <c r="J34" s="158">
        <f>J30+J32</f>
        <v>8724</v>
      </c>
    </row>
    <row r="35" spans="1:10" ht="16.5" thickTop="1">
      <c r="A35" s="18"/>
      <c r="B35" s="18"/>
      <c r="C35" s="18"/>
      <c r="D35" s="18"/>
      <c r="E35" s="18"/>
      <c r="F35" s="18"/>
      <c r="G35" s="18"/>
      <c r="H35" s="18"/>
      <c r="I35" s="18"/>
      <c r="J35" s="18"/>
    </row>
    <row r="36" spans="1:10" ht="15.75">
      <c r="A36" s="602" t="str">
        <f>CONCATENATE("If the ",J1," budget includes tax levies exceeding the total on line 14, you must")</f>
        <v>If the 2012 budget includes tax levies exceeding the total on line 14, you must</v>
      </c>
      <c r="B36" s="602"/>
      <c r="C36" s="602"/>
      <c r="D36" s="602"/>
      <c r="E36" s="602"/>
      <c r="F36" s="602"/>
      <c r="G36" s="602"/>
      <c r="H36" s="602"/>
      <c r="I36" s="602"/>
      <c r="J36" s="602"/>
    </row>
    <row r="37" spans="1:10" ht="15.75">
      <c r="A37" s="602" t="s">
        <v>322</v>
      </c>
      <c r="B37" s="602"/>
      <c r="C37" s="602"/>
      <c r="D37" s="602"/>
      <c r="E37" s="602"/>
      <c r="F37" s="602"/>
      <c r="G37" s="602"/>
      <c r="H37" s="602"/>
      <c r="I37" s="602"/>
      <c r="J37" s="602"/>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6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 Centropolis Fire</v>
      </c>
      <c r="C1" s="18"/>
      <c r="D1" s="18"/>
      <c r="E1" s="18"/>
      <c r="F1" s="18"/>
      <c r="G1" s="18"/>
      <c r="H1" s="18"/>
      <c r="I1" s="160"/>
      <c r="J1" s="18"/>
    </row>
    <row r="2" spans="1:10" ht="15.75">
      <c r="A2" s="18"/>
      <c r="B2" s="18" t="str">
        <f>inputPrYr!D4</f>
        <v>Franklin County</v>
      </c>
      <c r="C2" s="18"/>
      <c r="D2" s="18"/>
      <c r="E2" s="18"/>
      <c r="F2" s="18"/>
      <c r="G2" s="18"/>
      <c r="H2" s="18"/>
      <c r="I2" s="140"/>
      <c r="J2" s="18">
        <f>inputPrYr!D6</f>
        <v>2012</v>
      </c>
    </row>
    <row r="3" spans="1:10" ht="15.75">
      <c r="A3" s="18"/>
      <c r="B3" s="18"/>
      <c r="C3" s="161"/>
      <c r="D3" s="161"/>
      <c r="E3" s="161"/>
      <c r="F3" s="161"/>
      <c r="G3" s="161"/>
      <c r="H3" s="161"/>
      <c r="I3" s="161"/>
      <c r="J3" s="18"/>
    </row>
    <row r="4" spans="1:10" ht="15.75">
      <c r="A4" s="54"/>
      <c r="B4" s="18"/>
      <c r="C4" s="18"/>
      <c r="D4" s="18"/>
      <c r="E4" s="18"/>
      <c r="F4" s="18"/>
      <c r="G4" s="18"/>
      <c r="H4" s="18"/>
      <c r="I4" s="161"/>
      <c r="J4" s="18"/>
    </row>
    <row r="5" spans="1:10" ht="15.75">
      <c r="A5" s="54"/>
      <c r="B5" s="18"/>
      <c r="C5" s="26"/>
      <c r="D5" s="26"/>
      <c r="E5" s="26"/>
      <c r="F5" s="18"/>
      <c r="G5" s="18"/>
      <c r="H5" s="18"/>
      <c r="I5" s="18"/>
      <c r="J5" s="18"/>
    </row>
    <row r="6" spans="1:10" ht="15.75">
      <c r="A6" s="54"/>
      <c r="B6" s="603" t="s">
        <v>437</v>
      </c>
      <c r="C6" s="603"/>
      <c r="D6" s="603"/>
      <c r="E6" s="603"/>
      <c r="F6" s="603"/>
      <c r="G6" s="18"/>
      <c r="H6" s="18"/>
      <c r="I6" s="18"/>
      <c r="J6" s="18"/>
    </row>
    <row r="7" spans="1:10" ht="15.75">
      <c r="A7" s="54"/>
      <c r="B7" s="162"/>
      <c r="C7" s="162"/>
      <c r="D7" s="162"/>
      <c r="E7" s="162"/>
      <c r="F7" s="162"/>
      <c r="G7" s="18"/>
      <c r="H7" s="18"/>
      <c r="I7" s="18"/>
      <c r="J7" s="18"/>
    </row>
    <row r="8" spans="1:10" ht="15.75">
      <c r="A8" s="18"/>
      <c r="B8" s="18"/>
      <c r="C8" s="18"/>
      <c r="D8" s="18"/>
      <c r="E8" s="18"/>
      <c r="F8" s="18"/>
      <c r="G8" s="18"/>
      <c r="H8" s="18"/>
      <c r="I8" s="18"/>
      <c r="J8" s="18"/>
    </row>
    <row r="9" spans="1:10" ht="15.75">
      <c r="A9" s="18"/>
      <c r="B9" s="606" t="str">
        <f>CONCATENATE("",J2-1,"                    Budgeted Funds")</f>
        <v>2011                    Budgeted Funds</v>
      </c>
      <c r="C9" s="604" t="str">
        <f>CONCATENATE("Tax Levy Amount in ",J2-2," Budget")</f>
        <v>Tax Levy Amount in 2010 Budget</v>
      </c>
      <c r="D9" s="590" t="str">
        <f>CONCATENATE("Allocation for Year ",J2,"")</f>
        <v>Allocation for Year 2012</v>
      </c>
      <c r="E9" s="607"/>
      <c r="F9" s="607"/>
      <c r="G9" s="592"/>
      <c r="H9" s="18"/>
      <c r="I9" s="18"/>
      <c r="J9" s="18"/>
    </row>
    <row r="10" spans="1:10" ht="15.75">
      <c r="A10" s="18"/>
      <c r="B10" s="605"/>
      <c r="C10" s="605"/>
      <c r="D10" s="116" t="s">
        <v>248</v>
      </c>
      <c r="E10" s="116" t="s">
        <v>249</v>
      </c>
      <c r="F10" s="116" t="s">
        <v>289</v>
      </c>
      <c r="G10" s="113" t="s">
        <v>363</v>
      </c>
      <c r="H10" s="18"/>
      <c r="I10" s="18"/>
      <c r="J10" s="18"/>
    </row>
    <row r="11" spans="1:10" ht="15.75">
      <c r="A11" s="18"/>
      <c r="B11" s="38" t="str">
        <f>inputPrYr!B19</f>
        <v>General</v>
      </c>
      <c r="C11" s="126">
        <f>inputPrYr!E19</f>
        <v>8622</v>
      </c>
      <c r="D11" s="126">
        <f>IF(E17=0,0,E17-D12-D13-D14)</f>
        <v>1685</v>
      </c>
      <c r="E11" s="126">
        <f>IF(E19=0,0,E19-E12-E13-E14)</f>
        <v>36</v>
      </c>
      <c r="F11" s="126">
        <f>IF(E21=0,0,E21-F12-F13-F14)</f>
        <v>69</v>
      </c>
      <c r="G11" s="126">
        <f>IF(E23=0,0,E23-G12-G13-G14)</f>
        <v>0</v>
      </c>
      <c r="H11" s="18"/>
      <c r="I11" s="18"/>
      <c r="J11" s="18"/>
    </row>
    <row r="12" spans="1:10" ht="15.75">
      <c r="A12" s="18"/>
      <c r="B12" s="38" t="str">
        <f>inputPrYr!B20</f>
        <v>Debt Service</v>
      </c>
      <c r="C12" s="126">
        <f>inputPrYr!E20</f>
        <v>0</v>
      </c>
      <c r="D12" s="126">
        <f>IF($E$17=0,0,ROUND(C12*$C$25,0))</f>
        <v>0</v>
      </c>
      <c r="E12" s="126">
        <f>IF($E$19=0,0,ROUND(C12*$D$27,0))</f>
        <v>0</v>
      </c>
      <c r="F12" s="126">
        <f>IF($E21=0,0,ROUND(C12*$E$29,0))</f>
        <v>0</v>
      </c>
      <c r="G12" s="126">
        <f>IF($E23=0,0,ROUND(C12*$F$31,0))</f>
        <v>0</v>
      </c>
      <c r="H12" s="18"/>
      <c r="I12" s="18"/>
      <c r="J12" s="18"/>
    </row>
    <row r="13" spans="1:10" ht="15.75">
      <c r="A13" s="18"/>
      <c r="B13" s="38" t="str">
        <f>IF(inputPrYr!$B$22&gt;"  ",inputPrYr!$B$22,"  ")</f>
        <v>  </v>
      </c>
      <c r="C13" s="126">
        <f>inputPrYr!E22</f>
        <v>0</v>
      </c>
      <c r="D13" s="126">
        <f>IF($E$17=0,0,ROUND(C13*$C$25,0))</f>
        <v>0</v>
      </c>
      <c r="E13" s="126">
        <f>IF($E$19=0,0,ROUND(C13*$D$27,0))</f>
        <v>0</v>
      </c>
      <c r="F13" s="126">
        <f>IF($E21=0,0,ROUND(C13*$E$29,0))</f>
        <v>0</v>
      </c>
      <c r="G13" s="126">
        <f>IF($E23=0,0,ROUND(C13*$F$31,0))</f>
        <v>0</v>
      </c>
      <c r="H13" s="101"/>
      <c r="I13" s="101"/>
      <c r="J13" s="18"/>
    </row>
    <row r="14" spans="1:10" ht="15.75">
      <c r="A14" s="18"/>
      <c r="B14" s="38" t="str">
        <f>IF(inputPrYr!$B$23&gt;"  ",inputPrYr!$B$23,"  ")</f>
        <v>  </v>
      </c>
      <c r="C14" s="126">
        <f>inputPrYr!E23</f>
        <v>0</v>
      </c>
      <c r="D14" s="126">
        <f>IF($E$17=0,0,ROUND(C14*$C$25,0))</f>
        <v>0</v>
      </c>
      <c r="E14" s="126">
        <f>IF($E$19=0,0,ROUND(C14*$D$27,0))</f>
        <v>0</v>
      </c>
      <c r="F14" s="126">
        <f>IF($E21=0,0,ROUND(C14*$E$29,0))</f>
        <v>0</v>
      </c>
      <c r="G14" s="126">
        <f>IF($E23=0,0,ROUND(C14*$F$31,0))</f>
        <v>0</v>
      </c>
      <c r="H14" s="18"/>
      <c r="I14" s="18"/>
      <c r="J14" s="18"/>
    </row>
    <row r="15" spans="1:10" ht="16.5" thickBot="1">
      <c r="A15" s="18"/>
      <c r="B15" s="35" t="s">
        <v>216</v>
      </c>
      <c r="C15" s="132">
        <f>SUM(C11:C14)</f>
        <v>8622</v>
      </c>
      <c r="D15" s="132">
        <f>SUM(D11:D14)</f>
        <v>1685</v>
      </c>
      <c r="E15" s="132">
        <f>SUM(E11:E14)</f>
        <v>36</v>
      </c>
      <c r="F15" s="132">
        <f>SUM(F11:F14)</f>
        <v>69</v>
      </c>
      <c r="G15" s="131">
        <f>SUM(G11:G14)</f>
        <v>0</v>
      </c>
      <c r="H15" s="18"/>
      <c r="I15" s="18"/>
      <c r="J15" s="18"/>
    </row>
    <row r="16" spans="1:10" ht="16.5" thickTop="1">
      <c r="A16" s="18"/>
      <c r="B16" s="18"/>
      <c r="C16" s="18"/>
      <c r="D16" s="18"/>
      <c r="E16" s="18"/>
      <c r="F16" s="18"/>
      <c r="G16" s="18"/>
      <c r="H16" s="18"/>
      <c r="I16" s="18"/>
      <c r="J16" s="18"/>
    </row>
    <row r="17" spans="1:10" ht="15.75">
      <c r="A17" s="18"/>
      <c r="B17" s="17" t="s">
        <v>250</v>
      </c>
      <c r="C17" s="18"/>
      <c r="D17" s="18"/>
      <c r="E17" s="164">
        <f>inputOth!E27</f>
        <v>1685</v>
      </c>
      <c r="F17" s="18"/>
      <c r="G17" s="18"/>
      <c r="H17" s="18"/>
      <c r="I17" s="18"/>
      <c r="J17" s="18"/>
    </row>
    <row r="18" spans="1:10" ht="15.75">
      <c r="A18" s="18"/>
      <c r="B18" s="18"/>
      <c r="C18" s="18"/>
      <c r="D18" s="161"/>
      <c r="E18" s="161"/>
      <c r="F18" s="18"/>
      <c r="G18" s="18"/>
      <c r="H18" s="18"/>
      <c r="I18" s="18"/>
      <c r="J18" s="18"/>
    </row>
    <row r="19" spans="1:10" ht="15.75">
      <c r="A19" s="18"/>
      <c r="B19" s="17" t="s">
        <v>251</v>
      </c>
      <c r="C19" s="18"/>
      <c r="D19" s="161"/>
      <c r="E19" s="164">
        <f>inputOth!E28</f>
        <v>36</v>
      </c>
      <c r="F19" s="18"/>
      <c r="G19" s="18"/>
      <c r="H19" s="18"/>
      <c r="I19" s="18"/>
      <c r="J19" s="18"/>
    </row>
    <row r="20" spans="1:10" ht="15.75">
      <c r="A20" s="18"/>
      <c r="B20" s="18"/>
      <c r="C20" s="18"/>
      <c r="D20" s="18"/>
      <c r="E20" s="18"/>
      <c r="F20" s="18"/>
      <c r="G20" s="18"/>
      <c r="H20" s="18"/>
      <c r="I20" s="18"/>
      <c r="J20" s="18"/>
    </row>
    <row r="21" spans="1:10" ht="15.75">
      <c r="A21" s="18"/>
      <c r="B21" s="17" t="s">
        <v>290</v>
      </c>
      <c r="C21" s="18"/>
      <c r="D21" s="18"/>
      <c r="E21" s="164">
        <f>inputOth!E29</f>
        <v>69</v>
      </c>
      <c r="F21" s="18"/>
      <c r="G21" s="18"/>
      <c r="H21" s="18"/>
      <c r="I21" s="18"/>
      <c r="J21" s="18"/>
    </row>
    <row r="22" spans="1:10" ht="15.75">
      <c r="A22" s="18"/>
      <c r="B22" s="18"/>
      <c r="C22" s="18"/>
      <c r="D22" s="18"/>
      <c r="E22" s="18"/>
      <c r="F22" s="18"/>
      <c r="G22" s="18"/>
      <c r="H22" s="18"/>
      <c r="I22" s="18"/>
      <c r="J22" s="18"/>
    </row>
    <row r="23" spans="1:10" ht="15.75">
      <c r="A23" s="18"/>
      <c r="B23" s="18" t="s">
        <v>417</v>
      </c>
      <c r="C23" s="18"/>
      <c r="D23" s="18"/>
      <c r="E23" s="153">
        <f>inputOth!E31</f>
        <v>0</v>
      </c>
      <c r="F23" s="18"/>
      <c r="G23" s="18"/>
      <c r="H23" s="18"/>
      <c r="I23" s="18"/>
      <c r="J23" s="18"/>
    </row>
    <row r="24" spans="1:10" ht="15.75">
      <c r="A24" s="18"/>
      <c r="B24" s="18"/>
      <c r="C24" s="18"/>
      <c r="D24" s="18"/>
      <c r="E24" s="18"/>
      <c r="F24" s="18"/>
      <c r="G24" s="18"/>
      <c r="H24" s="18"/>
      <c r="I24" s="18"/>
      <c r="J24" s="18"/>
    </row>
    <row r="25" spans="1:10" ht="15.75">
      <c r="A25" s="18"/>
      <c r="B25" s="140" t="s">
        <v>252</v>
      </c>
      <c r="C25" s="165">
        <f>IF(C15=0,0,E17/C15)</f>
        <v>0.19543029459522152</v>
      </c>
      <c r="D25" s="18"/>
      <c r="E25" s="18"/>
      <c r="F25" s="18"/>
      <c r="G25" s="18"/>
      <c r="H25" s="18"/>
      <c r="I25" s="18"/>
      <c r="J25" s="18"/>
    </row>
    <row r="26" spans="1:10" ht="15.75">
      <c r="A26" s="18"/>
      <c r="B26" s="17"/>
      <c r="C26" s="166"/>
      <c r="D26" s="18"/>
      <c r="E26" s="18"/>
      <c r="F26" s="18"/>
      <c r="G26" s="18"/>
      <c r="H26" s="18"/>
      <c r="I26" s="18"/>
      <c r="J26" s="18"/>
    </row>
    <row r="27" spans="1:10" ht="15.75">
      <c r="A27" s="18"/>
      <c r="B27" s="18"/>
      <c r="C27" s="140" t="s">
        <v>253</v>
      </c>
      <c r="D27" s="167">
        <f>IF(C15=0,0,E19/C15)</f>
        <v>0.0041753653444676405</v>
      </c>
      <c r="E27" s="18"/>
      <c r="F27" s="18"/>
      <c r="G27" s="18"/>
      <c r="H27" s="18"/>
      <c r="I27" s="18"/>
      <c r="J27" s="18"/>
    </row>
    <row r="28" spans="1:10" ht="15.75">
      <c r="A28" s="18"/>
      <c r="B28" s="18"/>
      <c r="C28" s="17"/>
      <c r="D28" s="168"/>
      <c r="E28" s="18"/>
      <c r="F28" s="18"/>
      <c r="G28" s="18"/>
      <c r="H28" s="18"/>
      <c r="I28" s="18"/>
      <c r="J28" s="18"/>
    </row>
    <row r="29" spans="1:10" ht="15.75">
      <c r="A29" s="18"/>
      <c r="B29" s="18"/>
      <c r="C29" s="18"/>
      <c r="D29" s="140" t="s">
        <v>291</v>
      </c>
      <c r="E29" s="167">
        <f>IF(C15=0,0,E21/C15)</f>
        <v>0.008002783576896311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418</v>
      </c>
      <c r="F31" s="16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1"/>
      <c r="B1" s="18"/>
      <c r="C1" s="18"/>
      <c r="D1" s="18"/>
      <c r="E1" s="160"/>
      <c r="F1" s="18">
        <f>inputPrYr!D6</f>
        <v>2012</v>
      </c>
    </row>
    <row r="2" spans="1:6" ht="15.75">
      <c r="A2" s="170" t="str">
        <f>inputPrYr!D3</f>
        <v>N. Centropolis Fire</v>
      </c>
      <c r="B2" s="170"/>
      <c r="C2" s="18"/>
      <c r="D2" s="18"/>
      <c r="E2" s="160"/>
      <c r="F2" s="18"/>
    </row>
    <row r="3" spans="1:6" ht="15.75">
      <c r="A3" s="170" t="str">
        <f>inputPrYr!D4</f>
        <v>Franklin County</v>
      </c>
      <c r="B3" s="170"/>
      <c r="C3" s="18"/>
      <c r="D3" s="18"/>
      <c r="E3" s="160"/>
      <c r="F3" s="18"/>
    </row>
    <row r="4" spans="1:6" ht="15.75">
      <c r="A4" s="161"/>
      <c r="B4" s="18"/>
      <c r="C4" s="18"/>
      <c r="D4" s="18"/>
      <c r="E4" s="160"/>
      <c r="F4" s="18"/>
    </row>
    <row r="5" spans="1:6" ht="15" customHeight="1">
      <c r="A5" s="588" t="s">
        <v>347</v>
      </c>
      <c r="B5" s="588"/>
      <c r="C5" s="588"/>
      <c r="D5" s="588"/>
      <c r="E5" s="588"/>
      <c r="F5" s="588"/>
    </row>
    <row r="6" spans="1:6" ht="14.25" customHeight="1">
      <c r="A6" s="99"/>
      <c r="B6" s="171"/>
      <c r="C6" s="171"/>
      <c r="D6" s="171"/>
      <c r="E6" s="171"/>
      <c r="F6" s="171"/>
    </row>
    <row r="7" spans="1:6" ht="17.25" customHeight="1">
      <c r="A7" s="172" t="s">
        <v>227</v>
      </c>
      <c r="B7" s="172" t="s">
        <v>13</v>
      </c>
      <c r="C7" s="172" t="s">
        <v>254</v>
      </c>
      <c r="D7" s="172" t="s">
        <v>348</v>
      </c>
      <c r="E7" s="172" t="s">
        <v>349</v>
      </c>
      <c r="F7" s="172" t="s">
        <v>364</v>
      </c>
    </row>
    <row r="8" spans="1:6" ht="17.25" customHeight="1">
      <c r="A8" s="173" t="s">
        <v>14</v>
      </c>
      <c r="B8" s="173" t="s">
        <v>15</v>
      </c>
      <c r="C8" s="173" t="s">
        <v>365</v>
      </c>
      <c r="D8" s="173" t="s">
        <v>365</v>
      </c>
      <c r="E8" s="173" t="s">
        <v>365</v>
      </c>
      <c r="F8" s="173" t="s">
        <v>366</v>
      </c>
    </row>
    <row r="9" spans="1:6" s="176" customFormat="1" ht="18" customHeight="1">
      <c r="A9" s="174" t="s">
        <v>367</v>
      </c>
      <c r="B9" s="174" t="s">
        <v>368</v>
      </c>
      <c r="C9" s="175">
        <f>F1-2</f>
        <v>2010</v>
      </c>
      <c r="D9" s="175">
        <f>F1-1</f>
        <v>2011</v>
      </c>
      <c r="E9" s="175">
        <f>F1</f>
        <v>2012</v>
      </c>
      <c r="F9" s="174" t="s">
        <v>369</v>
      </c>
    </row>
    <row r="10" spans="1:6" ht="15" customHeight="1">
      <c r="A10" s="177"/>
      <c r="B10" s="177"/>
      <c r="C10" s="178"/>
      <c r="D10" s="178"/>
      <c r="E10" s="178"/>
      <c r="F10" s="177"/>
    </row>
    <row r="11" spans="1:6" ht="15" customHeight="1">
      <c r="A11" s="48"/>
      <c r="B11" s="48"/>
      <c r="C11" s="142"/>
      <c r="D11" s="142"/>
      <c r="E11" s="142"/>
      <c r="F11" s="48"/>
    </row>
    <row r="12" spans="1:6" ht="15" customHeight="1">
      <c r="A12" s="48"/>
      <c r="B12" s="48"/>
      <c r="C12" s="142"/>
      <c r="D12" s="142"/>
      <c r="E12" s="142"/>
      <c r="F12" s="48"/>
    </row>
    <row r="13" spans="1:6" ht="15" customHeight="1">
      <c r="A13" s="48"/>
      <c r="B13" s="48"/>
      <c r="C13" s="142"/>
      <c r="D13" s="142"/>
      <c r="E13" s="142"/>
      <c r="F13" s="48"/>
    </row>
    <row r="14" spans="1:6" ht="15" customHeight="1">
      <c r="A14" s="48"/>
      <c r="B14" s="48"/>
      <c r="C14" s="142"/>
      <c r="D14" s="142"/>
      <c r="E14" s="142"/>
      <c r="F14" s="48"/>
    </row>
    <row r="15" spans="1:6" ht="15" customHeight="1">
      <c r="A15" s="48"/>
      <c r="B15" s="48"/>
      <c r="C15" s="142"/>
      <c r="D15" s="142"/>
      <c r="E15" s="142"/>
      <c r="F15" s="48"/>
    </row>
    <row r="16" spans="1:6" ht="15" customHeight="1">
      <c r="A16" s="48"/>
      <c r="B16" s="179"/>
      <c r="C16" s="142"/>
      <c r="D16" s="142"/>
      <c r="E16" s="142"/>
      <c r="F16" s="48"/>
    </row>
    <row r="17" spans="1:6" ht="15" customHeight="1">
      <c r="A17" s="48"/>
      <c r="B17" s="48"/>
      <c r="C17" s="142"/>
      <c r="D17" s="142"/>
      <c r="E17" s="142"/>
      <c r="F17" s="48"/>
    </row>
    <row r="18" spans="1:6" ht="15" customHeight="1">
      <c r="A18" s="48"/>
      <c r="B18" s="48"/>
      <c r="C18" s="142"/>
      <c r="D18" s="142"/>
      <c r="E18" s="142"/>
      <c r="F18" s="48"/>
    </row>
    <row r="19" spans="1:6" ht="15" customHeight="1">
      <c r="A19" s="48"/>
      <c r="B19" s="48"/>
      <c r="C19" s="142"/>
      <c r="D19" s="142"/>
      <c r="E19" s="142"/>
      <c r="F19" s="48"/>
    </row>
    <row r="20" spans="1:6" ht="15" customHeight="1">
      <c r="A20" s="48"/>
      <c r="B20" s="48"/>
      <c r="C20" s="142"/>
      <c r="D20" s="142"/>
      <c r="E20" s="142"/>
      <c r="F20" s="48"/>
    </row>
    <row r="21" spans="1:6" ht="15" customHeight="1">
      <c r="A21" s="48"/>
      <c r="B21" s="48"/>
      <c r="C21" s="142"/>
      <c r="D21" s="142"/>
      <c r="E21" s="142"/>
      <c r="F21" s="48"/>
    </row>
    <row r="22" spans="1:6" ht="15" customHeight="1">
      <c r="A22" s="48"/>
      <c r="B22" s="48"/>
      <c r="C22" s="142"/>
      <c r="D22" s="142"/>
      <c r="E22" s="142"/>
      <c r="F22" s="48"/>
    </row>
    <row r="23" spans="1:6" ht="15" customHeight="1">
      <c r="A23" s="48"/>
      <c r="B23" s="48"/>
      <c r="C23" s="142"/>
      <c r="D23" s="142"/>
      <c r="E23" s="142"/>
      <c r="F23" s="48"/>
    </row>
    <row r="24" spans="1:7" ht="15.75">
      <c r="A24" s="32"/>
      <c r="B24" s="180" t="s">
        <v>336</v>
      </c>
      <c r="C24" s="181">
        <f>SUM(C10:C23)</f>
        <v>0</v>
      </c>
      <c r="D24" s="181">
        <f>SUM(D10:D23)</f>
        <v>0</v>
      </c>
      <c r="E24" s="181">
        <f>SUM(E10:E23)</f>
        <v>0</v>
      </c>
      <c r="F24" s="182"/>
      <c r="G24" s="63"/>
    </row>
    <row r="25" spans="1:7" ht="15.75">
      <c r="A25" s="32"/>
      <c r="B25" s="183" t="s">
        <v>12</v>
      </c>
      <c r="C25" s="184"/>
      <c r="D25" s="185"/>
      <c r="E25" s="185"/>
      <c r="F25" s="182"/>
      <c r="G25" s="63"/>
    </row>
    <row r="26" spans="1:7" ht="15.75">
      <c r="A26" s="32"/>
      <c r="B26" s="180" t="s">
        <v>370</v>
      </c>
      <c r="C26" s="181">
        <f>C24</f>
        <v>0</v>
      </c>
      <c r="D26" s="181">
        <f>SUM(D24-D25)</f>
        <v>0</v>
      </c>
      <c r="E26" s="181">
        <f>SUM(E24-E25)</f>
        <v>0</v>
      </c>
      <c r="F26" s="182"/>
      <c r="G26" s="63"/>
    </row>
    <row r="27" spans="1:7" ht="15.75">
      <c r="A27" s="18"/>
      <c r="B27" s="18"/>
      <c r="C27" s="18"/>
      <c r="D27" s="54"/>
      <c r="E27" s="54"/>
      <c r="F27" s="54"/>
      <c r="G27" s="63"/>
    </row>
    <row r="28" spans="1:7" ht="15.75">
      <c r="A28" s="18"/>
      <c r="B28" s="18"/>
      <c r="C28" s="18"/>
      <c r="D28" s="54"/>
      <c r="E28" s="54"/>
      <c r="F28" s="54"/>
      <c r="G28" s="63"/>
    </row>
    <row r="29" spans="1:7" ht="15.75">
      <c r="A29" s="385" t="s">
        <v>16</v>
      </c>
      <c r="B29" s="38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4" t="s">
        <v>514</v>
      </c>
    </row>
    <row r="2" ht="15.75">
      <c r="A2" s="98"/>
    </row>
    <row r="3" ht="47.25">
      <c r="A3" s="335" t="s">
        <v>515</v>
      </c>
    </row>
    <row r="4" ht="15.75">
      <c r="A4" s="336"/>
    </row>
    <row r="5" ht="15.75">
      <c r="A5" s="98"/>
    </row>
    <row r="6" ht="63">
      <c r="A6" s="335" t="s">
        <v>516</v>
      </c>
    </row>
    <row r="7" ht="15.75">
      <c r="A7" s="336"/>
    </row>
    <row r="8" ht="15.75">
      <c r="A8" s="98"/>
    </row>
    <row r="9" ht="47.25">
      <c r="A9" s="335" t="s">
        <v>517</v>
      </c>
    </row>
    <row r="10" ht="15.75">
      <c r="A10" s="336"/>
    </row>
    <row r="11" ht="15.75">
      <c r="A11" s="336"/>
    </row>
    <row r="12" ht="31.5">
      <c r="A12" s="335" t="s">
        <v>518</v>
      </c>
    </row>
    <row r="13" ht="15.75">
      <c r="A13" s="98"/>
    </row>
    <row r="14" ht="15.75">
      <c r="A14" s="98"/>
    </row>
    <row r="15" ht="47.25">
      <c r="A15" s="335" t="s">
        <v>519</v>
      </c>
    </row>
    <row r="16" ht="15.75">
      <c r="A16" s="98"/>
    </row>
    <row r="17" ht="15.75">
      <c r="A17" s="98"/>
    </row>
    <row r="18" ht="63">
      <c r="A18" s="511" t="s">
        <v>122</v>
      </c>
    </row>
    <row r="19" ht="15.75">
      <c r="A19" s="98"/>
    </row>
    <row r="20" ht="15.75">
      <c r="A20" s="98"/>
    </row>
    <row r="21" ht="63">
      <c r="A21" s="357" t="s">
        <v>520</v>
      </c>
    </row>
    <row r="22" ht="15.75">
      <c r="A22" s="336"/>
    </row>
    <row r="23" ht="15.75">
      <c r="A23" s="98"/>
    </row>
    <row r="24" ht="63">
      <c r="A24" s="335" t="s">
        <v>521</v>
      </c>
    </row>
    <row r="25" ht="47.25">
      <c r="A25" s="337" t="s">
        <v>522</v>
      </c>
    </row>
    <row r="26" ht="15.75">
      <c r="A26" s="336"/>
    </row>
    <row r="27" ht="15.75">
      <c r="A27" s="98"/>
    </row>
    <row r="28" ht="63">
      <c r="A28" s="511" t="s">
        <v>123</v>
      </c>
    </row>
    <row r="29" ht="15.75">
      <c r="A29" s="98"/>
    </row>
    <row r="30" ht="15.75">
      <c r="A30" s="98"/>
    </row>
    <row r="31" ht="78.75">
      <c r="A31" s="511" t="s">
        <v>124</v>
      </c>
    </row>
    <row r="32" ht="15.75">
      <c r="A32" s="98"/>
    </row>
    <row r="33" ht="15.75">
      <c r="A33" s="98"/>
    </row>
    <row r="34" ht="47.25">
      <c r="A34" s="512" t="s">
        <v>125</v>
      </c>
    </row>
    <row r="35" ht="15.75">
      <c r="A35" s="98"/>
    </row>
    <row r="36" ht="15.75">
      <c r="A36" s="98"/>
    </row>
    <row r="37" ht="78.75">
      <c r="A37" s="335" t="s">
        <v>523</v>
      </c>
    </row>
    <row r="38" ht="15.75">
      <c r="A38" s="336"/>
    </row>
    <row r="39" ht="15.75">
      <c r="A39" s="336"/>
    </row>
    <row r="40" ht="47.25">
      <c r="A40" s="357" t="s">
        <v>524</v>
      </c>
    </row>
    <row r="41" ht="15.75">
      <c r="A41" s="33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mark handshy</cp:lastModifiedBy>
  <cp:lastPrinted>2011-07-19T15:08:14Z</cp:lastPrinted>
  <dcterms:created xsi:type="dcterms:W3CDTF">1999-08-06T13:59:57Z</dcterms:created>
  <dcterms:modified xsi:type="dcterms:W3CDTF">2011-11-17T14:03:03Z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