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<sst xmlns="http://schemas.openxmlformats.org/spreadsheetml/2006/main" count="1107" uniqueCount="747">
  <si>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</si>
  <si>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</si>
  <si>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</si>
  <si>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</si>
  <si>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</si>
  <si>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</si>
  <si>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</si>
  <si>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</si>
  <si>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</si>
  <si>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</si>
  <si>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</si>
  <si>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</si>
  <si>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</si>
  <si>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</si>
  <si>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</si>
  <si>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</si>
  <si>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</si>
  <si>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</si>
  <si>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</si>
  <si>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</si>
  <si>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</si>
  <si>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</si>
  <si>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</si>
  <si>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</si>
  <si>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</si>
  <si>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</si>
  <si>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</si>
  <si>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</si>
  <si>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</si>
  <si>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</si>
  <si>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</si>
  <si>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</si>
  <si>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</si>
  <si>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</si>
  <si>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</si>
  <si>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</si>
  <si>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</si>
  <si>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</si>
  <si>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</si>
  <si>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</si>
  <si>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</si>
  <si>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</si>
  <si>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</si>
  <si>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</si>
  <si>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</si>
  <si>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</si>
  <si>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</si>
  <si>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</si>
  <si>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</si>
  <si>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</si>
  <si>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</si>
  <si>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</si>
  <si>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</si>
  <si>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</si>
  <si>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</si>
  <si>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</si>
  <si>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</si>
  <si>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</si>
  <si>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</si>
  <si>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</si>
  <si>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</si>
  <si>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</si>
  <si>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</si>
  <si>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</si>
  <si>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</si>
  <si>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</si>
  <si>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</si>
  <si>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</si>
  <si>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</si>
  <si>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</si>
  <si>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</si>
  <si>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</si>
  <si>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</si>
  <si>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</si>
  <si>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</si>
  <si>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</si>
  <si>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</si>
  <si>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</si>
  <si>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</si>
  <si>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</si>
  <si>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</si>
  <si>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</si>
  <si>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</si>
  <si>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</si>
  <si>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</si>
  <si>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</si>
  <si>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</si>
  <si>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</si>
  <si>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</si>
  <si>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</si>
  <si>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</si>
  <si>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</si>
  <si>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</si>
  <si>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</si>
  <si>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</si>
  <si>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</si>
  <si>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</si>
  <si>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</si>
  <si>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</si>
  <si>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</si>
  <si>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</si>
  <si>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</si>
  <si>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</si>
  <si>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</si>
  <si>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</si>
  <si>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</si>
  <si>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</si>
  <si>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</si>
  <si>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</si>
  <si>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</si>
  <si>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</si>
  <si>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</si>
  <si>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</si>
  <si>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</si>
  <si>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</si>
  <si>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</si>
  <si>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</si>
  <si>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</si>
  <si>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</si>
  <si>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</si>
  <si>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</si>
  <si>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</si>
  <si>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</si>
  <si>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</si>
  <si>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</si>
  <si>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</si>
  <si>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</si>
  <si>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</si>
  <si>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</si>
  <si>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</si>
  <si>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</si>
  <si>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</si>
  <si>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</si>
  <si>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</si>
  <si>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</si>
  <si>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</si>
  <si>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</si>
  <si>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</si>
  <si>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</si>
  <si>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</si>
  <si>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</si>
  <si>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</si>
  <si>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</si>
  <si>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</si>
  <si>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</si>
  <si>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</si>
  <si>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</si>
  <si>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</si>
  <si>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</si>
  <si>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</si>
  <si>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</si>
  <si>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</si>
  <si>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</si>
  <si>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</si>
  <si>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</si>
  <si>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</si>
  <si>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</si>
  <si>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</si>
  <si>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</si>
  <si>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</si>
  <si>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</si>
  <si>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</si>
  <si>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</si>
  <si>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</si>
  <si>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</si>
  <si>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</si>
  <si>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</si>
  <si>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</si>
  <si>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</si>
  <si>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</si>
  <si>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</si>
  <si>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</si>
  <si>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</si>
  <si>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</si>
  <si>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</si>
  <si>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</si>
  <si>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</si>
  <si>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</si>
  <si>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</si>
  <si>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</si>
  <si>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</si>
  <si>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</si>
  <si>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</si>
  <si>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</si>
  <si>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</si>
  <si>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</si>
  <si>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</si>
  <si>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</si>
  <si>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</si>
  <si>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</si>
  <si>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</si>
  <si>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</si>
  <si>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</si>
  <si>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</si>
  <si>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</si>
  <si>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</si>
  <si>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</si>
  <si>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</si>
  <si>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</si>
  <si>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</si>
  <si>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</si>
  <si>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</si>
  <si>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</si>
  <si>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</si>
  <si>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</si>
  <si>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</si>
  <si>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</si>
  <si>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</si>
  <si>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</si>
  <si>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</si>
  <si>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</si>
  <si>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</si>
  <si>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</si>
  <si>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</si>
  <si>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</si>
  <si>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</si>
  <si>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</si>
  <si>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</si>
  <si>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</si>
  <si>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</si>
  <si>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</si>
  <si>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</si>
  <si>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</si>
  <si>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</si>
  <si>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</si>
  <si>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</si>
  <si>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</si>
  <si>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</si>
  <si>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</si>
  <si>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</si>
  <si>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</si>
  <si>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</si>
  <si>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</si>
  <si>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</si>
  <si>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</si>
  <si>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</si>
  <si>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</si>
  <si>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</si>
  <si>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</si>
  <si>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</si>
  <si>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</si>
  <si>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</si>
  <si>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</si>
  <si>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</si>
  <si>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</si>
  <si>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</si>
  <si>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</si>
  <si>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</si>
  <si>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</si>
  <si>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</si>
  <si>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</si>
  <si>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</si>
  <si>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</si>
  <si>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</si>
  <si>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</si>
  <si>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</si>
  <si>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</si>
  <si>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</si>
  <si>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</si>
  <si>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</si>
  <si>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</si>
  <si>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</si>
  <si>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</si>
  <si>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</si>
  <si>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</si>
  <si>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</si>
  <si>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</si>
  <si>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</si>
  <si>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</si>
  <si>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</si>
  <si>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</si>
  <si>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</si>
  <si>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</si>
  <si>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</si>
  <si>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</si>
  <si>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</si>
  <si>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</si>
  <si>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</si>
  <si>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</si>
  <si>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</si>
  <si>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</si>
  <si>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</si>
  <si>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</si>
  <si>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</si>
  <si>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</si>
  <si>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</si>
  <si>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</si>
  <si>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</si>
  <si>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</si>
  <si>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</si>
  <si>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</si>
  <si>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</si>
  <si>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</si>
  <si>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</si>
  <si>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</si>
  <si>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</si>
  <si>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</si>
  <si>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</si>
  <si>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</si>
  <si>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</si>
  <si>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</si>
  <si>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</si>
  <si>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</si>
  <si>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</si>
  <si>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</si>
  <si>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</si>
  <si>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</si>
  <si>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</si>
  <si>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</si>
  <si>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</si>
  <si>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</si>
  <si>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</si>
  <si>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</si>
  <si>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</si>
  <si>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</si>
  <si>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</si>
  <si>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</si>
  <si>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</si>
  <si>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</si>
  <si>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</si>
  <si>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</si>
  <si>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</si>
  <si>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</si>
  <si>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</si>
  <si>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</si>
  <si>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</si>
  <si>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</si>
  <si>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</si>
  <si>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</si>
  <si>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</si>
  <si>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</si>
  <si>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</si>
  <si>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</si>
  <si>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</si>
  <si>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</si>
  <si>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</si>
  <si>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</si>
  <si>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</si>
  <si>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</si>
  <si>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</si>
  <si>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</si>
  <si>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</si>
  <si>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</si>
  <si>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</si>
  <si>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</si>
  <si>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</si>
  <si>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</si>
  <si>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</si>
  <si>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</si>
  <si>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</si>
  <si>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</si>
  <si>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</si>
  <si>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</si>
  <si>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</si>
  <si>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</si>
  <si>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</si>
  <si>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</si>
  <si>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</si>
  <si>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</si>
  <si>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</si>
  <si>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</si>
  <si>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</si>
  <si>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</si>
  <si>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</si>
  <si>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</si>
  <si>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</si>
  <si>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</si>
  <si>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</si>
  <si>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</si>
  <si>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</si>
  <si>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</si>
  <si>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</si>
  <si>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</si>
  <si>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</si>
  <si>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</si>
  <si>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</si>
  <si>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</si>
  <si>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</si>
  <si>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</si>
  <si>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</si>
  <si>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</si>
  <si>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</si>
  <si>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</si>
  <si>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</si>
  <si>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</si>
  <si>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</si>
  <si>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</si>
  <si>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</si>
  <si>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</si>
  <si>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</si>
  <si>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</si>
  <si>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</si>
  <si>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</si>
  <si>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</si>
  <si>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</si>
  <si>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</si>
  <si>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</si>
  <si>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</si>
  <si>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</si>
  <si>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</si>
  <si>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</si>
  <si>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</si>
  <si>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</si>
  <si>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</si>
  <si>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</si>
  <si>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</si>
  <si>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</si>
  <si>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</si>
  <si>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</si>
  <si>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</si>
  <si>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</si>
  <si>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</si>
  <si>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</si>
  <si>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</si>
  <si>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</si>
  <si>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</si>
  <si>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</si>
  <si>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</si>
  <si>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</si>
  <si>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</si>
  <si>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</si>
  <si>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</si>
  <si>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</si>
  <si>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</si>
  <si>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</si>
  <si>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</si>
  <si>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</si>
  <si>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</si>
  <si>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</si>
  <si>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</si>
  <si>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</si>
  <si>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</si>
  <si>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</si>
  <si>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</si>
  <si>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</si>
  <si>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</si>
  <si>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</si>
  <si>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</si>
  <si>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</si>
  <si>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</si>
  <si>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</si>
  <si>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</si>
  <si>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</si>
  <si>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</si>
  <si>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</si>
  <si>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</si>
  <si>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</si>
  <si>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</si>
  <si>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</si>
  <si>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</si>
  <si>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</si>
  <si>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</si>
  <si>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</si>
  <si>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</si>
  <si>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</si>
  <si>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</si>
  <si>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</si>
  <si>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</si>
  <si>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</si>
  <si>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</si>
  <si>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</si>
  <si>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</si>
  <si>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</si>
  <si>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</si>
  <si>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</si>
  <si>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</si>
  <si>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</si>
  <si>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</si>
  <si>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</si>
  <si>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</si>
  <si>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</si>
  <si>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</si>
  <si>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</si>
  <si>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</si>
  <si>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</si>
  <si>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</si>
  <si>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</si>
  <si>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</si>
  <si>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</si>
  <si>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</si>
  <si>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</si>
  <si>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</si>
  <si>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</si>
  <si>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</si>
  <si>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</si>
  <si>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</si>
  <si>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</si>
  <si>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</si>
  <si>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</si>
  <si>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</si>
  <si>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</si>
  <si>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</si>
  <si>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</si>
  <si>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</si>
  <si>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</si>
  <si>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</si>
  <si>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</si>
  <si>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</si>
  <si>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</si>
  <si>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</si>
  <si>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</si>
  <si>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</si>
  <si>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</si>
  <si>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</si>
  <si>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</si>
  <si>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</si>
  <si>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</si>
  <si>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</si>
  <si>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</si>
  <si>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</si>
  <si>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</si>
  <si>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</si>
  <si>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</si>
  <si>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</si>
  <si>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</si>
  <si>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</si>
  <si>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</si>
  <si>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</si>
  <si>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</si>
  <si>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</si>
  <si>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</si>
  <si>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</si>
  <si>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</si>
  <si>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</si>
  <si>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</si>
  <si>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</si>
  <si>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</si>
  <si>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</si>
  <si>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</si>
  <si>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</si>
  <si>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</si>
  <si>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</si>
  <si>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</si>
  <si>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</si>
  <si>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</si>
  <si>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</si>
  <si>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</si>
  <si>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</si>
  <si>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</si>
  <si>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</si>
  <si>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</si>
  <si>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</si>
  <si>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</si>
  <si>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</si>
  <si>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</si>
  <si>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</si>
  <si>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</si>
  <si>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</si>
  <si>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</si>
  <si>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</si>
  <si>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</si>
  <si>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</si>
  <si>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</si>
  <si>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</si>
  <si>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</si>
  <si>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</si>
  <si>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</si>
  <si>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</si>
  <si>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</si>
  <si>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</si>
  <si>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</si>
  <si>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</si>
  <si>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</si>
  <si>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</si>
  <si>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</si>
  <si>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</si>
  <si>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</si>
  <si>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</si>
  <si>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</si>
  <si>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</si>
  <si>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</si>
  <si>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</si>
  <si>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</si>
  <si>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</si>
  <si>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</si>
  <si>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</si>
  <si>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</si>
  <si>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</si>
  <si>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</si>
  <si>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</si>
  <si>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</si>
  <si>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</si>
  <si>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</si>
  <si>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</si>
  <si>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</si>
  <si>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</si>
  <si>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r>
      <t>(</t>
    </r>
    <r>
      <rPr>
        <sz val="10"/>
        <rFont val="Times New Roman"/>
        <family val="1"/>
      </rPr>
      <t>Includes Carryover</t>
    </r>
    <r>
      <rPr>
        <sz val="12"/>
        <rFont val="Times New Roman"/>
        <family val="1"/>
      </rPr>
      <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</si>
  <si>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</si>
  <si>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</si>
  <si>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</si>
  <si>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</si>
  <si>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</si>
  <si>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</si>
  <si>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</si>
  <si>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</si>
  <si>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</si>
  <si>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</si>
  <si>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</si>
  <si>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</si>
  <si>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</si>
  <si>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</si>
  <si>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</si>
  <si>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</si>
  <si>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</si>
  <si>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</si>
  <si>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</si>
  <si>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</si>
  <si>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</si>
  <si>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</si>
  <si>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</si>
  <si>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</si>
  <si>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</si>
  <si>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</si>
  <si>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</si>
  <si>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</si>
  <si>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</si>
  <si>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</si>
  <si>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</si>
  <si>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</si>
  <si>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</si>
  <si>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</si>
  <si>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</si>
  <si>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</si>
  <si>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</si>
  <si>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</si>
  <si>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</si>
  <si>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</si>
  <si>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</si>
  <si>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</si>
  <si>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</si>
  <si>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</si>
  <si>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</si>
  <si>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</si>
  <si>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</si>
  <si>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</si>
  <si>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</si>
  <si>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</si>
  <si>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</si>
  <si>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</si>
  <si>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</si>
  <si>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</si>
  <si>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</si>
  <si>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</si>
  <si>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</si>
  <si>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</si>
  <si>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</si>
  <si>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</si>
  <si>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</si>
  <si>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</si>
  <si>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</si>
  <si>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</si>
  <si>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</si>
  <si>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</si>
  <si>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</si>
  <si>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</si>
  <si>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</si>
  <si>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</si>
  <si>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</si>
  <si>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</si>
  <si>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</si>
  <si>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</si>
  <si>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</si>
  <si>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</si>
  <si>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</si>
  <si>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</si>
  <si>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</si>
  <si>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</si>
  <si>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</si>
  <si>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</si>
  <si>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</si>
  <si>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</si>
  <si>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</si>
  <si>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</si>
  <si>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</si>
  <si>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</si>
  <si>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</si>
  <si>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</si>
  <si>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</si>
  <si>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</si>
  <si>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</si>
  <si>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</si>
  <si>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</si>
  <si>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</si>
  <si>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</si>
  <si>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</si>
  <si>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</si>
  <si>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</si>
  <si>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</si>
  <si>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</si>
  <si>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</si>
  <si>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</si>
  <si>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</si>
  <si>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</si>
  <si>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</si>
  <si>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</si>
  <si>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</si>
  <si>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</si>
  <si>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</si>
  <si>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</si>
  <si>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</si>
  <si>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</si>
  <si>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</si>
  <si>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</si>
  <si>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</si>
  <si>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</si>
  <si>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</si>
  <si>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</si>
  <si>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</si>
  <si>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</si>
  <si>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</si>
  <si>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</si>
  <si>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</si>
  <si>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</si>
  <si>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</si>
  <si>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</si>
  <si>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</si>
  <si>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</si>
  <si>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</si>
  <si>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</si>
  <si>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</si>
  <si>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</si>
  <si>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</si>
  <si>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</si>
  <si>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</si>
  <si>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</si>
  <si>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</si>
  <si>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</si>
  <si>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</si>
  <si>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</si>
  <si>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</si>
  <si>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</si>
  <si>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</si>
  <si>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</si>
  <si>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</si>
  <si>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</si>
  <si>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</si>
  <si>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</si>
  <si>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</si>
  <si>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</si>
  <si>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</si>
  <si>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</si>
  <si>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</si>
  <si>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Mowing</t>
  </si>
  <si>
    <t>Pleasant Ridge Cem 14</t>
  </si>
  <si>
    <t>Clay County</t>
  </si>
  <si>
    <t>Bank Error- Money Deposited in wrong</t>
  </si>
  <si>
    <t>Cemetery account</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</si>
</sst>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11">
      <alignment/>
      <protection/>
    </xf>
    <xf numFmtId="0" fontId="7" fillId="0" borderId="0" xfId="411" applyFont="1">
      <alignment/>
      <protection/>
    </xf>
    <xf numFmtId="0" fontId="7" fillId="0" borderId="0" xfId="411" applyFont="1" applyAlignment="1">
      <alignment horizontal="left" indent="1"/>
      <protection/>
    </xf>
    <xf numFmtId="0" fontId="16" fillId="0" borderId="0" xfId="411"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11" applyFont="1" applyAlignment="1">
      <alignment horizontal="center"/>
      <protection/>
    </xf>
    <xf numFmtId="0" fontId="4" fillId="0" borderId="0" xfId="411" applyFont="1" applyAlignment="1">
      <alignment horizontal="right"/>
      <protection/>
    </xf>
    <xf numFmtId="0" fontId="7" fillId="33" borderId="0" xfId="411"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10" applyFont="1" applyFill="1" applyAlignment="1" applyProtection="1">
      <alignment horizontal="centerContinuous" vertical="center"/>
      <protection/>
    </xf>
    <xf numFmtId="0" fontId="4" fillId="34" borderId="0" xfId="409" applyFont="1" applyFill="1" applyAlignment="1" applyProtection="1">
      <alignment horizontal="centerContinuous" vertical="center"/>
      <protection/>
    </xf>
    <xf numFmtId="0" fontId="4" fillId="0" borderId="0" xfId="409" applyFont="1" applyAlignment="1" applyProtection="1">
      <alignment vertical="center"/>
      <protection locked="0"/>
    </xf>
    <xf numFmtId="0" fontId="4" fillId="34" borderId="0" xfId="409"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09" applyFont="1" applyFill="1" applyBorder="1" applyAlignment="1" applyProtection="1">
      <alignment horizontal="left" vertical="center"/>
      <protection/>
    </xf>
    <xf numFmtId="0" fontId="4" fillId="34" borderId="23" xfId="409" applyFont="1" applyFill="1" applyBorder="1" applyAlignment="1" applyProtection="1">
      <alignment vertical="center"/>
      <protection/>
    </xf>
    <xf numFmtId="0" fontId="4" fillId="34" borderId="18" xfId="409" applyFont="1" applyFill="1" applyBorder="1" applyAlignment="1" applyProtection="1">
      <alignment vertical="center"/>
      <protection/>
    </xf>
    <xf numFmtId="3" fontId="4" fillId="34" borderId="25" xfId="409" applyNumberFormat="1" applyFont="1" applyFill="1" applyBorder="1" applyAlignment="1" applyProtection="1">
      <alignment vertical="center"/>
      <protection/>
    </xf>
    <xf numFmtId="37" fontId="5" fillId="37" borderId="12" xfId="409" applyNumberFormat="1" applyFont="1" applyFill="1" applyBorder="1" applyAlignment="1" applyProtection="1">
      <alignment vertical="center"/>
      <protection/>
    </xf>
    <xf numFmtId="0" fontId="4" fillId="34" borderId="25" xfId="409" applyFont="1" applyFill="1" applyBorder="1" applyAlignment="1" applyProtection="1">
      <alignment vertical="center"/>
      <protection/>
    </xf>
    <xf numFmtId="0" fontId="4" fillId="34" borderId="0" xfId="410" applyFont="1" applyFill="1" applyAlignment="1" applyProtection="1">
      <alignment horizontal="centerContinuous" vertical="center"/>
      <protection/>
    </xf>
    <xf numFmtId="0" fontId="4" fillId="34" borderId="0" xfId="410" applyFont="1" applyFill="1" applyAlignment="1" applyProtection="1">
      <alignment vertical="center"/>
      <protection/>
    </xf>
    <xf numFmtId="0" fontId="4" fillId="0" borderId="0" xfId="410" applyFont="1" applyAlignment="1">
      <alignment vertical="center"/>
      <protection/>
    </xf>
    <xf numFmtId="0" fontId="4" fillId="34" borderId="13" xfId="0" applyFont="1" applyFill="1" applyBorder="1" applyAlignment="1" applyProtection="1">
      <alignment vertical="center"/>
      <protection/>
    </xf>
    <xf numFmtId="0" fontId="4" fillId="34" borderId="26" xfId="410" applyFont="1" applyFill="1" applyBorder="1" applyAlignment="1" applyProtection="1">
      <alignment vertical="center"/>
      <protection/>
    </xf>
    <xf numFmtId="0" fontId="4" fillId="34" borderId="0" xfId="410"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09" applyFont="1" applyFill="1" applyBorder="1" applyAlignment="1" applyProtection="1">
      <alignment horizontal="left" vertical="center"/>
      <protection locked="0"/>
    </xf>
    <xf numFmtId="0" fontId="4" fillId="34" borderId="23" xfId="409" applyFont="1" applyFill="1" applyBorder="1" applyAlignment="1" applyProtection="1">
      <alignment vertical="center"/>
      <protection locked="0"/>
    </xf>
    <xf numFmtId="0" fontId="4" fillId="34" borderId="18" xfId="409" applyFont="1" applyFill="1" applyBorder="1" applyAlignment="1" applyProtection="1">
      <alignment vertical="center"/>
      <protection locked="0"/>
    </xf>
    <xf numFmtId="3" fontId="4" fillId="34" borderId="18" xfId="409" applyNumberFormat="1" applyFont="1" applyFill="1" applyBorder="1" applyAlignment="1" applyProtection="1">
      <alignment vertical="center"/>
      <protection locked="0"/>
    </xf>
    <xf numFmtId="3" fontId="5" fillId="34" borderId="12" xfId="409" applyNumberFormat="1" applyFont="1" applyFill="1" applyBorder="1" applyAlignment="1" applyProtection="1">
      <alignment vertical="center"/>
      <protection/>
    </xf>
    <xf numFmtId="37" fontId="5" fillId="34" borderId="12" xfId="409" applyNumberFormat="1" applyFont="1" applyFill="1" applyBorder="1" applyAlignment="1" applyProtection="1">
      <alignment vertical="center"/>
      <protection/>
    </xf>
    <xf numFmtId="0" fontId="4" fillId="39" borderId="0" xfId="409"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44" applyNumberFormat="1" applyFont="1" applyAlignment="1">
      <alignment vertical="center" wrapText="1"/>
      <protection/>
    </xf>
    <xf numFmtId="0" fontId="4" fillId="0" borderId="0" xfId="248" applyFont="1" applyAlignment="1">
      <alignment vertical="center" wrapText="1"/>
      <protection/>
    </xf>
    <xf numFmtId="0" fontId="4" fillId="0" borderId="0" xfId="375" applyFont="1" applyAlignment="1">
      <alignment vertical="center" wrapText="1"/>
      <protection/>
    </xf>
    <xf numFmtId="0" fontId="78" fillId="0" borderId="0" xfId="0" applyFont="1" applyAlignment="1">
      <alignment vertical="center" wrapText="1"/>
    </xf>
    <xf numFmtId="0" fontId="10" fillId="0" borderId="0" xfId="386" applyFont="1">
      <alignment/>
      <protection/>
    </xf>
    <xf numFmtId="0" fontId="10" fillId="0" borderId="0" xfId="386" applyNumberFormat="1" applyFont="1" applyAlignment="1">
      <alignment horizontal="left" vertical="center"/>
      <protection/>
    </xf>
    <xf numFmtId="0" fontId="4" fillId="0" borderId="0" xfId="386" applyFont="1" applyAlignment="1">
      <alignment horizontal="left" vertical="center"/>
      <protection/>
    </xf>
    <xf numFmtId="49" fontId="4" fillId="33" borderId="0" xfId="386" applyNumberFormat="1" applyFont="1" applyFill="1" applyAlignment="1" applyProtection="1">
      <alignment horizontal="left" vertical="center"/>
      <protection locked="0"/>
    </xf>
    <xf numFmtId="184" fontId="26" fillId="0" borderId="0" xfId="386" applyNumberFormat="1" applyFont="1" applyAlignment="1">
      <alignment horizontal="left" vertical="center"/>
      <protection/>
    </xf>
    <xf numFmtId="49" fontId="4" fillId="0" borderId="0" xfId="386" applyNumberFormat="1" applyFont="1" applyAlignment="1">
      <alignment horizontal="left" vertical="center"/>
      <protection/>
    </xf>
    <xf numFmtId="0" fontId="26" fillId="0" borderId="0" xfId="386" applyFont="1" applyAlignment="1">
      <alignment horizontal="left" vertical="center"/>
      <protection/>
    </xf>
    <xf numFmtId="185" fontId="26" fillId="0" borderId="0" xfId="386" applyNumberFormat="1" applyFont="1" applyAlignment="1">
      <alignment horizontal="left" vertical="center"/>
      <protection/>
    </xf>
    <xf numFmtId="0" fontId="4" fillId="33" borderId="0" xfId="386" applyFont="1" applyFill="1" applyAlignment="1" applyProtection="1">
      <alignment horizontal="left" vertical="center"/>
      <protection locked="0"/>
    </xf>
    <xf numFmtId="0" fontId="10" fillId="33" borderId="0" xfId="386" applyFont="1" applyFill="1" applyAlignment="1" applyProtection="1">
      <alignment horizontal="left" vertical="center"/>
      <protection locked="0"/>
    </xf>
    <xf numFmtId="0" fontId="0" fillId="0" borderId="0" xfId="201" applyFont="1">
      <alignment/>
      <protection/>
    </xf>
    <xf numFmtId="0" fontId="0" fillId="0" borderId="0" xfId="201"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06"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386" applyFont="1" applyAlignment="1">
      <alignment horizontal="left" vertical="center" wrapText="1"/>
      <protection/>
    </xf>
    <xf numFmtId="0" fontId="10" fillId="0" borderId="0" xfId="386" applyFont="1" applyAlignment="1">
      <alignment horizontal="left" vertical="center" wrapText="1"/>
      <protection/>
    </xf>
    <xf numFmtId="0" fontId="18" fillId="0" borderId="0" xfId="386"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11"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0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3" xfId="160"/>
    <cellStyle name="Normal 2 10 4" xfId="161"/>
    <cellStyle name="Normal 2 10 5" xfId="162"/>
    <cellStyle name="Normal 2 10 6" xfId="163"/>
    <cellStyle name="Normal 2 10 7" xfId="164"/>
    <cellStyle name="Normal 2 10 8" xfId="165"/>
    <cellStyle name="Normal 2 10 9" xfId="166"/>
    <cellStyle name="Normal 2 11" xfId="167"/>
    <cellStyle name="Normal 2 11 10" xfId="168"/>
    <cellStyle name="Normal 2 11 2" xfId="169"/>
    <cellStyle name="Normal 2 11 3" xfId="170"/>
    <cellStyle name="Normal 2 11 4" xfId="171"/>
    <cellStyle name="Normal 2 11 5" xfId="172"/>
    <cellStyle name="Normal 2 11 6" xfId="173"/>
    <cellStyle name="Normal 2 11 7" xfId="174"/>
    <cellStyle name="Normal 2 11 8" xfId="175"/>
    <cellStyle name="Normal 2 11 9" xfId="176"/>
    <cellStyle name="Normal 2 12" xfId="177"/>
    <cellStyle name="Normal 2 13" xfId="178"/>
    <cellStyle name="Normal 2 14" xfId="179"/>
    <cellStyle name="Normal 2 15" xfId="180"/>
    <cellStyle name="Normal 2 16" xfId="181"/>
    <cellStyle name="Normal 2 2" xfId="182"/>
    <cellStyle name="Normal 2 2 10" xfId="183"/>
    <cellStyle name="Normal 2 2 10 2" xfId="184"/>
    <cellStyle name="Normal 2 2 11" xfId="185"/>
    <cellStyle name="Normal 2 2 12" xfId="186"/>
    <cellStyle name="Normal 2 2 12 2" xfId="187"/>
    <cellStyle name="Normal 2 2 12 3" xfId="188"/>
    <cellStyle name="Normal 2 2 13" xfId="189"/>
    <cellStyle name="Normal 2 2 13 2" xfId="190"/>
    <cellStyle name="Normal 2 2 13 3" xfId="191"/>
    <cellStyle name="Normal 2 2 14" xfId="192"/>
    <cellStyle name="Normal 2 2 15" xfId="193"/>
    <cellStyle name="Normal 2 2 16" xfId="194"/>
    <cellStyle name="Normal 2 2 16 2" xfId="195"/>
    <cellStyle name="Normal 2 2 16 3" xfId="196"/>
    <cellStyle name="Normal 2 2 17" xfId="197"/>
    <cellStyle name="Normal 2 2 18" xfId="198"/>
    <cellStyle name="Normal 2 2 19" xfId="199"/>
    <cellStyle name="Normal 2 2 2" xfId="200"/>
    <cellStyle name="Normal 2 2 2 2" xfId="201"/>
    <cellStyle name="Normal 2 2 2 2 2" xfId="202"/>
    <cellStyle name="Normal 2 2 2 2 3" xfId="203"/>
    <cellStyle name="Normal 2 2 2 3" xfId="204"/>
    <cellStyle name="Normal 2 2 2 4" xfId="205"/>
    <cellStyle name="Normal 2 2 2 5" xfId="206"/>
    <cellStyle name="Normal 2 2 2 6" xfId="207"/>
    <cellStyle name="Normal 2 2 2 7" xfId="208"/>
    <cellStyle name="Normal 2 2 2 8" xfId="209"/>
    <cellStyle name="Normal 2 2 20" xfId="210"/>
    <cellStyle name="Normal 2 2 21" xfId="211"/>
    <cellStyle name="Normal 2 2 3" xfId="212"/>
    <cellStyle name="Normal 2 2 3 2" xfId="213"/>
    <cellStyle name="Normal 2 2 4" xfId="214"/>
    <cellStyle name="Normal 2 2 4 2" xfId="215"/>
    <cellStyle name="Normal 2 2 5" xfId="216"/>
    <cellStyle name="Normal 2 2 5 2" xfId="217"/>
    <cellStyle name="Normal 2 2 6" xfId="218"/>
    <cellStyle name="Normal 2 2 6 2" xfId="219"/>
    <cellStyle name="Normal 2 2 7" xfId="220"/>
    <cellStyle name="Normal 2 2 7 2" xfId="221"/>
    <cellStyle name="Normal 2 2 8" xfId="222"/>
    <cellStyle name="Normal 2 2 8 2" xfId="223"/>
    <cellStyle name="Normal 2 2 9" xfId="224"/>
    <cellStyle name="Normal 2 2 9 2" xfId="225"/>
    <cellStyle name="Normal 2 3" xfId="226"/>
    <cellStyle name="Normal 2 3 10" xfId="227"/>
    <cellStyle name="Normal 2 3 11" xfId="228"/>
    <cellStyle name="Normal 2 3 12" xfId="229"/>
    <cellStyle name="Normal 2 3 13" xfId="230"/>
    <cellStyle name="Normal 2 3 14" xfId="231"/>
    <cellStyle name="Normal 2 3 15" xfId="232"/>
    <cellStyle name="Normal 2 3 2" xfId="233"/>
    <cellStyle name="Normal 2 3 2 2" xfId="234"/>
    <cellStyle name="Normal 2 3 2 2 2" xfId="235"/>
    <cellStyle name="Normal 2 3 2 2 3" xfId="236"/>
    <cellStyle name="Normal 2 3 2 3" xfId="237"/>
    <cellStyle name="Normal 2 3 2 4" xfId="238"/>
    <cellStyle name="Normal 2 3 3" xfId="239"/>
    <cellStyle name="Normal 2 3 3 2" xfId="240"/>
    <cellStyle name="Normal 2 3 3 3" xfId="241"/>
    <cellStyle name="Normal 2 3 4" xfId="242"/>
    <cellStyle name="Normal 2 3 5" xfId="243"/>
    <cellStyle name="Normal 2 3 6" xfId="244"/>
    <cellStyle name="Normal 2 3 7" xfId="245"/>
    <cellStyle name="Normal 2 3 8" xfId="246"/>
    <cellStyle name="Normal 2 3 9" xfId="247"/>
    <cellStyle name="Normal 2 4" xfId="248"/>
    <cellStyle name="Normal 2 4 10" xfId="249"/>
    <cellStyle name="Normal 2 4 11" xfId="250"/>
    <cellStyle name="Normal 2 4 12" xfId="251"/>
    <cellStyle name="Normal 2 4 13" xfId="252"/>
    <cellStyle name="Normal 2 4 2" xfId="253"/>
    <cellStyle name="Normal 2 4 2 2" xfId="254"/>
    <cellStyle name="Normal 2 4 2 2 2" xfId="255"/>
    <cellStyle name="Normal 2 4 2 2 3" xfId="256"/>
    <cellStyle name="Normal 2 4 2 3" xfId="257"/>
    <cellStyle name="Normal 2 4 2 4" xfId="258"/>
    <cellStyle name="Normal 2 4 3" xfId="259"/>
    <cellStyle name="Normal 2 4 3 2" xfId="260"/>
    <cellStyle name="Normal 2 4 3 3" xfId="261"/>
    <cellStyle name="Normal 2 4 4" xfId="262"/>
    <cellStyle name="Normal 2 4 5" xfId="263"/>
    <cellStyle name="Normal 2 4 6" xfId="264"/>
    <cellStyle name="Normal 2 4 7" xfId="265"/>
    <cellStyle name="Normal 2 4 8" xfId="266"/>
    <cellStyle name="Normal 2 4 9" xfId="267"/>
    <cellStyle name="Normal 2 5" xfId="268"/>
    <cellStyle name="Normal 2 5 10" xfId="269"/>
    <cellStyle name="Normal 2 5 11" xfId="270"/>
    <cellStyle name="Normal 2 5 12" xfId="271"/>
    <cellStyle name="Normal 2 5 12 2" xfId="272"/>
    <cellStyle name="Normal 2 5 2" xfId="273"/>
    <cellStyle name="Normal 2 5 2 2" xfId="274"/>
    <cellStyle name="Normal 2 5 3" xfId="275"/>
    <cellStyle name="Normal 2 5 3 2" xfId="276"/>
    <cellStyle name="Normal 2 5 4" xfId="277"/>
    <cellStyle name="Normal 2 5 5" xfId="278"/>
    <cellStyle name="Normal 2 5 6" xfId="279"/>
    <cellStyle name="Normal 2 5 7" xfId="280"/>
    <cellStyle name="Normal 2 5 8" xfId="281"/>
    <cellStyle name="Normal 2 5 9" xfId="282"/>
    <cellStyle name="Normal 2 6" xfId="283"/>
    <cellStyle name="Normal 2 6 10" xfId="284"/>
    <cellStyle name="Normal 2 6 11" xfId="285"/>
    <cellStyle name="Normal 2 6 12" xfId="286"/>
    <cellStyle name="Normal 2 6 2" xfId="287"/>
    <cellStyle name="Normal 2 6 2 2" xfId="288"/>
    <cellStyle name="Normal 2 6 3" xfId="289"/>
    <cellStyle name="Normal 2 6 3 2" xfId="290"/>
    <cellStyle name="Normal 2 6 4" xfId="291"/>
    <cellStyle name="Normal 2 6 5" xfId="292"/>
    <cellStyle name="Normal 2 6 6" xfId="293"/>
    <cellStyle name="Normal 2 6 7" xfId="294"/>
    <cellStyle name="Normal 2 6 8" xfId="295"/>
    <cellStyle name="Normal 2 6 9" xfId="296"/>
    <cellStyle name="Normal 2 7" xfId="297"/>
    <cellStyle name="Normal 2 7 10" xfId="298"/>
    <cellStyle name="Normal 2 7 2" xfId="299"/>
    <cellStyle name="Normal 2 7 2 2" xfId="300"/>
    <cellStyle name="Normal 2 7 2 3" xfId="301"/>
    <cellStyle name="Normal 2 7 3" xfId="302"/>
    <cellStyle name="Normal 2 7 4" xfId="303"/>
    <cellStyle name="Normal 2 7 5" xfId="304"/>
    <cellStyle name="Normal 2 7 6" xfId="305"/>
    <cellStyle name="Normal 2 7 7" xfId="306"/>
    <cellStyle name="Normal 2 7 8" xfId="307"/>
    <cellStyle name="Normal 2 7 9" xfId="308"/>
    <cellStyle name="Normal 2 8" xfId="309"/>
    <cellStyle name="Normal 2 8 10" xfId="310"/>
    <cellStyle name="Normal 2 8 2" xfId="311"/>
    <cellStyle name="Normal 2 8 3" xfId="312"/>
    <cellStyle name="Normal 2 8 4" xfId="313"/>
    <cellStyle name="Normal 2 8 5" xfId="314"/>
    <cellStyle name="Normal 2 8 6" xfId="315"/>
    <cellStyle name="Normal 2 8 7" xfId="316"/>
    <cellStyle name="Normal 2 8 8" xfId="317"/>
    <cellStyle name="Normal 2 8 9" xfId="318"/>
    <cellStyle name="Normal 2 9" xfId="319"/>
    <cellStyle name="Normal 2 9 10" xfId="320"/>
    <cellStyle name="Normal 2 9 2" xfId="321"/>
    <cellStyle name="Normal 2 9 3" xfId="322"/>
    <cellStyle name="Normal 2 9 4" xfId="323"/>
    <cellStyle name="Normal 2 9 5" xfId="324"/>
    <cellStyle name="Normal 2 9 6" xfId="325"/>
    <cellStyle name="Normal 2 9 7" xfId="326"/>
    <cellStyle name="Normal 2 9 8" xfId="327"/>
    <cellStyle name="Normal 2 9 9" xfId="328"/>
    <cellStyle name="Normal 20" xfId="329"/>
    <cellStyle name="Normal 20 2" xfId="330"/>
    <cellStyle name="Normal 20 3" xfId="331"/>
    <cellStyle name="Normal 22" xfId="332"/>
    <cellStyle name="Normal 22 2" xfId="333"/>
    <cellStyle name="Normal 22 3" xfId="334"/>
    <cellStyle name="Normal 23" xfId="335"/>
    <cellStyle name="Normal 23 2" xfId="336"/>
    <cellStyle name="Normal 23 3" xfId="337"/>
    <cellStyle name="Normal 24" xfId="338"/>
    <cellStyle name="Normal 24 2" xfId="339"/>
    <cellStyle name="Normal 24 3" xfId="340"/>
    <cellStyle name="Normal 25" xfId="341"/>
    <cellStyle name="Normal 25 2" xfId="342"/>
    <cellStyle name="Normal 25 3" xfId="343"/>
    <cellStyle name="Normal 3" xfId="344"/>
    <cellStyle name="Normal 3 2" xfId="345"/>
    <cellStyle name="Normal 3 2 2" xfId="346"/>
    <cellStyle name="Normal 3 2 2 2" xfId="347"/>
    <cellStyle name="Normal 3 2 2 3" xfId="348"/>
    <cellStyle name="Normal 3 2 3" xfId="349"/>
    <cellStyle name="Normal 3 2 4" xfId="350"/>
    <cellStyle name="Normal 3 3" xfId="351"/>
    <cellStyle name="Normal 3 3 2" xfId="352"/>
    <cellStyle name="Normal 3 3 2 2" xfId="353"/>
    <cellStyle name="Normal 3 3 2 3" xfId="354"/>
    <cellStyle name="Normal 3 3 3" xfId="355"/>
    <cellStyle name="Normal 3 4" xfId="356"/>
    <cellStyle name="Normal 3 5" xfId="357"/>
    <cellStyle name="Normal 3 6" xfId="358"/>
    <cellStyle name="Normal 3 7" xfId="359"/>
    <cellStyle name="Normal 3 8" xfId="360"/>
    <cellStyle name="Normal 3 9" xfId="361"/>
    <cellStyle name="Normal 4" xfId="362"/>
    <cellStyle name="Normal 4 2" xfId="363"/>
    <cellStyle name="Normal 4 2 2" xfId="364"/>
    <cellStyle name="Normal 4 2 2 2" xfId="365"/>
    <cellStyle name="Normal 4 2 2 3" xfId="366"/>
    <cellStyle name="Normal 4 2 3" xfId="367"/>
    <cellStyle name="Normal 4 2 4" xfId="368"/>
    <cellStyle name="Normal 4 3" xfId="369"/>
    <cellStyle name="Normal 4 3 2" xfId="370"/>
    <cellStyle name="Normal 4 3 3" xfId="371"/>
    <cellStyle name="Normal 4 4" xfId="372"/>
    <cellStyle name="Normal 4 5" xfId="373"/>
    <cellStyle name="Normal 4 6" xfId="374"/>
    <cellStyle name="Normal 5" xfId="375"/>
    <cellStyle name="Normal 5 2" xfId="376"/>
    <cellStyle name="Normal 5 3" xfId="377"/>
    <cellStyle name="Normal 5 3 2" xfId="378"/>
    <cellStyle name="Normal 5 3 3" xfId="379"/>
    <cellStyle name="Normal 5 4" xfId="380"/>
    <cellStyle name="Normal 6" xfId="381"/>
    <cellStyle name="Normal 6 2" xfId="382"/>
    <cellStyle name="Normal 6 3" xfId="383"/>
    <cellStyle name="Normal 6 4" xfId="384"/>
    <cellStyle name="Normal 6 5" xfId="385"/>
    <cellStyle name="Normal 7" xfId="386"/>
    <cellStyle name="Normal 7 2" xfId="387"/>
    <cellStyle name="Normal 7 2 2" xfId="388"/>
    <cellStyle name="Normal 7 2 2 2" xfId="389"/>
    <cellStyle name="Normal 7 2 3" xfId="390"/>
    <cellStyle name="Normal 7 2 4" xfId="391"/>
    <cellStyle name="Normal 7 3" xfId="392"/>
    <cellStyle name="Normal 7 4" xfId="393"/>
    <cellStyle name="Normal 7 4 2" xfId="394"/>
    <cellStyle name="Normal 7 4 3" xfId="395"/>
    <cellStyle name="Normal 7 5" xfId="396"/>
    <cellStyle name="Normal 7 5 2" xfId="397"/>
    <cellStyle name="Normal 7 5 3" xfId="398"/>
    <cellStyle name="Normal 7 5 4" xfId="399"/>
    <cellStyle name="Normal 7 6" xfId="400"/>
    <cellStyle name="Normal 8" xfId="401"/>
    <cellStyle name="Normal 8 2" xfId="402"/>
    <cellStyle name="Normal 9" xfId="403"/>
    <cellStyle name="Normal 9 2" xfId="404"/>
    <cellStyle name="Normal 9 2 2" xfId="405"/>
    <cellStyle name="Normal 9 3" xfId="406"/>
    <cellStyle name="Normal 9 4" xfId="407"/>
    <cellStyle name="Normal 9 5" xfId="408"/>
    <cellStyle name="Normal_debt" xfId="409"/>
    <cellStyle name="Normal_lpform" xfId="410"/>
    <cellStyle name="Normal_Township 07" xfId="411"/>
    <cellStyle name="Note" xfId="412"/>
    <cellStyle name="Output" xfId="413"/>
    <cellStyle name="Percent" xfId="414"/>
    <cellStyle name="Title" xfId="415"/>
    <cellStyle name="Total" xfId="416"/>
    <cellStyle name="Warning Text" xfId="417"/>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718</v>
      </c>
    </row>
    <row r="31" ht="49.5" customHeight="1">
      <c r="A31" s="359" t="s">
        <v>230</v>
      </c>
    </row>
    <row r="32" ht="73.5" customHeight="1">
      <c r="A32" s="390" t="s">
        <v>542</v>
      </c>
    </row>
    <row r="33" ht="69.75" customHeight="1">
      <c r="A33" s="391" t="s">
        <v>543</v>
      </c>
    </row>
    <row r="35" ht="71.25" customHeight="1">
      <c r="A35" s="341" t="s">
        <v>719</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720</v>
      </c>
    </row>
    <row r="60" ht="53.25" customHeight="1">
      <c r="A60" s="592" t="s">
        <v>721</v>
      </c>
    </row>
    <row r="61" ht="53.25" customHeight="1">
      <c r="A61" s="593" t="s">
        <v>722</v>
      </c>
    </row>
    <row r="62" ht="68.25" customHeight="1">
      <c r="A62" s="592" t="s">
        <v>723</v>
      </c>
    </row>
    <row r="63" ht="69" customHeight="1">
      <c r="A63" s="341" t="s">
        <v>724</v>
      </c>
    </row>
    <row r="64" ht="90" customHeight="1">
      <c r="A64" s="341" t="s">
        <v>725</v>
      </c>
    </row>
    <row r="65" ht="113.25" customHeight="1">
      <c r="A65" s="361" t="s">
        <v>726</v>
      </c>
    </row>
    <row r="66" ht="105.75" customHeight="1">
      <c r="A66" s="362" t="s">
        <v>727</v>
      </c>
    </row>
    <row r="67" ht="77.25" customHeight="1">
      <c r="A67" s="363" t="s">
        <v>728</v>
      </c>
    </row>
    <row r="68" ht="91.5" customHeight="1">
      <c r="A68" s="341" t="s">
        <v>729</v>
      </c>
    </row>
    <row r="69" ht="113.25" customHeight="1">
      <c r="A69" s="364" t="s">
        <v>730</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731</v>
      </c>
    </row>
    <row r="79" s="341" customFormat="1" ht="88.5" customHeight="1">
      <c r="A79" s="592" t="s">
        <v>732</v>
      </c>
    </row>
    <row r="80" s="341" customFormat="1" ht="43.5" customHeight="1">
      <c r="A80" s="341" t="s">
        <v>733</v>
      </c>
    </row>
    <row r="81" s="341" customFormat="1" ht="54" customHeight="1">
      <c r="A81" s="341" t="s">
        <v>734</v>
      </c>
    </row>
    <row r="83" s="341" customFormat="1" ht="33.75" customHeight="1">
      <c r="A83" s="341" t="s">
        <v>564</v>
      </c>
    </row>
    <row r="85" ht="21.75" customHeight="1">
      <c r="A85" s="341" t="s">
        <v>565</v>
      </c>
    </row>
    <row r="87" ht="49.5" customHeight="1">
      <c r="A87" s="592" t="s">
        <v>735</v>
      </c>
    </row>
    <row r="88" ht="81.75" customHeight="1">
      <c r="A88" s="592" t="s">
        <v>736</v>
      </c>
    </row>
    <row r="89" ht="97.5" customHeight="1">
      <c r="A89" s="592" t="s">
        <v>737</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Pleasant Ridge Cem 14</v>
      </c>
      <c r="B1" s="18"/>
      <c r="C1" s="18"/>
      <c r="D1" s="18"/>
      <c r="E1" s="18"/>
      <c r="F1" s="18"/>
      <c r="G1" s="18"/>
      <c r="H1" s="18"/>
      <c r="I1" s="18"/>
      <c r="J1" s="18"/>
      <c r="K1" s="192">
        <f>inputPrYr!D6</f>
        <v>2012</v>
      </c>
    </row>
    <row r="2" spans="1:11" ht="15.75">
      <c r="A2" s="18" t="str">
        <f>inputPrYr!$D$4</f>
        <v>Clay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2011</v>
      </c>
      <c r="I7" s="200"/>
      <c r="J7" s="199">
        <f>K1</f>
        <v>2012</v>
      </c>
      <c r="K7" s="200"/>
    </row>
    <row r="8" spans="1:11" s="195" customFormat="1" ht="15.75">
      <c r="A8" s="201" t="s">
        <v>66</v>
      </c>
      <c r="B8" s="117" t="s">
        <v>67</v>
      </c>
      <c r="C8" s="117" t="s">
        <v>43</v>
      </c>
      <c r="D8" s="117" t="s">
        <v>68</v>
      </c>
      <c r="E8" s="202" t="str">
        <f>CONCATENATE("Jan 1,",K1-1,"")</f>
        <v>Jan 1,2011</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7">
      <selection activeCell="E32" sqref="E32"/>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Pleasant Ridge Cem 14</v>
      </c>
      <c r="C1" s="241"/>
      <c r="D1" s="18"/>
      <c r="E1" s="192"/>
    </row>
    <row r="2" spans="2:5" ht="15.75">
      <c r="B2" s="18" t="str">
        <f>inputPrYr!D4</f>
        <v>Clay County</v>
      </c>
      <c r="C2" s="241"/>
      <c r="D2" s="18"/>
      <c r="E2" s="145"/>
    </row>
    <row r="3" spans="2:6" ht="15.75">
      <c r="B3" s="555" t="s">
        <v>84</v>
      </c>
      <c r="C3" s="241"/>
      <c r="D3" s="18"/>
      <c r="E3" s="242"/>
      <c r="F3" s="192">
        <f>inputPrYr!$D$6</f>
        <v>2012</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128</v>
      </c>
      <c r="C7" s="397">
        <v>936.58</v>
      </c>
      <c r="D7" s="404">
        <f>C51</f>
        <v>798.2300000000002</v>
      </c>
      <c r="E7" s="47">
        <f>D51</f>
        <v>339.23000000000025</v>
      </c>
    </row>
    <row r="8" spans="2:5" ht="15.75">
      <c r="B8" s="246" t="s">
        <v>130</v>
      </c>
      <c r="C8" s="247"/>
      <c r="D8" s="247"/>
      <c r="E8" s="128"/>
    </row>
    <row r="9" spans="2:5" ht="15.75">
      <c r="B9" s="122" t="s">
        <v>33</v>
      </c>
      <c r="C9" s="397">
        <v>950.33</v>
      </c>
      <c r="D9" s="404">
        <f>inputPrYr!E19</f>
        <v>901</v>
      </c>
      <c r="E9" s="135" t="s">
        <v>28</v>
      </c>
    </row>
    <row r="10" spans="2:5" ht="15.75">
      <c r="B10" s="122" t="s">
        <v>34</v>
      </c>
      <c r="C10" s="397">
        <v>6.91</v>
      </c>
      <c r="D10" s="397"/>
      <c r="E10" s="209"/>
    </row>
    <row r="11" spans="2:5" ht="15.75">
      <c r="B11" s="122" t="s">
        <v>35</v>
      </c>
      <c r="C11" s="397">
        <v>79.2</v>
      </c>
      <c r="D11" s="397">
        <v>76</v>
      </c>
      <c r="E11" s="47">
        <f>mvalloc!D11</f>
        <v>72.54</v>
      </c>
    </row>
    <row r="12" spans="2:5" ht="15.75">
      <c r="B12" s="122" t="s">
        <v>36</v>
      </c>
      <c r="C12" s="397">
        <v>3.99</v>
      </c>
      <c r="D12" s="397">
        <v>1</v>
      </c>
      <c r="E12" s="47">
        <f>mvalloc!E11</f>
        <v>3.01</v>
      </c>
    </row>
    <row r="13" spans="2:5" ht="15.75">
      <c r="B13" s="247" t="s">
        <v>112</v>
      </c>
      <c r="C13" s="397">
        <v>9.17</v>
      </c>
      <c r="D13" s="397">
        <v>13</v>
      </c>
      <c r="E13" s="47">
        <f>mvalloc!F11</f>
        <v>12.47</v>
      </c>
    </row>
    <row r="14" spans="2:5" ht="15.75">
      <c r="B14" s="247" t="s">
        <v>163</v>
      </c>
      <c r="C14" s="397">
        <v>0</v>
      </c>
      <c r="D14" s="397">
        <v>0</v>
      </c>
      <c r="E14" s="47">
        <f>inputOth!E30</f>
        <v>0</v>
      </c>
    </row>
    <row r="15" spans="2:5" ht="15.75">
      <c r="B15" s="247" t="s">
        <v>164</v>
      </c>
      <c r="C15" s="397">
        <v>0</v>
      </c>
      <c r="D15" s="397">
        <v>0</v>
      </c>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1049.6000000000001</v>
      </c>
      <c r="D28" s="399">
        <f>SUM(D9:D26)</f>
        <v>991</v>
      </c>
      <c r="E28" s="254">
        <f>SUM(E9:E26)</f>
        <v>88.02000000000001</v>
      </c>
    </row>
    <row r="29" spans="2:5" ht="15.75">
      <c r="B29" s="253" t="s">
        <v>40</v>
      </c>
      <c r="C29" s="399">
        <f>C7+C28</f>
        <v>1986.1800000000003</v>
      </c>
      <c r="D29" s="399">
        <f>D7+D28</f>
        <v>1789.2300000000002</v>
      </c>
      <c r="E29" s="254">
        <f>E7+E28</f>
        <v>427.2500000000002</v>
      </c>
    </row>
    <row r="30" spans="2:5" ht="15.75">
      <c r="B30" s="122" t="s">
        <v>41</v>
      </c>
      <c r="C30" s="126"/>
      <c r="D30" s="126"/>
      <c r="E30" s="38"/>
    </row>
    <row r="31" spans="2:5" ht="15.75">
      <c r="B31" s="248" t="s">
        <v>742</v>
      </c>
      <c r="C31" s="397">
        <v>1120</v>
      </c>
      <c r="D31" s="397">
        <v>1450</v>
      </c>
      <c r="E31" s="209">
        <v>1450</v>
      </c>
    </row>
    <row r="32" spans="2:5" ht="15.75">
      <c r="B32" s="248"/>
      <c r="C32" s="397"/>
      <c r="D32" s="397"/>
      <c r="E32" s="209"/>
    </row>
    <row r="33" spans="2:5" ht="15.75">
      <c r="B33" s="248" t="s">
        <v>745</v>
      </c>
      <c r="C33" s="397"/>
      <c r="D33" s="397"/>
      <c r="E33" s="209"/>
    </row>
    <row r="34" spans="2:5" ht="15.75">
      <c r="B34" s="248" t="s">
        <v>746</v>
      </c>
      <c r="C34" s="397">
        <v>67.95</v>
      </c>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2013</v>
      </c>
      <c r="H43" s="642"/>
      <c r="I43" s="642"/>
      <c r="J43" s="643"/>
    </row>
    <row r="44" spans="2:10" ht="15.75">
      <c r="B44" s="248"/>
      <c r="C44" s="397"/>
      <c r="D44" s="397"/>
      <c r="E44" s="209"/>
      <c r="G44" s="560"/>
      <c r="H44" s="545"/>
      <c r="I44" s="545"/>
      <c r="J44" s="544"/>
    </row>
    <row r="45" spans="2:10" ht="15.75">
      <c r="B45" s="248"/>
      <c r="C45" s="397"/>
      <c r="D45" s="397"/>
      <c r="E45" s="209"/>
      <c r="G45" s="554">
        <f>D51</f>
        <v>339.23000000000025</v>
      </c>
      <c r="H45" s="553" t="str">
        <f>CONCATENATE("",F3-1," Ending Cash Balance (est.)")</f>
        <v>2011 Ending Cash Balance (est.)</v>
      </c>
      <c r="I45" s="543"/>
      <c r="J45" s="544"/>
    </row>
    <row r="46" spans="2:10" ht="15.75">
      <c r="B46" s="248"/>
      <c r="C46" s="397"/>
      <c r="D46" s="397"/>
      <c r="E46" s="209"/>
      <c r="G46" s="554">
        <f>E28</f>
        <v>88.02000000000001</v>
      </c>
      <c r="H46" s="543" t="str">
        <f>CONCATENATE("",F3," Non-AV Receipts (est.)")</f>
        <v>2012 Non-AV Receipts (est.)</v>
      </c>
      <c r="I46" s="543"/>
      <c r="J46" s="544"/>
    </row>
    <row r="47" spans="2:10" ht="15.75">
      <c r="B47" s="126" t="s">
        <v>229</v>
      </c>
      <c r="C47" s="397"/>
      <c r="D47" s="397"/>
      <c r="E47" s="214">
        <f>Nhood!E7</f>
      </c>
      <c r="G47" s="542">
        <f>E57</f>
        <v>1022.7499999999998</v>
      </c>
      <c r="H47" s="543" t="str">
        <f>CONCATENATE("",F3," Ad Valorem Tax (est.)")</f>
        <v>2012 Ad Valorem Tax (est.)</v>
      </c>
      <c r="I47" s="543"/>
      <c r="J47" s="544"/>
    </row>
    <row r="48" spans="2:10" ht="15.75">
      <c r="B48" s="126" t="s">
        <v>228</v>
      </c>
      <c r="C48" s="397"/>
      <c r="D48" s="397"/>
      <c r="E48" s="37"/>
      <c r="G48" s="554">
        <f>SUM(G45:G47)</f>
        <v>1450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1187.95</v>
      </c>
      <c r="D50" s="399">
        <f>SUM(D31:D48)</f>
        <v>1450</v>
      </c>
      <c r="E50" s="254">
        <f>SUM(E31:E48)</f>
        <v>1450</v>
      </c>
      <c r="G50" s="542">
        <f>C50*0.05+C50</f>
        <v>1247.3475</v>
      </c>
      <c r="H50" s="543" t="str">
        <f>CONCATENATE("Less ",F3-2," Expenditures + 5%")</f>
        <v>Less 2010 Expenditures + 5%</v>
      </c>
      <c r="I50" s="543"/>
      <c r="J50" s="544"/>
    </row>
    <row r="51" spans="2:10" ht="15.75">
      <c r="B51" s="122" t="s">
        <v>129</v>
      </c>
      <c r="C51" s="400">
        <f>C29-C50</f>
        <v>798.2300000000002</v>
      </c>
      <c r="D51" s="400">
        <f>D29-D50</f>
        <v>339.23000000000025</v>
      </c>
      <c r="E51" s="135" t="s">
        <v>28</v>
      </c>
      <c r="G51" s="540">
        <f>G48-G50</f>
        <v>202.65249999999992</v>
      </c>
      <c r="H51" s="539" t="str">
        <f>CONCATENATE("Projected ",F3+1," Carryover (est.)")</f>
        <v>Projected 2013 Carryover (est.)</v>
      </c>
      <c r="I51" s="525"/>
      <c r="J51" s="538"/>
    </row>
    <row r="52" spans="2:10" ht="15.75">
      <c r="B52" s="145" t="str">
        <f>CONCATENATE("",F3-2,"/",F3-1," Budget Authority Amount:")</f>
        <v>2010/2011 Budget Authority Amount:</v>
      </c>
      <c r="C52" s="123">
        <f>inputOth!B42</f>
        <v>1450</v>
      </c>
      <c r="D52" s="425">
        <f>inputPrYr!D19</f>
        <v>1450</v>
      </c>
      <c r="E52" s="135" t="s">
        <v>28</v>
      </c>
      <c r="F52" s="255"/>
      <c r="G52" s="16"/>
      <c r="H52" s="16"/>
      <c r="I52" s="16"/>
      <c r="J52" s="16"/>
    </row>
    <row r="53" spans="2:10" ht="15.75">
      <c r="B53" s="145"/>
      <c r="C53" s="637" t="s">
        <v>685</v>
      </c>
      <c r="D53" s="638"/>
      <c r="E53" s="37"/>
      <c r="F53" s="255">
        <f>IF(E50/0.95-E50&lt;E53,"Exceeds 5%","")</f>
      </c>
      <c r="G53" s="537">
        <f>IF(inputOth!E7=0,"",ROUND(gen!E57/inputOth!E7*1000,3))</f>
        <v>0.88</v>
      </c>
      <c r="H53" s="536" t="str">
        <f>CONCATENATE("Projected ",F3-1," Mill Rate (est.)")</f>
        <v>Projected 2011 Mill Rate (est.)</v>
      </c>
      <c r="I53" s="535"/>
      <c r="J53" s="534"/>
    </row>
    <row r="54" spans="2:10" ht="15.75">
      <c r="B54" s="423" t="str">
        <f>CONCATENATE(C70,"     ",D70)</f>
        <v>     </v>
      </c>
      <c r="C54" s="639" t="s">
        <v>686</v>
      </c>
      <c r="D54" s="640"/>
      <c r="E54" s="47">
        <f>E50+E53</f>
        <v>1450</v>
      </c>
      <c r="G54" s="533"/>
      <c r="H54" s="533"/>
      <c r="I54" s="533"/>
      <c r="J54" s="533"/>
    </row>
    <row r="55" spans="2:10" ht="15.75">
      <c r="B55" s="423" t="str">
        <f>CONCATENATE(C71,"     ",D71)</f>
        <v>     </v>
      </c>
      <c r="C55" s="559"/>
      <c r="D55" s="558" t="s">
        <v>687</v>
      </c>
      <c r="E55" s="44">
        <f>IF(E54-E29&gt;0,E54-E29,0)</f>
        <v>1022.7499999999998</v>
      </c>
      <c r="G55" s="641" t="str">
        <f>CONCATENATE("Desired Carryover Into ",F3+1,"")</f>
        <v>Desired Carryover Into 2013</v>
      </c>
      <c r="H55" s="644"/>
      <c r="I55" s="644"/>
      <c r="J55" s="643"/>
    </row>
    <row r="56" spans="2:10" ht="15.75">
      <c r="B56" s="165"/>
      <c r="C56" s="556" t="s">
        <v>688</v>
      </c>
      <c r="D56" s="557">
        <f>inputOth!$E$36</f>
        <v>0</v>
      </c>
      <c r="E56" s="47">
        <f>ROUND(IF(D56&gt;0,(E55*D56),0),0)</f>
        <v>0</v>
      </c>
      <c r="G56" s="532"/>
      <c r="H56" s="545"/>
      <c r="I56" s="543"/>
      <c r="J56" s="531"/>
    </row>
    <row r="57" spans="2:10" ht="15.75">
      <c r="B57" s="18"/>
      <c r="C57" s="635" t="str">
        <f>CONCATENATE("Amount of  ",$F$3-1," Ad Valorem Tax")</f>
        <v>Amount of  2011 Ad Valorem Tax</v>
      </c>
      <c r="D57" s="636"/>
      <c r="E57" s="44">
        <f>E55+E56</f>
        <v>1022.7499999999998</v>
      </c>
      <c r="G57" s="530" t="s">
        <v>691</v>
      </c>
      <c r="H57" s="543"/>
      <c r="I57" s="543"/>
      <c r="J57" s="529"/>
    </row>
    <row r="58" spans="2:10" ht="15.75">
      <c r="B58" s="18"/>
      <c r="C58" s="18"/>
      <c r="D58" s="18"/>
      <c r="E58" s="18"/>
      <c r="G58" s="532" t="s">
        <v>692</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I51" sqref="I51"/>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Pleasant Ridge Cem 14</v>
      </c>
      <c r="C1" s="18"/>
      <c r="D1" s="18"/>
      <c r="E1" s="257">
        <f>inputPrYr!$D$6</f>
        <v>2012</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2010</v>
      </c>
      <c r="D6" s="409" t="str">
        <f>CONCATENATE("Estimate ",E1-1,"")</f>
        <v>Estimate 2011</v>
      </c>
      <c r="E6" s="180" t="str">
        <f>CONCATENATE("Year ",E1,"")</f>
        <v>Year 2012</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2013</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2011 Ending Cash Balance (est.)</v>
      </c>
      <c r="I54" s="544"/>
    </row>
    <row r="55" spans="2:9" ht="15.75">
      <c r="B55" s="116" t="s">
        <v>129</v>
      </c>
      <c r="C55" s="405">
        <f>C31-C54</f>
        <v>0</v>
      </c>
      <c r="D55" s="405">
        <f>D31-D54</f>
        <v>0</v>
      </c>
      <c r="E55" s="263" t="s">
        <v>28</v>
      </c>
      <c r="G55" s="554">
        <f>E30</f>
        <v>0</v>
      </c>
      <c r="H55" s="565"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75">
      <c r="B57" s="145"/>
      <c r="C57" s="637" t="s">
        <v>685</v>
      </c>
      <c r="D57" s="638"/>
      <c r="E57" s="37"/>
      <c r="F57" s="273">
        <f>IF(E54/0.95-E54&lt;E57,"Exceeds 5%","")</f>
      </c>
      <c r="G57" s="554">
        <f>SUM(G54:G56)</f>
        <v>0</v>
      </c>
      <c r="H57" s="565" t="str">
        <f>CONCATENATE("Total ",E1," Resources Available")</f>
        <v>Total 2012 Resources Available</v>
      </c>
      <c r="I57" s="544"/>
    </row>
    <row r="58" spans="2:9" ht="15.75">
      <c r="B58" s="423" t="str">
        <f>CONCATENATE(C69,"     ",D69)</f>
        <v>     </v>
      </c>
      <c r="C58" s="639" t="s">
        <v>686</v>
      </c>
      <c r="D58" s="640"/>
      <c r="E58" s="47">
        <f>E54+E57</f>
        <v>0</v>
      </c>
      <c r="G58" s="541"/>
      <c r="H58" s="565"/>
      <c r="I58" s="544"/>
    </row>
    <row r="59" spans="2:9" ht="15.75">
      <c r="B59" s="423" t="str">
        <f>CONCATENATE(C70,"     ",D70)</f>
        <v>     </v>
      </c>
      <c r="C59" s="561"/>
      <c r="D59" s="558" t="s">
        <v>687</v>
      </c>
      <c r="E59" s="44">
        <f>IF(E58-E31&gt;0,E58-E31,0)</f>
        <v>0</v>
      </c>
      <c r="G59" s="542">
        <f>C54</f>
        <v>0</v>
      </c>
      <c r="H59" s="565" t="str">
        <f>CONCATENATE("Less ",E1-2," Expenditures")</f>
        <v>Less 2010 Expenditures</v>
      </c>
      <c r="I59" s="544"/>
    </row>
    <row r="60" spans="2:9" ht="15.75">
      <c r="B60" s="165"/>
      <c r="C60" s="556" t="s">
        <v>688</v>
      </c>
      <c r="D60" s="557">
        <f>inputOth!$E$36</f>
        <v>0</v>
      </c>
      <c r="E60" s="47">
        <f>ROUND(IF(D60&gt;0,(E59*D60),0),0)</f>
        <v>0</v>
      </c>
      <c r="G60" s="587">
        <f>G57-G59</f>
        <v>0</v>
      </c>
      <c r="H60" s="566" t="str">
        <f>CONCATENATE("Projected ",E1+1," carryover (est.)")</f>
        <v>Projected 2013 carryover (est.)</v>
      </c>
      <c r="I60" s="538"/>
    </row>
    <row r="61" spans="2:5" ht="15.75">
      <c r="B61" s="18"/>
      <c r="C61" s="635" t="str">
        <f>CONCATENATE("Amount of  ",$E$1-1," Ad Valorem Tax")</f>
        <v>Amount of  2011 Ad Valorem Tax</v>
      </c>
      <c r="D61" s="636"/>
      <c r="E61" s="44">
        <f>E59+E60</f>
        <v>0</v>
      </c>
    </row>
    <row r="62" spans="2:9" ht="15.75">
      <c r="B62" s="165"/>
      <c r="C62" s="18"/>
      <c r="D62" s="18"/>
      <c r="E62" s="18"/>
      <c r="G62" s="588">
        <f>IF(inputOth!E7&gt;0,ROUND(DebtService!E61/inputOth!E7*1000,3),0)</f>
        <v>0</v>
      </c>
      <c r="H62" s="589" t="str">
        <f>CONCATENATE("",E1," Mill Rate")</f>
        <v>2012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Pleasant Ridge Cem 14</v>
      </c>
      <c r="C1" s="18"/>
      <c r="D1" s="18"/>
      <c r="E1" s="192"/>
    </row>
    <row r="2" spans="2:5" ht="15.75">
      <c r="B2" s="18" t="str">
        <f>inputPrYr!D4</f>
        <v>Clay County</v>
      </c>
      <c r="C2" s="18"/>
      <c r="D2" s="18"/>
      <c r="E2" s="145"/>
    </row>
    <row r="3" spans="2:6" ht="15.75">
      <c r="B3" s="27" t="s">
        <v>84</v>
      </c>
      <c r="C3" s="241"/>
      <c r="D3" s="241"/>
      <c r="E3" s="242"/>
      <c r="F3" s="98">
        <f>inputPrYr!D6</f>
        <v>2012</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2010</v>
      </c>
      <c r="D6" s="403" t="str">
        <f>CONCATENATE("Estimate ",F3-1,"")</f>
        <v>Estimate 2011</v>
      </c>
      <c r="E6" s="244" t="str">
        <f>CONCATENATE("Year ",F3,"")</f>
        <v>Year 2012</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2010/2011 Budget Authority Amount:</v>
      </c>
      <c r="C35" s="123">
        <f>inputOth!B44</f>
        <v>0</v>
      </c>
      <c r="D35" s="425">
        <f>inputPrYr!D22</f>
        <v>0</v>
      </c>
      <c r="E35" s="135" t="s">
        <v>28</v>
      </c>
      <c r="F35" s="255"/>
    </row>
    <row r="36" spans="2:6" ht="15.75">
      <c r="B36" s="145"/>
      <c r="C36" s="637" t="s">
        <v>685</v>
      </c>
      <c r="D36" s="638"/>
      <c r="E36" s="37"/>
      <c r="F36" s="255">
        <f>IF(E33/0.95-E33&lt;E36,"Exceeds 5%","")</f>
      </c>
    </row>
    <row r="37" spans="2:5" ht="15.75">
      <c r="B37" s="423" t="str">
        <f>CONCATENATE(C87,"     ",D87)</f>
        <v>     </v>
      </c>
      <c r="C37" s="639" t="s">
        <v>686</v>
      </c>
      <c r="D37" s="640"/>
      <c r="E37" s="47">
        <f>E33+E36</f>
        <v>0</v>
      </c>
    </row>
    <row r="38" spans="2:5" ht="15.75">
      <c r="B38" s="423" t="str">
        <f>CONCATENATE(C88,"     ",D88)</f>
        <v>     </v>
      </c>
      <c r="C38" s="563"/>
      <c r="D38" s="558" t="s">
        <v>687</v>
      </c>
      <c r="E38" s="44">
        <f>IF(E37-E22&gt;0,E37-E22,0)</f>
        <v>0</v>
      </c>
    </row>
    <row r="39" spans="2:5" ht="15.75">
      <c r="B39" s="165"/>
      <c r="C39" s="556" t="s">
        <v>688</v>
      </c>
      <c r="D39" s="557">
        <f>inputOth!$E$36</f>
        <v>0</v>
      </c>
      <c r="E39" s="47">
        <f>ROUND(IF(D39&gt;0,(E38*D39),0),0)</f>
        <v>0</v>
      </c>
    </row>
    <row r="40" spans="2:5" ht="15.75">
      <c r="B40" s="18"/>
      <c r="C40" s="635" t="str">
        <f>CONCATENATE("Amount of  ",$F$3-1," Ad Valorem Tax")</f>
        <v>Amount of  2011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2010</v>
      </c>
      <c r="D44" s="403" t="str">
        <f>D6</f>
        <v>Estimate 2011</v>
      </c>
      <c r="E44" s="244" t="str">
        <f>E6</f>
        <v>Year 2012</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2010/2011 Budget Authority Amount:</v>
      </c>
      <c r="C73" s="123">
        <f>inputOth!B45</f>
        <v>0</v>
      </c>
      <c r="D73" s="425">
        <f>inputPrYr!D23</f>
        <v>0</v>
      </c>
      <c r="E73" s="135" t="s">
        <v>28</v>
      </c>
      <c r="F73" s="255"/>
    </row>
    <row r="74" spans="2:6" ht="15.75">
      <c r="B74" s="145"/>
      <c r="C74" s="637" t="s">
        <v>685</v>
      </c>
      <c r="D74" s="638"/>
      <c r="E74" s="37"/>
      <c r="F74" s="255">
        <f>IF(E71/0.95-E71&lt;E74,"Exceeds 5%","")</f>
      </c>
    </row>
    <row r="75" spans="2:5" ht="15.75">
      <c r="B75" s="423" t="str">
        <f>CONCATENATE(C89,"     ",D89)</f>
        <v>     </v>
      </c>
      <c r="C75" s="639" t="s">
        <v>686</v>
      </c>
      <c r="D75" s="640"/>
      <c r="E75" s="47">
        <f>E71+E74</f>
        <v>0</v>
      </c>
    </row>
    <row r="76" spans="2:5" ht="15.75">
      <c r="B76" s="423" t="str">
        <f>CONCATENATE(C90,"     ",D90)</f>
        <v>     </v>
      </c>
      <c r="C76" s="562"/>
      <c r="D76" s="558" t="s">
        <v>687</v>
      </c>
      <c r="E76" s="44">
        <f>IF(E75-E60&gt;0,E75-E60,0)</f>
        <v>0</v>
      </c>
    </row>
    <row r="77" spans="2:5" ht="15.75">
      <c r="B77" s="165"/>
      <c r="C77" s="556" t="s">
        <v>688</v>
      </c>
      <c r="D77" s="557">
        <f>inputOth!$E$36</f>
        <v>0</v>
      </c>
      <c r="E77" s="47">
        <f>ROUND(IF(D77&gt;0,(E76*D77),0),0)</f>
        <v>0</v>
      </c>
    </row>
    <row r="78" spans="2:5" ht="15.75">
      <c r="B78" s="18"/>
      <c r="C78" s="635" t="str">
        <f>CONCATENATE("Amount of  ",$F$3-1," Ad Valorem Tax")</f>
        <v>Amount of  2011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Pleasant Ridge Cem 14</v>
      </c>
      <c r="C1" s="241"/>
      <c r="D1" s="18"/>
      <c r="E1" s="192"/>
    </row>
    <row r="2" spans="2:5" ht="15.75">
      <c r="B2" s="18" t="str">
        <f>inputPrYr!D4</f>
        <v>Clay County</v>
      </c>
      <c r="C2" s="241"/>
      <c r="D2" s="18"/>
      <c r="E2" s="145"/>
    </row>
    <row r="3" spans="2:6" ht="15.75">
      <c r="B3" s="27" t="s">
        <v>85</v>
      </c>
      <c r="C3" s="241"/>
      <c r="D3" s="241"/>
      <c r="E3" s="242"/>
      <c r="F3" s="98">
        <f>inputPrYr!$D$6</f>
        <v>2012</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2010</v>
      </c>
      <c r="D6" s="244" t="str">
        <f>CONCATENATE("Estimate ",F3-1,"")</f>
        <v>Estimate 2011</v>
      </c>
      <c r="E6" s="244" t="str">
        <f>CONCATENATE("Year ",F3,"")</f>
        <v>Year 2012</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2010</v>
      </c>
      <c r="D39" s="244" t="str">
        <f>D6</f>
        <v>Estimate 2011</v>
      </c>
      <c r="E39" s="244" t="str">
        <f>E6</f>
        <v>Year 2012</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Pleasant Ridge Cem 14</v>
      </c>
      <c r="B1" s="277"/>
      <c r="C1" s="62"/>
      <c r="D1" s="62"/>
      <c r="E1" s="62"/>
      <c r="F1" s="278" t="s">
        <v>242</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677</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678</v>
      </c>
    </row>
    <row r="30" ht="15.75">
      <c r="A30" s="98"/>
    </row>
    <row r="31" ht="15.75">
      <c r="A31" s="344"/>
    </row>
    <row r="32" ht="69" customHeight="1">
      <c r="A32" s="523" t="s">
        <v>679</v>
      </c>
    </row>
    <row r="33" ht="15.75">
      <c r="A33" s="344"/>
    </row>
    <row r="34" ht="15.75">
      <c r="A34" s="344"/>
    </row>
    <row r="35" ht="52.5" customHeight="1">
      <c r="A35" s="523" t="s">
        <v>680</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E23" sqref="E23"/>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8"/>
    </row>
    <row r="2" spans="1:8" ht="15.75">
      <c r="A2" s="18"/>
      <c r="B2" s="18"/>
      <c r="C2" s="18"/>
      <c r="D2" s="18"/>
      <c r="E2" s="18"/>
      <c r="F2" s="18"/>
      <c r="G2" s="18"/>
      <c r="H2" s="18"/>
    </row>
    <row r="3" spans="1:9" ht="15.75">
      <c r="A3" s="629" t="s">
        <v>113</v>
      </c>
      <c r="B3" s="629"/>
      <c r="C3" s="629"/>
      <c r="D3" s="629"/>
      <c r="E3" s="629"/>
      <c r="F3" s="629"/>
      <c r="G3" s="629"/>
      <c r="H3" s="629"/>
      <c r="I3" s="54">
        <f>inputPrYr!D6</f>
        <v>2012</v>
      </c>
    </row>
    <row r="4" spans="1:8" ht="15.75">
      <c r="A4" s="598" t="str">
        <f>inputPrYr!D3</f>
        <v>Pleasant Ridge Cem 14</v>
      </c>
      <c r="B4" s="598"/>
      <c r="C4" s="598"/>
      <c r="D4" s="598"/>
      <c r="E4" s="598"/>
      <c r="F4" s="598"/>
      <c r="G4" s="598"/>
      <c r="H4" s="598"/>
    </row>
    <row r="5" spans="1:8" ht="15.75">
      <c r="A5" s="661" t="str">
        <f>inputPrYr!D4</f>
        <v>Clay County</v>
      </c>
      <c r="B5" s="661"/>
      <c r="C5" s="661"/>
      <c r="D5" s="661"/>
      <c r="E5" s="661"/>
      <c r="F5" s="661"/>
      <c r="G5" s="661"/>
      <c r="H5" s="661"/>
    </row>
    <row r="6" spans="1:8" ht="15.75">
      <c r="A6" s="650" t="str">
        <f>CONCATENATE("will meet on ",inputBudSum!B5," at ",inputBudSum!B7," at ",inputBudSum!B9," for the purpose of hearing and")</f>
        <v>will meet on  at  at  for the purpose of hearing and</v>
      </c>
      <c r="B6" s="650"/>
      <c r="C6" s="650"/>
      <c r="D6" s="650"/>
      <c r="E6" s="650"/>
      <c r="F6" s="650"/>
      <c r="G6" s="650"/>
      <c r="H6" s="650"/>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1" t="str">
        <f>CONCATENATE("Estimated Value Of One Mill For ",I3,"")</f>
        <v>Estimated Value Of One Mill For 2012</v>
      </c>
      <c r="K12" s="652"/>
      <c r="L12" s="652"/>
      <c r="M12" s="653"/>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7"/>
      <c r="K13" s="568"/>
      <c r="L13" s="568"/>
      <c r="M13" s="569"/>
    </row>
    <row r="14" spans="1:13" ht="15.75">
      <c r="A14" s="230"/>
      <c r="B14" s="108"/>
      <c r="C14" s="316" t="s">
        <v>51</v>
      </c>
      <c r="D14" s="108"/>
      <c r="E14" s="316" t="s">
        <v>51</v>
      </c>
      <c r="F14" s="230" t="s">
        <v>222</v>
      </c>
      <c r="G14" s="659" t="str">
        <f>CONCATENATE("Amount of ",I3-1," Ad Valorem Tax")</f>
        <v>Amount of 2011 Ad Valorem Tax</v>
      </c>
      <c r="H14" s="316" t="s">
        <v>585</v>
      </c>
      <c r="J14" s="570" t="s">
        <v>693</v>
      </c>
      <c r="K14" s="571"/>
      <c r="L14" s="571"/>
      <c r="M14" s="572">
        <f>ROUND(F27/1000,0)</f>
        <v>1163</v>
      </c>
    </row>
    <row r="15" spans="1:13" ht="15.75">
      <c r="A15" s="179" t="s">
        <v>52</v>
      </c>
      <c r="B15" s="117" t="s">
        <v>53</v>
      </c>
      <c r="C15" s="317" t="s">
        <v>203</v>
      </c>
      <c r="D15" s="117" t="s">
        <v>53</v>
      </c>
      <c r="E15" s="317" t="s">
        <v>203</v>
      </c>
      <c r="F15" s="117" t="s">
        <v>586</v>
      </c>
      <c r="G15" s="660"/>
      <c r="H15" s="317" t="s">
        <v>203</v>
      </c>
      <c r="J15" s="16"/>
      <c r="K15" s="16"/>
      <c r="L15" s="16"/>
      <c r="M15" s="16"/>
    </row>
    <row r="16" spans="1:13" ht="15.75">
      <c r="A16" s="38" t="str">
        <f>inputPrYr!B19</f>
        <v>General</v>
      </c>
      <c r="B16" s="128">
        <f>IF(gen!$C$50&lt;&gt;0,gen!$C$50,"  ")</f>
        <v>1187.95</v>
      </c>
      <c r="C16" s="125">
        <f>IF(inputPrYr!D38&gt;0,inputPrYr!D38,"  ")</f>
        <v>0.851</v>
      </c>
      <c r="D16" s="128">
        <f>IF(gen!$D$50&lt;&gt;0,gen!$D$50,"  ")</f>
        <v>1450</v>
      </c>
      <c r="E16" s="125">
        <f>IF(inputOth!D16&gt;0,inputOth!D16,"  ")</f>
        <v>0.801</v>
      </c>
      <c r="F16" s="128">
        <f>IF(gen!$E$50&lt;&gt;0,gen!$E$50,"  ")</f>
        <v>1450</v>
      </c>
      <c r="G16" s="128">
        <f>IF(gen!$E$57&lt;&gt;0,gen!$E$57,"  ")</f>
        <v>1022.7499999999998</v>
      </c>
      <c r="H16" s="125">
        <f>IF(gen!E57&gt;0,ROUND(G16/$F$27*1000,3)," ")</f>
        <v>0.88</v>
      </c>
      <c r="J16" s="651" t="str">
        <f>CONCATENATE("Want The Mill Rate The Same As For ",I3-1,"?")</f>
        <v>Want The Mill Rate The Same As For 2011?</v>
      </c>
      <c r="K16" s="654"/>
      <c r="L16" s="654"/>
      <c r="M16" s="655"/>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2011 Mill Rate Was:</v>
      </c>
      <c r="K18" s="568"/>
      <c r="L18" s="568"/>
      <c r="M18" s="575">
        <f>E23</f>
        <v>0.801</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2012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f>IF(M20&gt;0,"Increased By:","")</f>
      </c>
      <c r="K20" s="577"/>
      <c r="L20" s="577"/>
      <c r="M20" s="578">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-91.74999999999977</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 aca="true" t="shared" si="0" ref="B23:H23">SUM(B16:B21)</f>
        <v>1187.95</v>
      </c>
      <c r="C23" s="549">
        <f t="shared" si="0"/>
        <v>0.851</v>
      </c>
      <c r="D23" s="321">
        <f t="shared" si="0"/>
        <v>1450</v>
      </c>
      <c r="E23" s="549">
        <f t="shared" si="0"/>
        <v>0.801</v>
      </c>
      <c r="F23" s="321">
        <f t="shared" si="0"/>
        <v>1450</v>
      </c>
      <c r="G23" s="321">
        <f t="shared" si="0"/>
        <v>1022.7499999999998</v>
      </c>
      <c r="H23" s="549">
        <f t="shared" si="0"/>
        <v>0.88</v>
      </c>
      <c r="J23" s="651" t="str">
        <f>CONCATENATE("Impact On Keeping The Same Mill Rate As For ",I3-1,"")</f>
        <v>Impact On Keeping The Same Mill Rate As For 2011</v>
      </c>
      <c r="K23" s="656"/>
      <c r="L23" s="656"/>
      <c r="M23" s="657"/>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1187.95</v>
      </c>
      <c r="C25" s="320"/>
      <c r="D25" s="136">
        <f>SUM(D23-D24)</f>
        <v>1450</v>
      </c>
      <c r="E25" s="320"/>
      <c r="F25" s="546">
        <f>SUM(F23-F24)</f>
        <v>1450</v>
      </c>
      <c r="G25" s="260"/>
      <c r="H25" s="319"/>
      <c r="J25" s="573" t="str">
        <f>CONCATENATE("",I3," Ad Valorem Tax Revenue:")</f>
        <v>2012 Ad Valorem Tax Revenue:</v>
      </c>
      <c r="K25" s="568"/>
      <c r="L25" s="568"/>
      <c r="M25" s="569">
        <f>G23</f>
        <v>1022.7499999999998</v>
      </c>
    </row>
    <row r="26" spans="1:13" ht="16.5" thickTop="1">
      <c r="A26" s="35" t="s">
        <v>54</v>
      </c>
      <c r="B26" s="321">
        <f>inputPrYr!E44</f>
        <v>953</v>
      </c>
      <c r="C26" s="230"/>
      <c r="D26" s="321">
        <f>inputPrYr!E24</f>
        <v>901</v>
      </c>
      <c r="E26" s="230"/>
      <c r="F26" s="322" t="s">
        <v>179</v>
      </c>
      <c r="G26" s="18"/>
      <c r="H26" s="18"/>
      <c r="J26" s="573" t="str">
        <f>CONCATENATE("",I3-1," Ad Valorem Tax Revenue:")</f>
        <v>2011 Ad Valorem Tax Revenue:</v>
      </c>
      <c r="K26" s="568"/>
      <c r="L26" s="568"/>
      <c r="M26" s="582">
        <f>ROUND(F27*M18/1000,0)</f>
        <v>931</v>
      </c>
    </row>
    <row r="27" spans="1:13" ht="15.75">
      <c r="A27" s="35" t="s">
        <v>175</v>
      </c>
      <c r="B27" s="214">
        <f>inputPrYr!E45</f>
        <v>1119734</v>
      </c>
      <c r="C27" s="230"/>
      <c r="D27" s="214">
        <f>inputOth!E24</f>
        <v>1125382</v>
      </c>
      <c r="E27" s="230"/>
      <c r="F27" s="214">
        <f>inputOth!E7</f>
        <v>1162872</v>
      </c>
      <c r="G27" s="18"/>
      <c r="H27" s="18"/>
      <c r="J27" s="583" t="s">
        <v>694</v>
      </c>
      <c r="K27" s="584"/>
      <c r="L27" s="584"/>
      <c r="M27" s="572">
        <f>M25-M26</f>
        <v>91.74999999999977</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1" t="s">
        <v>695</v>
      </c>
      <c r="K29" s="654"/>
      <c r="L29" s="654"/>
      <c r="M29" s="655"/>
    </row>
    <row r="30" spans="1:13" ht="15.75">
      <c r="A30" s="17" t="s">
        <v>172</v>
      </c>
      <c r="B30" s="101">
        <f>I3-3</f>
        <v>2009</v>
      </c>
      <c r="C30" s="18"/>
      <c r="D30" s="101">
        <f>I3-2</f>
        <v>2010</v>
      </c>
      <c r="E30" s="18"/>
      <c r="F30" s="101">
        <f>I3-1</f>
        <v>2011</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2012 Estimated Mill Rate:</v>
      </c>
      <c r="K31" s="568"/>
      <c r="L31" s="568"/>
      <c r="M31" s="575">
        <f>H23</f>
        <v>0.88</v>
      </c>
    </row>
    <row r="32" spans="1:13" ht="15.75">
      <c r="A32" s="18" t="s">
        <v>57</v>
      </c>
      <c r="B32" s="323">
        <f>inputPrYr!D49</f>
        <v>0</v>
      </c>
      <c r="C32" s="18"/>
      <c r="D32" s="323">
        <f>inputPrYr!E49</f>
        <v>0</v>
      </c>
      <c r="E32" s="18"/>
      <c r="F32" s="323">
        <f>debt!E16</f>
        <v>0</v>
      </c>
      <c r="G32" s="18"/>
      <c r="H32" s="54"/>
      <c r="J32" s="573" t="str">
        <f>CONCATENATE("Desired ",I3," Mill Rate:")</f>
        <v>Desired 2012 Mill Rate:</v>
      </c>
      <c r="K32" s="568"/>
      <c r="L32" s="568"/>
      <c r="M32" s="586">
        <v>0</v>
      </c>
    </row>
    <row r="33" spans="1:13" ht="15.75">
      <c r="A33" s="17" t="s">
        <v>689</v>
      </c>
      <c r="B33" s="323">
        <f>inputPrYr!D50</f>
        <v>0</v>
      </c>
      <c r="C33" s="166"/>
      <c r="D33" s="323">
        <f>inputPrYr!E50</f>
        <v>0</v>
      </c>
      <c r="E33" s="18"/>
      <c r="F33" s="323">
        <f>debt!E20</f>
        <v>0</v>
      </c>
      <c r="G33" s="18"/>
      <c r="H33" s="54"/>
      <c r="J33" s="573" t="str">
        <f>CONCATENATE("",I3," Ad Valorem Tax:")</f>
        <v>2012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2012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c r="B40" s="624"/>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1:H1"/>
    <mergeCell ref="G14:G15"/>
    <mergeCell ref="A3:H3"/>
    <mergeCell ref="A4:H4"/>
    <mergeCell ref="A5:H5"/>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Pleasant Ridge Cem 14</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15" t="str">
        <f>CONCATENATE("",F1," Neighborhood Revitalization Rebate")</f>
        <v>2012 Neighborhood Revitalization Rebate</v>
      </c>
      <c r="C4" s="664"/>
      <c r="D4" s="664"/>
      <c r="E4" s="658"/>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2011 July 1 Valuation:</v>
      </c>
      <c r="B16" s="663"/>
      <c r="C16" s="665"/>
      <c r="D16" s="334">
        <f>inputOth!E7</f>
        <v>1162872</v>
      </c>
      <c r="E16" s="18"/>
      <c r="F16" s="54"/>
    </row>
    <row r="17" spans="1:6" ht="15.75">
      <c r="A17" s="18"/>
      <c r="B17" s="18"/>
      <c r="C17" s="18"/>
      <c r="D17" s="18"/>
      <c r="E17" s="18"/>
      <c r="F17" s="54"/>
    </row>
    <row r="18" spans="1:6" ht="15.75">
      <c r="A18" s="18"/>
      <c r="B18" s="665" t="s">
        <v>329</v>
      </c>
      <c r="C18" s="665"/>
      <c r="D18" s="335">
        <f>IF(D16&gt;0,(D16*0.001),"")</f>
        <v>1162.872</v>
      </c>
      <c r="E18" s="18"/>
      <c r="F18" s="54"/>
    </row>
    <row r="19" spans="1:6" ht="15.75">
      <c r="A19" s="18"/>
      <c r="B19" s="145"/>
      <c r="C19" s="145"/>
      <c r="D19" s="336"/>
      <c r="E19" s="18"/>
      <c r="F19" s="54"/>
    </row>
    <row r="20" spans="1:6" ht="15.75">
      <c r="A20" s="662" t="s">
        <v>327</v>
      </c>
      <c r="B20" s="658"/>
      <c r="C20" s="658"/>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4" t="s">
        <v>143</v>
      </c>
      <c r="C1" s="674"/>
      <c r="D1" s="674"/>
      <c r="E1" s="674"/>
      <c r="F1" s="674"/>
      <c r="G1" s="674"/>
      <c r="H1" s="674"/>
    </row>
    <row r="2" spans="2:8" ht="15.75">
      <c r="B2" s="6"/>
      <c r="C2"/>
      <c r="D2"/>
      <c r="E2"/>
      <c r="F2"/>
      <c r="G2"/>
      <c r="H2"/>
    </row>
    <row r="3" spans="2:8" ht="15.75">
      <c r="B3" s="675" t="s">
        <v>140</v>
      </c>
      <c r="C3" s="675"/>
      <c r="D3" s="675"/>
      <c r="E3" s="675"/>
      <c r="F3" s="675"/>
      <c r="G3" s="675"/>
      <c r="H3" s="675"/>
    </row>
    <row r="4" spans="2:8" ht="15.75">
      <c r="B4" s="7"/>
      <c r="C4"/>
      <c r="D4"/>
      <c r="E4"/>
      <c r="F4"/>
      <c r="G4"/>
      <c r="H4"/>
    </row>
    <row r="5" spans="2:8" ht="15.75">
      <c r="B5" s="667" t="str">
        <f>CONCATENATE("A resolution expressing the property taxation policy of the Board of ",(inputPrYr!D3)," District with respect to financing the ",inputPrYr!D6," annual budget for ",(inputPrYr!D3)," , ",(inputPrYr!D4)," , Kansas.")</f>
        <v>A resolution expressing the property taxation policy of the Board of Pleasant Ridge Cem 14 District with respect to financing the 2012 annual budget for Pleasant Ridge Cem 14 , Clay County , Kansas.</v>
      </c>
      <c r="C5" s="668"/>
      <c r="D5" s="668"/>
      <c r="E5" s="668"/>
      <c r="F5" s="668"/>
      <c r="G5" s="668"/>
      <c r="H5" s="668"/>
    </row>
    <row r="6" spans="2:10" ht="15.75">
      <c r="B6" s="668"/>
      <c r="C6" s="668"/>
      <c r="D6" s="668"/>
      <c r="E6" s="668"/>
      <c r="F6" s="668"/>
      <c r="G6" s="668"/>
      <c r="H6" s="668"/>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2012 Pleasant Ridge Cem 14 district budget exceed the amount levied to finance the</v>
      </c>
      <c r="C9"/>
      <c r="D9"/>
      <c r="E9"/>
      <c r="F9"/>
      <c r="G9"/>
      <c r="H9"/>
    </row>
    <row r="10" spans="2:8" ht="15.75">
      <c r="B10" s="12" t="str">
        <f>CONCATENATE("",inputPrYr!D6-1," ",inputPrYr!D3," except with regard to revenue produced and attributable to the")</f>
        <v>2011 Pleasant Ridge Cem 14 except with regard to revenue produced and attributable to the</v>
      </c>
      <c r="C10"/>
      <c r="D10"/>
      <c r="E10"/>
      <c r="F10"/>
      <c r="G10"/>
      <c r="H10"/>
    </row>
    <row r="11" spans="2:8" ht="15.75">
      <c r="B11" s="671" t="s">
        <v>181</v>
      </c>
      <c r="C11" s="676"/>
      <c r="D11" s="676"/>
      <c r="E11" s="676"/>
      <c r="F11" s="676"/>
      <c r="G11" s="676"/>
      <c r="H11" s="676"/>
    </row>
    <row r="12" spans="2:8" ht="15.75">
      <c r="B12" s="676"/>
      <c r="C12" s="676"/>
      <c r="D12" s="676"/>
      <c r="E12" s="676"/>
      <c r="F12" s="676"/>
      <c r="G12" s="676"/>
      <c r="H12" s="676"/>
    </row>
    <row r="13" spans="2:8" ht="15.75">
      <c r="B13" s="676"/>
      <c r="C13" s="676"/>
      <c r="D13" s="676"/>
      <c r="E13" s="676"/>
      <c r="F13" s="676"/>
      <c r="G13" s="676"/>
      <c r="H13" s="676"/>
    </row>
    <row r="14" spans="2:8" ht="15.75">
      <c r="B14" s="676"/>
      <c r="C14" s="676"/>
      <c r="D14" s="676"/>
      <c r="E14" s="676"/>
      <c r="F14" s="676"/>
      <c r="G14" s="676"/>
      <c r="H14" s="676"/>
    </row>
    <row r="15" spans="2:8" ht="15.75">
      <c r="B15" s="1"/>
      <c r="C15" s="1"/>
      <c r="D15" s="1"/>
      <c r="E15" s="1"/>
      <c r="F15" s="1"/>
      <c r="G15" s="1"/>
      <c r="H15" s="1"/>
    </row>
    <row r="16" spans="2:8" ht="15.75">
      <c r="B16" s="669" t="s">
        <v>152</v>
      </c>
      <c r="C16" s="670"/>
      <c r="D16" s="670"/>
      <c r="E16" s="670"/>
      <c r="F16" s="670"/>
      <c r="G16" s="670"/>
      <c r="H16" s="670"/>
    </row>
    <row r="17" spans="2:8" ht="15.75">
      <c r="B17" s="670"/>
      <c r="C17" s="670"/>
      <c r="D17" s="670"/>
      <c r="E17" s="670"/>
      <c r="F17" s="670"/>
      <c r="G17" s="670"/>
      <c r="H17" s="670"/>
    </row>
    <row r="18" spans="2:8" ht="15.75">
      <c r="B18" s="12"/>
      <c r="C18"/>
      <c r="D18"/>
      <c r="E18"/>
      <c r="F18"/>
      <c r="G18"/>
      <c r="H18"/>
    </row>
    <row r="19" spans="2:8" ht="15.75">
      <c r="B19" s="12" t="str">
        <f>CONCATENATE("Whereas, ",(inputPrYr!D3)," provides essential services to district residents; and")</f>
        <v>Whereas, Pleasant Ridge Cem 14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Pleasant Ridge Cem 14 that is our desire to notify the public of the possibility of increased property taxes to finance the 2012 Pleasant Ridge Cem 14  budget as defined above.</v>
      </c>
      <c r="C23" s="672"/>
      <c r="D23" s="672"/>
      <c r="E23" s="672"/>
      <c r="F23" s="672"/>
      <c r="G23" s="672"/>
      <c r="H23" s="672"/>
    </row>
    <row r="24" spans="2:8" ht="15.75">
      <c r="B24" s="672"/>
      <c r="C24" s="672"/>
      <c r="D24" s="672"/>
      <c r="E24" s="672"/>
      <c r="F24" s="672"/>
      <c r="G24" s="672"/>
      <c r="H24" s="672"/>
    </row>
    <row r="25" spans="2:8" ht="15.75">
      <c r="B25" s="672"/>
      <c r="C25" s="672"/>
      <c r="D25" s="672"/>
      <c r="E25" s="672"/>
      <c r="F25" s="672"/>
      <c r="G25" s="672"/>
      <c r="H25" s="672"/>
    </row>
    <row r="26" spans="2:8" ht="15.75">
      <c r="B26" s="12"/>
      <c r="C26"/>
      <c r="D26"/>
      <c r="E26"/>
      <c r="F26"/>
      <c r="G26"/>
      <c r="H26"/>
    </row>
    <row r="27" spans="2:8" ht="15.75">
      <c r="B27" s="669" t="str">
        <f>CONCATENATE("Adopted this _________ day of ___________, ",inputPrYr!D6-1," by the ",(inputPrYr!D3)," District Board, ",(inputPrYr!D4),", Kansas.")</f>
        <v>Adopted this _________ day of ___________, 2011 by the Pleasant Ridge Cem 14 District Board, Clay County, Kansas.</v>
      </c>
      <c r="C27" s="668"/>
      <c r="D27" s="668"/>
      <c r="E27" s="668"/>
      <c r="F27" s="668"/>
      <c r="G27" s="668"/>
      <c r="H27" s="668"/>
    </row>
    <row r="28" spans="2:8" ht="15.75">
      <c r="B28" s="668"/>
      <c r="C28" s="668"/>
      <c r="D28" s="668"/>
      <c r="E28" s="668"/>
      <c r="F28" s="668"/>
      <c r="G28" s="668"/>
      <c r="H28" s="668"/>
    </row>
    <row r="29" spans="2:8" ht="15.75">
      <c r="B29" s="8"/>
      <c r="C29"/>
      <c r="D29"/>
      <c r="E29"/>
      <c r="F29"/>
      <c r="G29"/>
      <c r="H29"/>
    </row>
    <row r="30" spans="2:8" ht="15.75">
      <c r="B30" s="8"/>
      <c r="C30"/>
      <c r="D30"/>
      <c r="E30"/>
      <c r="F30"/>
      <c r="G30"/>
      <c r="H30"/>
    </row>
    <row r="31" spans="2:8" ht="15.75">
      <c r="B31" s="9" t="str">
        <f>CONCATENATE(" ",(inputPrYr!D3)," District Board")</f>
        <v> Pleasant Ridge Cem 14 District Board</v>
      </c>
      <c r="C31"/>
      <c r="D31"/>
      <c r="E31"/>
      <c r="F31"/>
      <c r="G31"/>
      <c r="H31"/>
    </row>
    <row r="32" spans="2:8" ht="15.75">
      <c r="B32" s="8"/>
      <c r="C32"/>
      <c r="D32"/>
      <c r="E32"/>
      <c r="F32"/>
      <c r="G32"/>
      <c r="H32"/>
    </row>
    <row r="33" spans="2:8" ht="15.75">
      <c r="B33"/>
      <c r="C33"/>
      <c r="D33"/>
      <c r="E33" s="673" t="s">
        <v>141</v>
      </c>
      <c r="F33" s="673"/>
      <c r="G33" s="673"/>
      <c r="H33" s="673"/>
    </row>
    <row r="34" spans="2:8" ht="15.75">
      <c r="B34"/>
      <c r="C34"/>
      <c r="D34"/>
      <c r="E34" s="673" t="s">
        <v>144</v>
      </c>
      <c r="F34" s="673"/>
      <c r="G34" s="673"/>
      <c r="H34" s="673"/>
    </row>
    <row r="35" spans="2:8" ht="15.75">
      <c r="B35" s="8"/>
      <c r="C35"/>
      <c r="D35"/>
      <c r="E35" s="673"/>
      <c r="F35" s="673"/>
      <c r="G35" s="673"/>
      <c r="H35" s="673"/>
    </row>
    <row r="36" spans="2:8" ht="15.75">
      <c r="B36"/>
      <c r="C36"/>
      <c r="D36"/>
      <c r="E36" s="673" t="s">
        <v>141</v>
      </c>
      <c r="F36" s="673"/>
      <c r="G36" s="673"/>
      <c r="H36" s="673"/>
    </row>
    <row r="37" spans="2:8" ht="15.75">
      <c r="B37"/>
      <c r="C37"/>
      <c r="D37"/>
      <c r="E37" s="673" t="s">
        <v>145</v>
      </c>
      <c r="F37" s="673"/>
      <c r="G37" s="673"/>
      <c r="H37" s="673"/>
    </row>
    <row r="38" spans="2:8" ht="15.75">
      <c r="B38" s="8"/>
      <c r="C38"/>
      <c r="D38"/>
      <c r="E38" s="673"/>
      <c r="F38" s="673"/>
      <c r="G38" s="673"/>
      <c r="H38" s="673"/>
    </row>
    <row r="39" spans="2:8" ht="15.75">
      <c r="B39"/>
      <c r="C39"/>
      <c r="D39"/>
      <c r="E39" s="673" t="s">
        <v>141</v>
      </c>
      <c r="F39" s="673"/>
      <c r="G39" s="673"/>
      <c r="H39" s="673"/>
    </row>
    <row r="40" spans="2:8" ht="15.75">
      <c r="B40"/>
      <c r="C40"/>
      <c r="D40"/>
      <c r="E40" s="673" t="s">
        <v>146</v>
      </c>
      <c r="F40" s="673"/>
      <c r="G40" s="673"/>
      <c r="H40" s="67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66"/>
      <c r="F46" s="666"/>
      <c r="G46" s="666"/>
      <c r="H46" s="666"/>
    </row>
    <row r="47" spans="2:8" ht="15.75">
      <c r="B47" s="3"/>
      <c r="E47" s="666"/>
      <c r="F47" s="666"/>
      <c r="G47" s="666"/>
      <c r="H47" s="666"/>
    </row>
    <row r="48" spans="5:8" ht="15.75">
      <c r="E48" s="666"/>
      <c r="F48" s="666"/>
      <c r="G48" s="666"/>
      <c r="H48" s="666"/>
    </row>
    <row r="49" spans="5:8" ht="15.75">
      <c r="E49" s="666"/>
      <c r="F49" s="666"/>
      <c r="G49" s="666"/>
      <c r="H49" s="666"/>
    </row>
    <row r="50" spans="2:8" ht="15.75">
      <c r="B50" s="3"/>
      <c r="E50" s="666"/>
      <c r="F50" s="666"/>
      <c r="G50" s="666"/>
      <c r="H50" s="66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25">
      <selection activeCell="E57" sqref="E57"/>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743</v>
      </c>
      <c r="E3" s="21"/>
    </row>
    <row r="4" spans="1:5" ht="15.75">
      <c r="A4" s="19" t="s">
        <v>236</v>
      </c>
      <c r="B4" s="18"/>
      <c r="C4" s="18"/>
      <c r="D4" s="22" t="s">
        <v>744</v>
      </c>
      <c r="E4" s="21"/>
    </row>
    <row r="5" spans="1:5" ht="15.75">
      <c r="A5" s="17"/>
      <c r="B5" s="18"/>
      <c r="C5" s="18"/>
      <c r="D5" s="23"/>
      <c r="E5" s="21"/>
    </row>
    <row r="6" spans="1:5" ht="15.75">
      <c r="A6" s="19" t="s">
        <v>154</v>
      </c>
      <c r="B6" s="18"/>
      <c r="C6" s="18"/>
      <c r="D6" s="24">
        <v>2012</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2011 Budget, Certificate Page:</v>
      </c>
      <c r="B15" s="31"/>
      <c r="C15" s="18"/>
      <c r="D15" s="18"/>
      <c r="E15" s="18"/>
    </row>
    <row r="16" spans="1:5" ht="15.75">
      <c r="A16" s="30" t="s">
        <v>286</v>
      </c>
      <c r="B16" s="31"/>
      <c r="C16" s="18"/>
      <c r="D16" s="18"/>
      <c r="E16" s="18"/>
    </row>
    <row r="17" spans="1:5" ht="15.75">
      <c r="A17" s="18"/>
      <c r="B17" s="18"/>
      <c r="C17" s="32"/>
      <c r="D17" s="33">
        <f>D6-1</f>
        <v>2011</v>
      </c>
      <c r="E17" s="604" t="str">
        <f>CONCATENATE("Amount of ",D6-2,"     Ad Valorem Tax")</f>
        <v>Amount of 2010     Ad Valorem Tax</v>
      </c>
    </row>
    <row r="18" spans="1:5" ht="15.75">
      <c r="A18" s="17" t="s">
        <v>8</v>
      </c>
      <c r="B18" s="18"/>
      <c r="C18" s="32" t="s">
        <v>9</v>
      </c>
      <c r="D18" s="34" t="s">
        <v>287</v>
      </c>
      <c r="E18" s="605"/>
    </row>
    <row r="19" spans="1:5" ht="15.75">
      <c r="A19" s="18"/>
      <c r="B19" s="35" t="s">
        <v>10</v>
      </c>
      <c r="C19" s="436"/>
      <c r="D19" s="37">
        <v>1450</v>
      </c>
      <c r="E19" s="37">
        <v>901</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901</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1450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2009 Tax Rate          (2010 Column)</v>
      </c>
      <c r="E36" s="39"/>
    </row>
    <row r="37" spans="1:5" ht="15.75">
      <c r="A37" s="30" t="str">
        <f>CONCATENATE("the ",D6-1," Budget, Budget Summary Page:")</f>
        <v>the 2011 Budget, Budget Summary Page:</v>
      </c>
      <c r="B37" s="31"/>
      <c r="C37" s="18"/>
      <c r="D37" s="595"/>
      <c r="E37" s="39"/>
    </row>
    <row r="38" spans="1:5" ht="15.75">
      <c r="A38" s="18"/>
      <c r="B38" s="38" t="str">
        <f>B19</f>
        <v>General</v>
      </c>
      <c r="C38" s="18"/>
      <c r="D38" s="49">
        <v>0.851</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0.851</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953</v>
      </c>
    </row>
    <row r="45" spans="1:5" ht="15.75">
      <c r="A45" s="51" t="str">
        <f>CONCATENATE("Assessed Valuation (",D6-2," budget column)")</f>
        <v>Assessed Valuation (2010 budget column)</v>
      </c>
      <c r="B45" s="29"/>
      <c r="C45" s="18"/>
      <c r="D45" s="18"/>
      <c r="E45" s="53">
        <v>1119734</v>
      </c>
    </row>
    <row r="46" spans="1:5" ht="15.75">
      <c r="A46" s="18"/>
      <c r="B46" s="18"/>
      <c r="C46" s="18"/>
      <c r="D46" s="18"/>
      <c r="E46" s="39"/>
    </row>
    <row r="47" spans="1:5" ht="15.75">
      <c r="A47" s="29" t="s">
        <v>215</v>
      </c>
      <c r="B47" s="29"/>
      <c r="C47" s="54"/>
      <c r="D47" s="55">
        <f>D6-3</f>
        <v>2009</v>
      </c>
      <c r="E47" s="55">
        <f>D6-2</f>
        <v>2010</v>
      </c>
    </row>
    <row r="48" spans="1:5" ht="15.75">
      <c r="A48" s="56" t="s">
        <v>155</v>
      </c>
      <c r="B48" s="56"/>
      <c r="C48" s="57"/>
      <c r="D48" s="58"/>
      <c r="E48" s="58"/>
    </row>
    <row r="49" spans="1:5" ht="15.75">
      <c r="A49" s="59" t="s">
        <v>156</v>
      </c>
      <c r="B49" s="59"/>
      <c r="C49" s="60"/>
      <c r="D49" s="58"/>
      <c r="E49" s="58"/>
    </row>
    <row r="50" spans="1:5" ht="15.75">
      <c r="A50" s="59" t="s">
        <v>690</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2010 'total expenditures' exceed your 2010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2012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2010 budget was amended, did you</v>
      </c>
    </row>
    <row r="26" ht="15">
      <c r="A26" s="384" t="s">
        <v>359</v>
      </c>
    </row>
    <row r="27" ht="15">
      <c r="A27" s="384"/>
    </row>
    <row r="28" ht="15">
      <c r="A28" s="384" t="str">
        <f>CONCATENATE("Next, look to see if any of your ",inputPrYr!D6-2," expenditures can be")</f>
        <v>Next, look to see if any of your 2010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2010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2010 financial records have been closed?</v>
      </c>
    </row>
    <row r="63" ht="15">
      <c r="A63" s="384" t="s">
        <v>388</v>
      </c>
    </row>
    <row r="64" ht="15">
      <c r="A64" s="384" t="str">
        <f>CONCATENATE("(i.e. an audit for ",inputPrYr!D6-2," has been completed, or the ",inputPrYr!D6)</f>
        <v>(i.e. an audit for 2010 has been completed, or the 2012</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2010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2011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2012 'total expenditures' exceed your 2012</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7" t="s">
        <v>587</v>
      </c>
      <c r="C6" s="678"/>
      <c r="D6" s="678"/>
      <c r="E6" s="678"/>
      <c r="F6" s="678"/>
      <c r="G6" s="678"/>
      <c r="H6" s="678"/>
      <c r="I6" s="678"/>
      <c r="J6" s="678"/>
      <c r="K6" s="678"/>
      <c r="L6" s="440"/>
    </row>
    <row r="7" spans="1:12" ht="40.5" customHeight="1">
      <c r="A7" s="437"/>
      <c r="B7" s="679" t="s">
        <v>588</v>
      </c>
      <c r="C7" s="680"/>
      <c r="D7" s="680"/>
      <c r="E7" s="680"/>
      <c r="F7" s="680"/>
      <c r="G7" s="680"/>
      <c r="H7" s="680"/>
      <c r="I7" s="680"/>
      <c r="J7" s="680"/>
      <c r="K7" s="680"/>
      <c r="L7" s="437"/>
    </row>
    <row r="8" spans="1:12" ht="14.25">
      <c r="A8" s="437"/>
      <c r="B8" s="681" t="s">
        <v>589</v>
      </c>
      <c r="C8" s="681"/>
      <c r="D8" s="681"/>
      <c r="E8" s="681"/>
      <c r="F8" s="681"/>
      <c r="G8" s="681"/>
      <c r="H8" s="681"/>
      <c r="I8" s="681"/>
      <c r="J8" s="681"/>
      <c r="K8" s="681"/>
      <c r="L8" s="437"/>
    </row>
    <row r="9" spans="1:12" ht="14.25">
      <c r="A9" s="437"/>
      <c r="L9" s="437"/>
    </row>
    <row r="10" spans="1:12" ht="14.25">
      <c r="A10" s="437"/>
      <c r="B10" s="681" t="s">
        <v>590</v>
      </c>
      <c r="C10" s="681"/>
      <c r="D10" s="681"/>
      <c r="E10" s="681"/>
      <c r="F10" s="681"/>
      <c r="G10" s="681"/>
      <c r="H10" s="681"/>
      <c r="I10" s="681"/>
      <c r="J10" s="681"/>
      <c r="K10" s="681"/>
      <c r="L10" s="437"/>
    </row>
    <row r="11" spans="1:12" ht="14.25">
      <c r="A11" s="437"/>
      <c r="B11" s="441"/>
      <c r="C11" s="441"/>
      <c r="D11" s="441"/>
      <c r="E11" s="441"/>
      <c r="F11" s="441"/>
      <c r="G11" s="441"/>
      <c r="H11" s="441"/>
      <c r="I11" s="441"/>
      <c r="J11" s="441"/>
      <c r="K11" s="441"/>
      <c r="L11" s="437"/>
    </row>
    <row r="12" spans="1:12" ht="32.25" customHeight="1">
      <c r="A12" s="437"/>
      <c r="B12" s="682" t="s">
        <v>591</v>
      </c>
      <c r="C12" s="682"/>
      <c r="D12" s="682"/>
      <c r="E12" s="682"/>
      <c r="F12" s="682"/>
      <c r="G12" s="682"/>
      <c r="H12" s="682"/>
      <c r="I12" s="682"/>
      <c r="J12" s="682"/>
      <c r="K12" s="682"/>
      <c r="L12" s="437"/>
    </row>
    <row r="13" spans="1:12" ht="14.25">
      <c r="A13" s="437"/>
      <c r="L13" s="437"/>
    </row>
    <row r="14" spans="1:12" ht="14.25">
      <c r="A14" s="437"/>
      <c r="B14" s="442" t="s">
        <v>592</v>
      </c>
      <c r="L14" s="437"/>
    </row>
    <row r="15" spans="1:12" ht="14.25">
      <c r="A15" s="437"/>
      <c r="L15" s="437"/>
    </row>
    <row r="16" spans="1:12" ht="14.25">
      <c r="A16" s="437"/>
      <c r="B16" s="439" t="s">
        <v>593</v>
      </c>
      <c r="L16" s="437"/>
    </row>
    <row r="17" spans="1:12" ht="14.25">
      <c r="A17" s="437"/>
      <c r="B17" s="439" t="s">
        <v>594</v>
      </c>
      <c r="L17" s="437"/>
    </row>
    <row r="18" spans="1:12" ht="14.25">
      <c r="A18" s="437"/>
      <c r="L18" s="437"/>
    </row>
    <row r="19" spans="1:12" ht="14.25">
      <c r="A19" s="437"/>
      <c r="B19" s="442" t="s">
        <v>595</v>
      </c>
      <c r="L19" s="437"/>
    </row>
    <row r="20" spans="1:12" ht="14.25">
      <c r="A20" s="437"/>
      <c r="B20" s="442"/>
      <c r="L20" s="437"/>
    </row>
    <row r="21" spans="1:12" ht="14.25">
      <c r="A21" s="437"/>
      <c r="B21" s="439" t="s">
        <v>596</v>
      </c>
      <c r="L21" s="437"/>
    </row>
    <row r="22" spans="1:12" ht="14.25">
      <c r="A22" s="437"/>
      <c r="L22" s="437"/>
    </row>
    <row r="23" spans="1:12" ht="14.25">
      <c r="A23" s="437"/>
      <c r="B23" s="439" t="s">
        <v>597</v>
      </c>
      <c r="E23" s="439" t="s">
        <v>598</v>
      </c>
      <c r="F23" s="683">
        <v>133685008</v>
      </c>
      <c r="G23" s="683"/>
      <c r="L23" s="437"/>
    </row>
    <row r="24" spans="1:12" ht="14.25">
      <c r="A24" s="437"/>
      <c r="L24" s="437"/>
    </row>
    <row r="25" spans="1:12" ht="14.25">
      <c r="A25" s="437"/>
      <c r="C25" s="684">
        <f>F23</f>
        <v>133685008</v>
      </c>
      <c r="D25" s="684"/>
      <c r="E25" s="439" t="s">
        <v>599</v>
      </c>
      <c r="F25" s="443">
        <v>1000</v>
      </c>
      <c r="G25" s="443" t="s">
        <v>598</v>
      </c>
      <c r="H25" s="444">
        <f>F23/F25</f>
        <v>133685.008</v>
      </c>
      <c r="L25" s="437"/>
    </row>
    <row r="26" spans="1:12" ht="15" thickBot="1">
      <c r="A26" s="437"/>
      <c r="L26" s="437"/>
    </row>
    <row r="27" spans="1:12" ht="14.25">
      <c r="A27" s="437"/>
      <c r="B27" s="445" t="s">
        <v>592</v>
      </c>
      <c r="C27" s="446"/>
      <c r="D27" s="446"/>
      <c r="E27" s="446"/>
      <c r="F27" s="446"/>
      <c r="G27" s="446"/>
      <c r="H27" s="446"/>
      <c r="I27" s="446"/>
      <c r="J27" s="446"/>
      <c r="K27" s="447"/>
      <c r="L27" s="437"/>
    </row>
    <row r="28" spans="1:12" ht="14.25">
      <c r="A28" s="437"/>
      <c r="B28" s="448">
        <f>F23</f>
        <v>133685008</v>
      </c>
      <c r="C28" s="449" t="s">
        <v>600</v>
      </c>
      <c r="D28" s="449"/>
      <c r="E28" s="449" t="s">
        <v>599</v>
      </c>
      <c r="F28" s="450">
        <v>1000</v>
      </c>
      <c r="G28" s="450" t="s">
        <v>598</v>
      </c>
      <c r="H28" s="451">
        <f>B28/F28</f>
        <v>133685.008</v>
      </c>
      <c r="I28" s="449" t="s">
        <v>601</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588</v>
      </c>
      <c r="C30" s="685"/>
      <c r="D30" s="685"/>
      <c r="E30" s="685"/>
      <c r="F30" s="685"/>
      <c r="G30" s="685"/>
      <c r="H30" s="685"/>
      <c r="I30" s="685"/>
      <c r="J30" s="685"/>
      <c r="K30" s="685"/>
      <c r="L30" s="437"/>
    </row>
    <row r="31" spans="1:12" ht="14.25">
      <c r="A31" s="437"/>
      <c r="B31" s="681" t="s">
        <v>602</v>
      </c>
      <c r="C31" s="681"/>
      <c r="D31" s="681"/>
      <c r="E31" s="681"/>
      <c r="F31" s="681"/>
      <c r="G31" s="681"/>
      <c r="H31" s="681"/>
      <c r="I31" s="681"/>
      <c r="J31" s="681"/>
      <c r="K31" s="681"/>
      <c r="L31" s="437"/>
    </row>
    <row r="32" spans="1:12" ht="14.25">
      <c r="A32" s="437"/>
      <c r="L32" s="437"/>
    </row>
    <row r="33" spans="1:12" ht="14.25">
      <c r="A33" s="437"/>
      <c r="B33" s="681" t="s">
        <v>603</v>
      </c>
      <c r="C33" s="681"/>
      <c r="D33" s="681"/>
      <c r="E33" s="681"/>
      <c r="F33" s="681"/>
      <c r="G33" s="681"/>
      <c r="H33" s="681"/>
      <c r="I33" s="681"/>
      <c r="J33" s="681"/>
      <c r="K33" s="681"/>
      <c r="L33" s="437"/>
    </row>
    <row r="34" spans="1:12" ht="14.25">
      <c r="A34" s="437"/>
      <c r="L34" s="437"/>
    </row>
    <row r="35" spans="1:12" ht="89.25" customHeight="1">
      <c r="A35" s="437"/>
      <c r="B35" s="682" t="s">
        <v>604</v>
      </c>
      <c r="C35" s="686"/>
      <c r="D35" s="686"/>
      <c r="E35" s="686"/>
      <c r="F35" s="686"/>
      <c r="G35" s="686"/>
      <c r="H35" s="686"/>
      <c r="I35" s="686"/>
      <c r="J35" s="686"/>
      <c r="K35" s="686"/>
      <c r="L35" s="437"/>
    </row>
    <row r="36" spans="1:12" ht="14.25">
      <c r="A36" s="437"/>
      <c r="L36" s="437"/>
    </row>
    <row r="37" spans="1:12" ht="14.25">
      <c r="A37" s="437"/>
      <c r="B37" s="442" t="s">
        <v>605</v>
      </c>
      <c r="L37" s="437"/>
    </row>
    <row r="38" spans="1:12" ht="14.25">
      <c r="A38" s="437"/>
      <c r="L38" s="437"/>
    </row>
    <row r="39" spans="1:12" ht="14.25">
      <c r="A39" s="437"/>
      <c r="B39" s="439" t="s">
        <v>606</v>
      </c>
      <c r="L39" s="437"/>
    </row>
    <row r="40" spans="1:12" ht="14.25">
      <c r="A40" s="437"/>
      <c r="L40" s="437"/>
    </row>
    <row r="41" spans="1:12" ht="14.25">
      <c r="A41" s="437"/>
      <c r="C41" s="687">
        <v>3120000</v>
      </c>
      <c r="D41" s="687"/>
      <c r="E41" s="439" t="s">
        <v>599</v>
      </c>
      <c r="F41" s="443">
        <v>1000</v>
      </c>
      <c r="G41" s="443" t="s">
        <v>598</v>
      </c>
      <c r="H41" s="456">
        <f>C41/F41</f>
        <v>3120</v>
      </c>
      <c r="L41" s="437"/>
    </row>
    <row r="42" spans="1:12" ht="14.25">
      <c r="A42" s="437"/>
      <c r="L42" s="437"/>
    </row>
    <row r="43" spans="1:12" ht="14.25">
      <c r="A43" s="437"/>
      <c r="B43" s="439" t="s">
        <v>607</v>
      </c>
      <c r="L43" s="437"/>
    </row>
    <row r="44" spans="1:12" ht="14.25">
      <c r="A44" s="437"/>
      <c r="L44" s="437"/>
    </row>
    <row r="45" spans="1:12" ht="14.25">
      <c r="A45" s="437"/>
      <c r="B45" s="439" t="s">
        <v>608</v>
      </c>
      <c r="L45" s="437"/>
    </row>
    <row r="46" spans="1:12" ht="15" thickBot="1">
      <c r="A46" s="437"/>
      <c r="L46" s="437"/>
    </row>
    <row r="47" spans="1:12" ht="14.25">
      <c r="A47" s="437"/>
      <c r="B47" s="457" t="s">
        <v>592</v>
      </c>
      <c r="C47" s="446"/>
      <c r="D47" s="446"/>
      <c r="E47" s="446"/>
      <c r="F47" s="446"/>
      <c r="G47" s="446"/>
      <c r="H47" s="446"/>
      <c r="I47" s="446"/>
      <c r="J47" s="446"/>
      <c r="K47" s="447"/>
      <c r="L47" s="437"/>
    </row>
    <row r="48" spans="1:12" ht="14.25">
      <c r="A48" s="437"/>
      <c r="B48" s="683">
        <v>133685008</v>
      </c>
      <c r="C48" s="683"/>
      <c r="D48" s="449" t="s">
        <v>609</v>
      </c>
      <c r="E48" s="449" t="s">
        <v>599</v>
      </c>
      <c r="F48" s="450">
        <v>1000</v>
      </c>
      <c r="G48" s="450" t="s">
        <v>598</v>
      </c>
      <c r="H48" s="451">
        <f>B48/F48</f>
        <v>133685.008</v>
      </c>
      <c r="I48" s="449" t="s">
        <v>610</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611</v>
      </c>
      <c r="D50" s="449"/>
      <c r="E50" s="449" t="s">
        <v>599</v>
      </c>
      <c r="F50" s="451">
        <f>H48</f>
        <v>133685.008</v>
      </c>
      <c r="G50" s="688" t="s">
        <v>612</v>
      </c>
      <c r="H50" s="689"/>
      <c r="I50" s="450" t="s">
        <v>598</v>
      </c>
      <c r="J50" s="460">
        <f>B50/F50</f>
        <v>52.8690023342034</v>
      </c>
      <c r="K50" s="452"/>
      <c r="L50" s="437"/>
    </row>
    <row r="51" spans="1:15" ht="15" thickBot="1">
      <c r="A51" s="437"/>
      <c r="B51" s="453"/>
      <c r="C51" s="454"/>
      <c r="D51" s="454"/>
      <c r="E51" s="454"/>
      <c r="F51" s="454"/>
      <c r="G51" s="454"/>
      <c r="H51" s="454"/>
      <c r="I51" s="690" t="s">
        <v>613</v>
      </c>
      <c r="J51" s="690"/>
      <c r="K51" s="691"/>
      <c r="L51" s="437"/>
      <c r="O51" s="461"/>
    </row>
    <row r="52" spans="1:12" ht="40.5" customHeight="1">
      <c r="A52" s="437"/>
      <c r="B52" s="685" t="s">
        <v>588</v>
      </c>
      <c r="C52" s="685"/>
      <c r="D52" s="685"/>
      <c r="E52" s="685"/>
      <c r="F52" s="685"/>
      <c r="G52" s="685"/>
      <c r="H52" s="685"/>
      <c r="I52" s="685"/>
      <c r="J52" s="685"/>
      <c r="K52" s="685"/>
      <c r="L52" s="437"/>
    </row>
    <row r="53" spans="1:12" ht="14.25">
      <c r="A53" s="437"/>
      <c r="B53" s="681" t="s">
        <v>614</v>
      </c>
      <c r="C53" s="681"/>
      <c r="D53" s="681"/>
      <c r="E53" s="681"/>
      <c r="F53" s="681"/>
      <c r="G53" s="681"/>
      <c r="H53" s="681"/>
      <c r="I53" s="681"/>
      <c r="J53" s="681"/>
      <c r="K53" s="681"/>
      <c r="L53" s="437"/>
    </row>
    <row r="54" spans="1:12" ht="14.25">
      <c r="A54" s="437"/>
      <c r="B54" s="441"/>
      <c r="C54" s="441"/>
      <c r="D54" s="441"/>
      <c r="E54" s="441"/>
      <c r="F54" s="441"/>
      <c r="G54" s="441"/>
      <c r="H54" s="441"/>
      <c r="I54" s="441"/>
      <c r="J54" s="441"/>
      <c r="K54" s="441"/>
      <c r="L54" s="437"/>
    </row>
    <row r="55" spans="1:12" ht="14.25">
      <c r="A55" s="437"/>
      <c r="B55" s="677" t="s">
        <v>615</v>
      </c>
      <c r="C55" s="677"/>
      <c r="D55" s="677"/>
      <c r="E55" s="677"/>
      <c r="F55" s="677"/>
      <c r="G55" s="677"/>
      <c r="H55" s="677"/>
      <c r="I55" s="677"/>
      <c r="J55" s="677"/>
      <c r="K55" s="677"/>
      <c r="L55" s="437"/>
    </row>
    <row r="56" spans="1:12" ht="15" customHeight="1">
      <c r="A56" s="437"/>
      <c r="L56" s="437"/>
    </row>
    <row r="57" spans="1:24" ht="74.25" customHeight="1">
      <c r="A57" s="437"/>
      <c r="B57" s="682" t="s">
        <v>616</v>
      </c>
      <c r="C57" s="686"/>
      <c r="D57" s="686"/>
      <c r="E57" s="686"/>
      <c r="F57" s="686"/>
      <c r="G57" s="686"/>
      <c r="H57" s="686"/>
      <c r="I57" s="686"/>
      <c r="J57" s="686"/>
      <c r="K57" s="686"/>
      <c r="L57" s="437"/>
      <c r="M57" s="462"/>
      <c r="N57" s="463"/>
      <c r="O57" s="463"/>
      <c r="P57" s="463"/>
      <c r="Q57" s="463"/>
      <c r="R57" s="463"/>
      <c r="S57" s="463"/>
      <c r="T57" s="463"/>
      <c r="U57" s="463"/>
      <c r="V57" s="463"/>
      <c r="W57" s="463"/>
      <c r="X57" s="463"/>
    </row>
    <row r="58" spans="1:24" ht="15" customHeight="1">
      <c r="A58" s="437"/>
      <c r="B58" s="682"/>
      <c r="C58" s="686"/>
      <c r="D58" s="686"/>
      <c r="E58" s="686"/>
      <c r="F58" s="686"/>
      <c r="G58" s="686"/>
      <c r="H58" s="686"/>
      <c r="I58" s="686"/>
      <c r="J58" s="686"/>
      <c r="K58" s="686"/>
      <c r="L58" s="437"/>
      <c r="M58" s="462"/>
      <c r="N58" s="463"/>
      <c r="O58" s="463"/>
      <c r="P58" s="463"/>
      <c r="Q58" s="463"/>
      <c r="R58" s="463"/>
      <c r="S58" s="463"/>
      <c r="T58" s="463"/>
      <c r="U58" s="463"/>
      <c r="V58" s="463"/>
      <c r="W58" s="463"/>
      <c r="X58" s="463"/>
    </row>
    <row r="59" spans="1:24" ht="14.25">
      <c r="A59" s="437"/>
      <c r="B59" s="442" t="s">
        <v>605</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617</v>
      </c>
      <c r="L61" s="437"/>
      <c r="M61" s="463"/>
      <c r="N61" s="463"/>
      <c r="O61" s="463"/>
      <c r="P61" s="463"/>
      <c r="Q61" s="463"/>
      <c r="R61" s="463"/>
      <c r="S61" s="463"/>
      <c r="T61" s="463"/>
      <c r="U61" s="463"/>
      <c r="V61" s="463"/>
      <c r="W61" s="463"/>
      <c r="X61" s="463"/>
    </row>
    <row r="62" spans="1:24" ht="14.25">
      <c r="A62" s="437"/>
      <c r="B62" s="439" t="s">
        <v>618</v>
      </c>
      <c r="L62" s="437"/>
      <c r="M62" s="463"/>
      <c r="N62" s="463"/>
      <c r="O62" s="463"/>
      <c r="P62" s="463"/>
      <c r="Q62" s="463"/>
      <c r="R62" s="463"/>
      <c r="S62" s="463"/>
      <c r="T62" s="463"/>
      <c r="U62" s="463"/>
      <c r="V62" s="463"/>
      <c r="W62" s="463"/>
      <c r="X62" s="463"/>
    </row>
    <row r="63" spans="1:24" ht="14.25">
      <c r="A63" s="437"/>
      <c r="B63" s="439" t="s">
        <v>619</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620</v>
      </c>
      <c r="L65" s="437"/>
      <c r="M65" s="463"/>
      <c r="N65" s="463"/>
      <c r="O65" s="463"/>
      <c r="P65" s="463"/>
      <c r="Q65" s="463"/>
      <c r="R65" s="463"/>
      <c r="S65" s="463"/>
      <c r="T65" s="463"/>
      <c r="U65" s="463"/>
      <c r="V65" s="463"/>
      <c r="W65" s="463"/>
      <c r="X65" s="463"/>
    </row>
    <row r="66" spans="1:24" ht="14.25">
      <c r="A66" s="437"/>
      <c r="B66" s="439" t="s">
        <v>621</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622</v>
      </c>
      <c r="L68" s="437"/>
      <c r="M68" s="464"/>
      <c r="N68" s="465"/>
      <c r="O68" s="465"/>
      <c r="P68" s="465"/>
      <c r="Q68" s="465"/>
      <c r="R68" s="465"/>
      <c r="S68" s="465"/>
      <c r="T68" s="465"/>
      <c r="U68" s="465"/>
      <c r="V68" s="465"/>
      <c r="W68" s="465"/>
      <c r="X68" s="463"/>
    </row>
    <row r="69" spans="1:24" ht="14.25">
      <c r="A69" s="437"/>
      <c r="B69" s="439" t="s">
        <v>623</v>
      </c>
      <c r="L69" s="437"/>
      <c r="M69" s="463"/>
      <c r="N69" s="463"/>
      <c r="O69" s="463"/>
      <c r="P69" s="463"/>
      <c r="Q69" s="463"/>
      <c r="R69" s="463"/>
      <c r="S69" s="463"/>
      <c r="T69" s="463"/>
      <c r="U69" s="463"/>
      <c r="V69" s="463"/>
      <c r="W69" s="463"/>
      <c r="X69" s="463"/>
    </row>
    <row r="70" spans="1:24" ht="14.25">
      <c r="A70" s="437"/>
      <c r="B70" s="439" t="s">
        <v>624</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592</v>
      </c>
      <c r="C72" s="446"/>
      <c r="D72" s="446"/>
      <c r="E72" s="446"/>
      <c r="F72" s="446"/>
      <c r="G72" s="446"/>
      <c r="H72" s="446"/>
      <c r="I72" s="446"/>
      <c r="J72" s="446"/>
      <c r="K72" s="447"/>
      <c r="L72" s="466"/>
    </row>
    <row r="73" spans="1:12" ht="14.25">
      <c r="A73" s="437"/>
      <c r="B73" s="458"/>
      <c r="C73" s="449" t="s">
        <v>600</v>
      </c>
      <c r="D73" s="449"/>
      <c r="E73" s="449"/>
      <c r="F73" s="449"/>
      <c r="G73" s="449"/>
      <c r="H73" s="449"/>
      <c r="I73" s="449"/>
      <c r="J73" s="449"/>
      <c r="K73" s="452"/>
      <c r="L73" s="466"/>
    </row>
    <row r="74" spans="1:12" ht="14.25">
      <c r="A74" s="437"/>
      <c r="B74" s="458" t="s">
        <v>625</v>
      </c>
      <c r="C74" s="683">
        <v>133685008</v>
      </c>
      <c r="D74" s="683"/>
      <c r="E74" s="450" t="s">
        <v>599</v>
      </c>
      <c r="F74" s="450">
        <v>1000</v>
      </c>
      <c r="G74" s="450" t="s">
        <v>598</v>
      </c>
      <c r="H74" s="467">
        <f>C74/F74</f>
        <v>133685.008</v>
      </c>
      <c r="I74" s="449" t="s">
        <v>626</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627</v>
      </c>
      <c r="D76" s="449"/>
      <c r="E76" s="450"/>
      <c r="F76" s="449" t="s">
        <v>626</v>
      </c>
      <c r="G76" s="449"/>
      <c r="H76" s="449"/>
      <c r="I76" s="449"/>
      <c r="J76" s="449"/>
      <c r="K76" s="452"/>
      <c r="L76" s="466"/>
    </row>
    <row r="77" spans="1:12" ht="14.25">
      <c r="A77" s="437"/>
      <c r="B77" s="458" t="s">
        <v>628</v>
      </c>
      <c r="C77" s="683">
        <v>5000</v>
      </c>
      <c r="D77" s="683"/>
      <c r="E77" s="450" t="s">
        <v>599</v>
      </c>
      <c r="F77" s="467">
        <f>H74</f>
        <v>133685.008</v>
      </c>
      <c r="G77" s="450" t="s">
        <v>598</v>
      </c>
      <c r="H77" s="460">
        <f>C77/F77</f>
        <v>0.03740135169083432</v>
      </c>
      <c r="I77" s="449" t="s">
        <v>629</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630</v>
      </c>
      <c r="D79" s="469"/>
      <c r="E79" s="470"/>
      <c r="F79" s="469"/>
      <c r="G79" s="469"/>
      <c r="H79" s="469"/>
      <c r="I79" s="469"/>
      <c r="J79" s="469"/>
      <c r="K79" s="471"/>
      <c r="L79" s="466"/>
    </row>
    <row r="80" spans="1:12" ht="14.25">
      <c r="A80" s="437"/>
      <c r="B80" s="458" t="s">
        <v>631</v>
      </c>
      <c r="C80" s="683">
        <v>100000</v>
      </c>
      <c r="D80" s="683"/>
      <c r="E80" s="450" t="s">
        <v>28</v>
      </c>
      <c r="F80" s="450">
        <v>0.115</v>
      </c>
      <c r="G80" s="450" t="s">
        <v>598</v>
      </c>
      <c r="H80" s="467">
        <f>C80*F80</f>
        <v>11500</v>
      </c>
      <c r="I80" s="449" t="s">
        <v>632</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633</v>
      </c>
      <c r="D82" s="469"/>
      <c r="E82" s="470"/>
      <c r="F82" s="469" t="s">
        <v>629</v>
      </c>
      <c r="G82" s="469"/>
      <c r="H82" s="469"/>
      <c r="I82" s="469"/>
      <c r="J82" s="469" t="s">
        <v>634</v>
      </c>
      <c r="K82" s="471"/>
      <c r="L82" s="466"/>
    </row>
    <row r="83" spans="1:12" ht="14.25">
      <c r="A83" s="437"/>
      <c r="B83" s="458" t="s">
        <v>635</v>
      </c>
      <c r="C83" s="692">
        <f>H80</f>
        <v>11500</v>
      </c>
      <c r="D83" s="692"/>
      <c r="E83" s="450" t="s">
        <v>28</v>
      </c>
      <c r="F83" s="460">
        <f>H77</f>
        <v>0.03740135169083432</v>
      </c>
      <c r="G83" s="450" t="s">
        <v>599</v>
      </c>
      <c r="H83" s="450">
        <v>1000</v>
      </c>
      <c r="I83" s="450" t="s">
        <v>598</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588</v>
      </c>
      <c r="C85" s="685"/>
      <c r="D85" s="685"/>
      <c r="E85" s="685"/>
      <c r="F85" s="685"/>
      <c r="G85" s="685"/>
      <c r="H85" s="685"/>
      <c r="I85" s="685"/>
      <c r="J85" s="685"/>
      <c r="K85" s="685"/>
      <c r="L85" s="437"/>
    </row>
    <row r="86" spans="1:12" ht="14.25">
      <c r="A86" s="437"/>
      <c r="B86" s="677" t="s">
        <v>636</v>
      </c>
      <c r="C86" s="677"/>
      <c r="D86" s="677"/>
      <c r="E86" s="677"/>
      <c r="F86" s="677"/>
      <c r="G86" s="677"/>
      <c r="H86" s="677"/>
      <c r="I86" s="677"/>
      <c r="J86" s="677"/>
      <c r="K86" s="677"/>
      <c r="L86" s="437"/>
    </row>
    <row r="87" spans="1:12" ht="14.25">
      <c r="A87" s="437"/>
      <c r="B87" s="477"/>
      <c r="C87" s="477"/>
      <c r="D87" s="477"/>
      <c r="E87" s="477"/>
      <c r="F87" s="477"/>
      <c r="G87" s="477"/>
      <c r="H87" s="477"/>
      <c r="I87" s="477"/>
      <c r="J87" s="477"/>
      <c r="K87" s="477"/>
      <c r="L87" s="437"/>
    </row>
    <row r="88" spans="1:12" ht="14.25">
      <c r="A88" s="437"/>
      <c r="B88" s="677" t="s">
        <v>637</v>
      </c>
      <c r="C88" s="677"/>
      <c r="D88" s="677"/>
      <c r="E88" s="677"/>
      <c r="F88" s="677"/>
      <c r="G88" s="677"/>
      <c r="H88" s="677"/>
      <c r="I88" s="677"/>
      <c r="J88" s="677"/>
      <c r="K88" s="677"/>
      <c r="L88" s="437"/>
    </row>
    <row r="89" spans="1:12" ht="14.25">
      <c r="A89" s="437"/>
      <c r="B89" s="478"/>
      <c r="C89" s="478"/>
      <c r="D89" s="478"/>
      <c r="E89" s="478"/>
      <c r="F89" s="478"/>
      <c r="G89" s="478"/>
      <c r="H89" s="478"/>
      <c r="I89" s="478"/>
      <c r="J89" s="478"/>
      <c r="K89" s="478"/>
      <c r="L89" s="437"/>
    </row>
    <row r="90" spans="1:12" ht="45" customHeight="1">
      <c r="A90" s="437"/>
      <c r="B90" s="682" t="s">
        <v>638</v>
      </c>
      <c r="C90" s="682"/>
      <c r="D90" s="682"/>
      <c r="E90" s="682"/>
      <c r="F90" s="682"/>
      <c r="G90" s="682"/>
      <c r="H90" s="682"/>
      <c r="I90" s="682"/>
      <c r="J90" s="682"/>
      <c r="K90" s="682"/>
      <c r="L90" s="437"/>
    </row>
    <row r="91" spans="1:12" ht="15" customHeight="1" thickBot="1">
      <c r="A91" s="437"/>
      <c r="L91" s="437"/>
    </row>
    <row r="92" spans="1:12" ht="15" customHeight="1">
      <c r="A92" s="437"/>
      <c r="B92" s="479" t="s">
        <v>592</v>
      </c>
      <c r="C92" s="480"/>
      <c r="D92" s="480"/>
      <c r="E92" s="480"/>
      <c r="F92" s="480"/>
      <c r="G92" s="480"/>
      <c r="H92" s="480"/>
      <c r="I92" s="480"/>
      <c r="J92" s="480"/>
      <c r="K92" s="481"/>
      <c r="L92" s="437"/>
    </row>
    <row r="93" spans="1:12" ht="15" customHeight="1">
      <c r="A93" s="437"/>
      <c r="B93" s="482"/>
      <c r="C93" s="483" t="s">
        <v>600</v>
      </c>
      <c r="D93" s="483"/>
      <c r="E93" s="483"/>
      <c r="F93" s="483"/>
      <c r="G93" s="483"/>
      <c r="H93" s="483"/>
      <c r="I93" s="483"/>
      <c r="J93" s="483"/>
      <c r="K93" s="484"/>
      <c r="L93" s="437"/>
    </row>
    <row r="94" spans="1:12" ht="15" customHeight="1">
      <c r="A94" s="437"/>
      <c r="B94" s="482" t="s">
        <v>625</v>
      </c>
      <c r="C94" s="683">
        <v>133685008</v>
      </c>
      <c r="D94" s="683"/>
      <c r="E94" s="450" t="s">
        <v>599</v>
      </c>
      <c r="F94" s="450">
        <v>1000</v>
      </c>
      <c r="G94" s="450" t="s">
        <v>598</v>
      </c>
      <c r="H94" s="467">
        <f>C94/F94</f>
        <v>133685.008</v>
      </c>
      <c r="I94" s="483" t="s">
        <v>626</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627</v>
      </c>
      <c r="D96" s="483"/>
      <c r="E96" s="450"/>
      <c r="F96" s="483" t="s">
        <v>626</v>
      </c>
      <c r="G96" s="483"/>
      <c r="H96" s="483"/>
      <c r="I96" s="483"/>
      <c r="J96" s="483"/>
      <c r="K96" s="484"/>
      <c r="L96" s="437"/>
    </row>
    <row r="97" spans="1:12" ht="15" customHeight="1">
      <c r="A97" s="437"/>
      <c r="B97" s="482" t="s">
        <v>628</v>
      </c>
      <c r="C97" s="683">
        <v>50000</v>
      </c>
      <c r="D97" s="683"/>
      <c r="E97" s="450" t="s">
        <v>599</v>
      </c>
      <c r="F97" s="467">
        <f>H94</f>
        <v>133685.008</v>
      </c>
      <c r="G97" s="450" t="s">
        <v>598</v>
      </c>
      <c r="H97" s="460">
        <f>C97/F97</f>
        <v>0.3740135169083432</v>
      </c>
      <c r="I97" s="483" t="s">
        <v>629</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639</v>
      </c>
      <c r="D99" s="486"/>
      <c r="E99" s="470"/>
      <c r="F99" s="486"/>
      <c r="G99" s="486"/>
      <c r="H99" s="486"/>
      <c r="I99" s="486"/>
      <c r="J99" s="486"/>
      <c r="K99" s="487"/>
      <c r="L99" s="437"/>
    </row>
    <row r="100" spans="1:12" ht="15" customHeight="1">
      <c r="A100" s="437"/>
      <c r="B100" s="482" t="s">
        <v>631</v>
      </c>
      <c r="C100" s="683">
        <v>2500000</v>
      </c>
      <c r="D100" s="683"/>
      <c r="E100" s="450" t="s">
        <v>28</v>
      </c>
      <c r="F100" s="488">
        <v>0.3</v>
      </c>
      <c r="G100" s="450" t="s">
        <v>598</v>
      </c>
      <c r="H100" s="467">
        <f>C100*F100</f>
        <v>750000</v>
      </c>
      <c r="I100" s="483" t="s">
        <v>632</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633</v>
      </c>
      <c r="D102" s="486"/>
      <c r="E102" s="470"/>
      <c r="F102" s="486" t="s">
        <v>629</v>
      </c>
      <c r="G102" s="486"/>
      <c r="H102" s="486"/>
      <c r="I102" s="486"/>
      <c r="J102" s="486" t="s">
        <v>634</v>
      </c>
      <c r="K102" s="487"/>
      <c r="L102" s="437"/>
    </row>
    <row r="103" spans="1:12" ht="15" customHeight="1">
      <c r="A103" s="437"/>
      <c r="B103" s="482" t="s">
        <v>635</v>
      </c>
      <c r="C103" s="692">
        <f>H100</f>
        <v>750000</v>
      </c>
      <c r="D103" s="692"/>
      <c r="E103" s="450" t="s">
        <v>28</v>
      </c>
      <c r="F103" s="460">
        <f>H97</f>
        <v>0.3740135169083432</v>
      </c>
      <c r="G103" s="450" t="s">
        <v>599</v>
      </c>
      <c r="H103" s="450">
        <v>1000</v>
      </c>
      <c r="I103" s="450" t="s">
        <v>598</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588</v>
      </c>
      <c r="C105" s="693"/>
      <c r="D105" s="693"/>
      <c r="E105" s="693"/>
      <c r="F105" s="693"/>
      <c r="G105" s="693"/>
      <c r="H105" s="693"/>
      <c r="I105" s="693"/>
      <c r="J105" s="693"/>
      <c r="K105" s="693"/>
      <c r="L105" s="437"/>
    </row>
    <row r="106" spans="1:12" ht="15" customHeight="1">
      <c r="A106" s="437"/>
      <c r="B106" s="694" t="s">
        <v>640</v>
      </c>
      <c r="C106" s="678"/>
      <c r="D106" s="678"/>
      <c r="E106" s="678"/>
      <c r="F106" s="678"/>
      <c r="G106" s="678"/>
      <c r="H106" s="678"/>
      <c r="I106" s="678"/>
      <c r="J106" s="678"/>
      <c r="K106" s="678"/>
      <c r="L106" s="437"/>
    </row>
    <row r="107" spans="1:12" ht="15" customHeight="1">
      <c r="A107" s="437"/>
      <c r="B107" s="483"/>
      <c r="C107" s="491"/>
      <c r="D107" s="491"/>
      <c r="E107" s="450"/>
      <c r="F107" s="460"/>
      <c r="G107" s="450"/>
      <c r="H107" s="450"/>
      <c r="I107" s="450"/>
      <c r="J107" s="472"/>
      <c r="K107" s="483"/>
      <c r="L107" s="437"/>
    </row>
    <row r="108" spans="1:12" ht="15" customHeight="1">
      <c r="A108" s="437"/>
      <c r="B108" s="694" t="s">
        <v>641</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642</v>
      </c>
      <c r="C110" s="686"/>
      <c r="D110" s="686"/>
      <c r="E110" s="686"/>
      <c r="F110" s="686"/>
      <c r="G110" s="686"/>
      <c r="H110" s="686"/>
      <c r="I110" s="686"/>
      <c r="J110" s="686"/>
      <c r="K110" s="686"/>
      <c r="L110" s="437"/>
    </row>
    <row r="111" spans="1:12" ht="15" thickBot="1">
      <c r="A111" s="437"/>
      <c r="B111" s="441"/>
      <c r="C111" s="441"/>
      <c r="D111" s="441"/>
      <c r="E111" s="441"/>
      <c r="F111" s="441"/>
      <c r="G111" s="441"/>
      <c r="H111" s="441"/>
      <c r="I111" s="441"/>
      <c r="J111" s="441"/>
      <c r="K111" s="441"/>
      <c r="L111" s="492"/>
    </row>
    <row r="112" spans="1:12" ht="14.25">
      <c r="A112" s="437"/>
      <c r="B112" s="445" t="s">
        <v>592</v>
      </c>
      <c r="C112" s="446"/>
      <c r="D112" s="446"/>
      <c r="E112" s="446"/>
      <c r="F112" s="446"/>
      <c r="G112" s="446"/>
      <c r="H112" s="446"/>
      <c r="I112" s="446"/>
      <c r="J112" s="446"/>
      <c r="K112" s="447"/>
      <c r="L112" s="437"/>
    </row>
    <row r="113" spans="1:12" ht="14.25">
      <c r="A113" s="437"/>
      <c r="B113" s="458"/>
      <c r="C113" s="449" t="s">
        <v>600</v>
      </c>
      <c r="D113" s="449"/>
      <c r="E113" s="449"/>
      <c r="F113" s="449"/>
      <c r="G113" s="449"/>
      <c r="H113" s="449"/>
      <c r="I113" s="449"/>
      <c r="J113" s="449"/>
      <c r="K113" s="452"/>
      <c r="L113" s="437"/>
    </row>
    <row r="114" spans="1:12" ht="14.25">
      <c r="A114" s="437"/>
      <c r="B114" s="458" t="s">
        <v>625</v>
      </c>
      <c r="C114" s="683">
        <v>133685008</v>
      </c>
      <c r="D114" s="683"/>
      <c r="E114" s="450" t="s">
        <v>599</v>
      </c>
      <c r="F114" s="450">
        <v>1000</v>
      </c>
      <c r="G114" s="450" t="s">
        <v>598</v>
      </c>
      <c r="H114" s="467">
        <f>C114/F114</f>
        <v>133685.008</v>
      </c>
      <c r="I114" s="449" t="s">
        <v>626</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627</v>
      </c>
      <c r="D116" s="449"/>
      <c r="E116" s="450"/>
      <c r="F116" s="449" t="s">
        <v>626</v>
      </c>
      <c r="G116" s="449"/>
      <c r="H116" s="449"/>
      <c r="I116" s="449"/>
      <c r="J116" s="449"/>
      <c r="K116" s="452"/>
      <c r="L116" s="437"/>
    </row>
    <row r="117" spans="1:12" ht="14.25">
      <c r="A117" s="437"/>
      <c r="B117" s="458" t="s">
        <v>628</v>
      </c>
      <c r="C117" s="683">
        <v>50000</v>
      </c>
      <c r="D117" s="683"/>
      <c r="E117" s="450" t="s">
        <v>599</v>
      </c>
      <c r="F117" s="467">
        <f>H114</f>
        <v>133685.008</v>
      </c>
      <c r="G117" s="450" t="s">
        <v>598</v>
      </c>
      <c r="H117" s="460">
        <f>C117/F117</f>
        <v>0.3740135169083432</v>
      </c>
      <c r="I117" s="449" t="s">
        <v>629</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639</v>
      </c>
      <c r="D119" s="469"/>
      <c r="E119" s="470"/>
      <c r="F119" s="469"/>
      <c r="G119" s="469"/>
      <c r="H119" s="469"/>
      <c r="I119" s="469"/>
      <c r="J119" s="469"/>
      <c r="K119" s="471"/>
      <c r="L119" s="437"/>
    </row>
    <row r="120" spans="1:12" ht="14.25">
      <c r="A120" s="437"/>
      <c r="B120" s="458" t="s">
        <v>631</v>
      </c>
      <c r="C120" s="683">
        <v>2500000</v>
      </c>
      <c r="D120" s="683"/>
      <c r="E120" s="450" t="s">
        <v>28</v>
      </c>
      <c r="F120" s="488">
        <v>0.25</v>
      </c>
      <c r="G120" s="450" t="s">
        <v>598</v>
      </c>
      <c r="H120" s="467">
        <f>C120*F120</f>
        <v>625000</v>
      </c>
      <c r="I120" s="449" t="s">
        <v>632</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633</v>
      </c>
      <c r="D122" s="469"/>
      <c r="E122" s="470"/>
      <c r="F122" s="469" t="s">
        <v>629</v>
      </c>
      <c r="G122" s="469"/>
      <c r="H122" s="469"/>
      <c r="I122" s="469"/>
      <c r="J122" s="469" t="s">
        <v>634</v>
      </c>
      <c r="K122" s="471"/>
      <c r="L122" s="437"/>
    </row>
    <row r="123" spans="1:12" ht="14.25">
      <c r="A123" s="437"/>
      <c r="B123" s="458" t="s">
        <v>635</v>
      </c>
      <c r="C123" s="692">
        <f>H120</f>
        <v>625000</v>
      </c>
      <c r="D123" s="692"/>
      <c r="E123" s="450" t="s">
        <v>28</v>
      </c>
      <c r="F123" s="460">
        <f>H117</f>
        <v>0.3740135169083432</v>
      </c>
      <c r="G123" s="450" t="s">
        <v>599</v>
      </c>
      <c r="H123" s="450">
        <v>1000</v>
      </c>
      <c r="I123" s="450" t="s">
        <v>598</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588</v>
      </c>
      <c r="C125" s="685"/>
      <c r="D125" s="685"/>
      <c r="E125" s="685"/>
      <c r="F125" s="685"/>
      <c r="G125" s="685"/>
      <c r="H125" s="685"/>
      <c r="I125" s="685"/>
      <c r="J125" s="685"/>
      <c r="K125" s="685"/>
      <c r="L125" s="492"/>
    </row>
    <row r="126" spans="1:12" ht="14.25">
      <c r="A126" s="437"/>
      <c r="B126" s="677" t="s">
        <v>643</v>
      </c>
      <c r="C126" s="677"/>
      <c r="D126" s="677"/>
      <c r="E126" s="677"/>
      <c r="F126" s="677"/>
      <c r="G126" s="677"/>
      <c r="H126" s="677"/>
      <c r="I126" s="677"/>
      <c r="J126" s="677"/>
      <c r="K126" s="677"/>
      <c r="L126" s="492"/>
    </row>
    <row r="127" spans="1:12" ht="14.25">
      <c r="A127" s="437"/>
      <c r="B127" s="441"/>
      <c r="C127" s="441"/>
      <c r="D127" s="441"/>
      <c r="E127" s="441"/>
      <c r="F127" s="441"/>
      <c r="G127" s="441"/>
      <c r="H127" s="441"/>
      <c r="I127" s="441"/>
      <c r="J127" s="441"/>
      <c r="K127" s="441"/>
      <c r="L127" s="492"/>
    </row>
    <row r="128" spans="1:12" ht="14.25">
      <c r="A128" s="437"/>
      <c r="B128" s="677" t="s">
        <v>644</v>
      </c>
      <c r="C128" s="677"/>
      <c r="D128" s="677"/>
      <c r="E128" s="677"/>
      <c r="F128" s="677"/>
      <c r="G128" s="677"/>
      <c r="H128" s="677"/>
      <c r="I128" s="677"/>
      <c r="J128" s="677"/>
      <c r="K128" s="677"/>
      <c r="L128" s="492"/>
    </row>
    <row r="129" spans="1:12" ht="14.25">
      <c r="A129" s="437"/>
      <c r="B129" s="478"/>
      <c r="C129" s="478"/>
      <c r="D129" s="478"/>
      <c r="E129" s="478"/>
      <c r="F129" s="478"/>
      <c r="G129" s="478"/>
      <c r="H129" s="478"/>
      <c r="I129" s="478"/>
      <c r="J129" s="478"/>
      <c r="K129" s="478"/>
      <c r="L129" s="492"/>
    </row>
    <row r="130" spans="1:12" ht="74.25" customHeight="1">
      <c r="A130" s="437"/>
      <c r="B130" s="682" t="s">
        <v>645</v>
      </c>
      <c r="C130" s="682"/>
      <c r="D130" s="682"/>
      <c r="E130" s="682"/>
      <c r="F130" s="682"/>
      <c r="G130" s="682"/>
      <c r="H130" s="682"/>
      <c r="I130" s="682"/>
      <c r="J130" s="682"/>
      <c r="K130" s="682"/>
      <c r="L130" s="492"/>
    </row>
    <row r="131" spans="1:12" ht="15" thickBot="1">
      <c r="A131" s="437"/>
      <c r="L131" s="437"/>
    </row>
    <row r="132" spans="1:12" ht="14.25">
      <c r="A132" s="437"/>
      <c r="B132" s="445" t="s">
        <v>592</v>
      </c>
      <c r="C132" s="446"/>
      <c r="D132" s="446"/>
      <c r="E132" s="446"/>
      <c r="F132" s="446"/>
      <c r="G132" s="446"/>
      <c r="H132" s="446"/>
      <c r="I132" s="446"/>
      <c r="J132" s="446"/>
      <c r="K132" s="447"/>
      <c r="L132" s="437"/>
    </row>
    <row r="133" spans="1:12" ht="14.25">
      <c r="A133" s="437"/>
      <c r="B133" s="458"/>
      <c r="C133" s="697" t="s">
        <v>646</v>
      </c>
      <c r="D133" s="697"/>
      <c r="E133" s="449"/>
      <c r="F133" s="450" t="s">
        <v>647</v>
      </c>
      <c r="G133" s="449"/>
      <c r="H133" s="697" t="s">
        <v>632</v>
      </c>
      <c r="I133" s="697"/>
      <c r="J133" s="449"/>
      <c r="K133" s="452"/>
      <c r="L133" s="437"/>
    </row>
    <row r="134" spans="1:12" ht="14.25">
      <c r="A134" s="437"/>
      <c r="B134" s="458" t="s">
        <v>625</v>
      </c>
      <c r="C134" s="683">
        <v>100000</v>
      </c>
      <c r="D134" s="683"/>
      <c r="E134" s="450" t="s">
        <v>28</v>
      </c>
      <c r="F134" s="450">
        <v>0.115</v>
      </c>
      <c r="G134" s="450" t="s">
        <v>598</v>
      </c>
      <c r="H134" s="698">
        <f>C134*F134</f>
        <v>11500</v>
      </c>
      <c r="I134" s="69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9" t="s">
        <v>632</v>
      </c>
      <c r="D136" s="699"/>
      <c r="E136" s="469"/>
      <c r="F136" s="470" t="s">
        <v>648</v>
      </c>
      <c r="G136" s="470"/>
      <c r="H136" s="469"/>
      <c r="I136" s="469"/>
      <c r="J136" s="469" t="s">
        <v>649</v>
      </c>
      <c r="K136" s="471"/>
      <c r="L136" s="437"/>
    </row>
    <row r="137" spans="1:12" ht="14.25">
      <c r="A137" s="437"/>
      <c r="B137" s="458" t="s">
        <v>628</v>
      </c>
      <c r="C137" s="698">
        <f>H134</f>
        <v>11500</v>
      </c>
      <c r="D137" s="698"/>
      <c r="E137" s="450" t="s">
        <v>28</v>
      </c>
      <c r="F137" s="493">
        <v>52.869</v>
      </c>
      <c r="G137" s="450" t="s">
        <v>599</v>
      </c>
      <c r="H137" s="450">
        <v>1000</v>
      </c>
      <c r="I137" s="450" t="s">
        <v>598</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588</v>
      </c>
      <c r="C139" s="499"/>
      <c r="D139" s="499"/>
      <c r="E139" s="500"/>
      <c r="F139" s="501"/>
      <c r="G139" s="500"/>
      <c r="H139" s="500"/>
      <c r="I139" s="500"/>
      <c r="J139" s="502"/>
      <c r="K139" s="503"/>
      <c r="L139" s="437"/>
    </row>
    <row r="140" spans="1:12" ht="14.25">
      <c r="A140" s="437"/>
      <c r="B140" s="504" t="s">
        <v>650</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651</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700" t="s">
        <v>652</v>
      </c>
      <c r="C144" s="701"/>
      <c r="D144" s="701"/>
      <c r="E144" s="701"/>
      <c r="F144" s="701"/>
      <c r="G144" s="701"/>
      <c r="H144" s="701"/>
      <c r="I144" s="701"/>
      <c r="J144" s="701"/>
      <c r="K144" s="702"/>
      <c r="L144" s="437"/>
    </row>
    <row r="145" spans="1:12" ht="15" thickBot="1">
      <c r="A145" s="437"/>
      <c r="B145" s="458"/>
      <c r="C145" s="467"/>
      <c r="D145" s="467"/>
      <c r="E145" s="450"/>
      <c r="F145" s="510"/>
      <c r="G145" s="450"/>
      <c r="H145" s="450"/>
      <c r="I145" s="450"/>
      <c r="J145" s="494"/>
      <c r="K145" s="452"/>
      <c r="L145" s="437"/>
    </row>
    <row r="146" spans="1:12" ht="14.25">
      <c r="A146" s="437"/>
      <c r="B146" s="445" t="s">
        <v>592</v>
      </c>
      <c r="C146" s="511"/>
      <c r="D146" s="511"/>
      <c r="E146" s="512"/>
      <c r="F146" s="513"/>
      <c r="G146" s="512"/>
      <c r="H146" s="512"/>
      <c r="I146" s="512"/>
      <c r="J146" s="514"/>
      <c r="K146" s="447"/>
      <c r="L146" s="437"/>
    </row>
    <row r="147" spans="1:12" ht="14.25">
      <c r="A147" s="437"/>
      <c r="B147" s="458"/>
      <c r="C147" s="698" t="s">
        <v>653</v>
      </c>
      <c r="D147" s="698"/>
      <c r="E147" s="450"/>
      <c r="F147" s="510" t="s">
        <v>654</v>
      </c>
      <c r="G147" s="450"/>
      <c r="H147" s="450"/>
      <c r="I147" s="450"/>
      <c r="J147" s="703" t="s">
        <v>655</v>
      </c>
      <c r="K147" s="704"/>
      <c r="L147" s="437"/>
    </row>
    <row r="148" spans="1:12" ht="14.25">
      <c r="A148" s="437"/>
      <c r="B148" s="458"/>
      <c r="C148" s="705">
        <v>52.869</v>
      </c>
      <c r="D148" s="705"/>
      <c r="E148" s="450" t="s">
        <v>28</v>
      </c>
      <c r="F148" s="515">
        <v>133685008</v>
      </c>
      <c r="G148" s="516" t="s">
        <v>599</v>
      </c>
      <c r="H148" s="450">
        <v>1000</v>
      </c>
      <c r="I148" s="450" t="s">
        <v>598</v>
      </c>
      <c r="J148" s="698">
        <f>C148*(F148/1000)</f>
        <v>7067792.687952</v>
      </c>
      <c r="K148" s="70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656</v>
      </c>
    </row>
    <row r="3" ht="31.5">
      <c r="A3" s="519" t="s">
        <v>657</v>
      </c>
    </row>
    <row r="4" ht="15.75">
      <c r="A4" s="520" t="s">
        <v>658</v>
      </c>
    </row>
    <row r="7" ht="31.5">
      <c r="A7" s="519" t="s">
        <v>659</v>
      </c>
    </row>
    <row r="8" ht="15.75">
      <c r="A8" s="520" t="s">
        <v>660</v>
      </c>
    </row>
    <row r="11" ht="15.75">
      <c r="A11" s="521" t="s">
        <v>661</v>
      </c>
    </row>
    <row r="12" ht="15.75">
      <c r="A12" s="520" t="s">
        <v>662</v>
      </c>
    </row>
    <row r="15" ht="15.75">
      <c r="A15" s="521" t="s">
        <v>663</v>
      </c>
    </row>
    <row r="16" ht="15.75">
      <c r="A16" s="520" t="s">
        <v>664</v>
      </c>
    </row>
    <row r="19" ht="15.75">
      <c r="A19" s="521" t="s">
        <v>665</v>
      </c>
    </row>
    <row r="20" ht="15.75">
      <c r="A20" s="520" t="s">
        <v>666</v>
      </c>
    </row>
    <row r="23" ht="15.75">
      <c r="A23" s="521" t="s">
        <v>667</v>
      </c>
    </row>
    <row r="24" ht="15.75">
      <c r="A24" s="520" t="s">
        <v>668</v>
      </c>
    </row>
    <row r="27" ht="15.75">
      <c r="A27" s="521" t="s">
        <v>669</v>
      </c>
    </row>
    <row r="28" ht="15.75">
      <c r="A28" s="520" t="s">
        <v>670</v>
      </c>
    </row>
    <row r="31" ht="15.75">
      <c r="A31" s="521" t="s">
        <v>671</v>
      </c>
    </row>
    <row r="32" ht="15.75">
      <c r="A32" s="520" t="s">
        <v>672</v>
      </c>
    </row>
    <row r="35" ht="15.75">
      <c r="A35" s="521" t="s">
        <v>673</v>
      </c>
    </row>
    <row r="36" ht="15.75">
      <c r="A36" s="520" t="s">
        <v>674</v>
      </c>
    </row>
    <row r="39" ht="15.75">
      <c r="A39" s="521" t="s">
        <v>675</v>
      </c>
    </row>
    <row r="40" ht="15.75">
      <c r="A40" s="520" t="s">
        <v>676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09"/>
  <sheetViews>
    <sheetView zoomScalePageLayoutView="0" workbookViewId="0" topLeftCell="A1">
      <selection activeCell="B18" sqref="B18"/>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696</v>
      </c>
    </row>
    <row r="2" ht="15.75">
      <c r="A2" s="591" t="s">
        <v>697</v>
      </c>
    </row>
    <row r="3" ht="15.75">
      <c r="A3" s="591" t="s">
        <v>698</v>
      </c>
    </row>
    <row r="4" ht="31.5">
      <c r="A4" s="592" t="s">
        <v>738</v>
      </c>
    </row>
    <row r="5" ht="15.75">
      <c r="A5" s="591" t="s">
        <v>699</v>
      </c>
    </row>
    <row r="6" ht="15.75">
      <c r="A6" s="591" t="s">
        <v>700</v>
      </c>
    </row>
    <row r="7" ht="15.75">
      <c r="A7" s="591" t="s">
        <v>701</v>
      </c>
    </row>
    <row r="8" ht="15.75">
      <c r="A8" s="591" t="s">
        <v>702</v>
      </c>
    </row>
    <row r="9" ht="15.75">
      <c r="A9" s="591" t="s">
        <v>703</v>
      </c>
    </row>
    <row r="10" ht="15.75">
      <c r="A10" s="591" t="s">
        <v>704</v>
      </c>
    </row>
    <row r="11" ht="15.75">
      <c r="A11" s="591" t="s">
        <v>705</v>
      </c>
    </row>
    <row r="12" ht="15.75">
      <c r="A12" s="591" t="s">
        <v>706</v>
      </c>
    </row>
    <row r="13" ht="15.75">
      <c r="A13" s="591" t="s">
        <v>707</v>
      </c>
    </row>
    <row r="14" ht="15.75">
      <c r="A14" s="591" t="s">
        <v>708</v>
      </c>
    </row>
    <row r="15" ht="15.75">
      <c r="A15" s="591" t="s">
        <v>709</v>
      </c>
    </row>
    <row r="16" ht="15.75">
      <c r="A16" s="591" t="s">
        <v>710</v>
      </c>
    </row>
    <row r="17" ht="15.75">
      <c r="A17" s="591" t="s">
        <v>711</v>
      </c>
    </row>
    <row r="18" ht="15.75">
      <c r="A18" s="591" t="s">
        <v>712</v>
      </c>
    </row>
    <row r="19" ht="15.75">
      <c r="A19" s="591" t="s">
        <v>713</v>
      </c>
    </row>
    <row r="20" ht="15.75">
      <c r="A20" s="591" t="s">
        <v>714</v>
      </c>
    </row>
    <row r="21" ht="15.75">
      <c r="A21" s="591" t="s">
        <v>715</v>
      </c>
    </row>
    <row r="22" ht="15.75">
      <c r="A22" s="591" t="s">
        <v>716</v>
      </c>
    </row>
    <row r="23" ht="15.75">
      <c r="A23" s="591" t="s">
        <v>717</v>
      </c>
    </row>
    <row r="24" ht="15.75">
      <c r="A24" s="591" t="s">
        <v>739</v>
      </c>
    </row>
    <row r="26" ht="15.75">
      <c r="A26" s="381" t="s">
        <v>576</v>
      </c>
    </row>
    <row r="27" ht="15.75">
      <c r="A27" s="98" t="s">
        <v>579</v>
      </c>
    </row>
    <row r="28" ht="15.75">
      <c r="A28" s="98" t="s">
        <v>577</v>
      </c>
    </row>
    <row r="29" ht="15.75">
      <c r="A29" s="98" t="s">
        <v>578</v>
      </c>
    </row>
    <row r="31" ht="15.75">
      <c r="A31" s="394" t="s">
        <v>568</v>
      </c>
    </row>
    <row r="32" ht="15.75">
      <c r="A32" s="98" t="s">
        <v>575</v>
      </c>
    </row>
    <row r="34" ht="15.75">
      <c r="A34" s="381" t="s">
        <v>341</v>
      </c>
    </row>
    <row r="35" ht="15.75">
      <c r="A35" s="382" t="s">
        <v>342</v>
      </c>
    </row>
    <row r="36" ht="15.75">
      <c r="A36" s="382" t="s">
        <v>343</v>
      </c>
    </row>
    <row r="37" ht="15.75">
      <c r="A37" s="382" t="s">
        <v>344</v>
      </c>
    </row>
    <row r="38" ht="15.75">
      <c r="A38" s="98" t="s">
        <v>345</v>
      </c>
    </row>
    <row r="40" ht="15.75">
      <c r="A40" s="340" t="s">
        <v>297</v>
      </c>
    </row>
    <row r="41" ht="15.75">
      <c r="A41" s="98" t="s">
        <v>288</v>
      </c>
    </row>
    <row r="42" ht="15.75">
      <c r="A42" s="98" t="s">
        <v>289</v>
      </c>
    </row>
    <row r="43" ht="15.75">
      <c r="A43" s="98" t="s">
        <v>290</v>
      </c>
    </row>
    <row r="44" ht="15.75">
      <c r="A44" s="98" t="s">
        <v>291</v>
      </c>
    </row>
    <row r="45" ht="15.75">
      <c r="A45" s="98" t="s">
        <v>292</v>
      </c>
    </row>
    <row r="46" ht="15.75">
      <c r="A46" s="98" t="s">
        <v>293</v>
      </c>
    </row>
    <row r="47" ht="15.75">
      <c r="A47" s="98" t="s">
        <v>310</v>
      </c>
    </row>
    <row r="48" ht="15.75">
      <c r="A48" s="98" t="s">
        <v>311</v>
      </c>
    </row>
    <row r="49" ht="15.75">
      <c r="A49" s="98" t="s">
        <v>312</v>
      </c>
    </row>
    <row r="50" ht="15.75">
      <c r="A50" s="98" t="s">
        <v>313</v>
      </c>
    </row>
    <row r="51" ht="15.75">
      <c r="A51" s="98" t="s">
        <v>314</v>
      </c>
    </row>
    <row r="52" ht="15.75">
      <c r="A52" s="98" t="s">
        <v>315</v>
      </c>
    </row>
    <row r="54" ht="15.75">
      <c r="A54" s="340" t="s">
        <v>283</v>
      </c>
    </row>
    <row r="55" ht="15.75">
      <c r="A55" s="98" t="s">
        <v>294</v>
      </c>
    </row>
    <row r="56" ht="15.75">
      <c r="A56" s="98" t="s">
        <v>284</v>
      </c>
    </row>
    <row r="57" ht="15.75">
      <c r="A57" s="98" t="s">
        <v>285</v>
      </c>
    </row>
    <row r="59" ht="15.75">
      <c r="A59" s="340" t="s">
        <v>279</v>
      </c>
    </row>
    <row r="60" ht="15.75">
      <c r="A60" s="98" t="s">
        <v>280</v>
      </c>
    </row>
    <row r="61" ht="15.75">
      <c r="A61" s="98" t="s">
        <v>281</v>
      </c>
    </row>
    <row r="63" ht="15.75">
      <c r="A63" s="340" t="s">
        <v>260</v>
      </c>
    </row>
    <row r="64" ht="15.75">
      <c r="A64" s="98" t="s">
        <v>261</v>
      </c>
    </row>
    <row r="65" ht="36" customHeight="1">
      <c r="A65" s="341" t="s">
        <v>262</v>
      </c>
    </row>
    <row r="66" ht="15.75">
      <c r="A66" s="98" t="s">
        <v>263</v>
      </c>
    </row>
    <row r="67" ht="18.75" customHeight="1">
      <c r="A67" s="98" t="s">
        <v>264</v>
      </c>
    </row>
    <row r="68" ht="15.75">
      <c r="A68" s="98" t="s">
        <v>265</v>
      </c>
    </row>
    <row r="69" ht="24.75" customHeight="1">
      <c r="A69" s="98" t="s">
        <v>266</v>
      </c>
    </row>
    <row r="70" ht="39" customHeight="1">
      <c r="A70" s="341" t="s">
        <v>267</v>
      </c>
    </row>
    <row r="71" ht="38.25" customHeight="1">
      <c r="A71" s="341" t="s">
        <v>268</v>
      </c>
    </row>
    <row r="72" ht="37.5" customHeight="1">
      <c r="A72" s="341" t="s">
        <v>269</v>
      </c>
    </row>
    <row r="73" ht="21" customHeight="1">
      <c r="A73" s="341" t="s">
        <v>270</v>
      </c>
    </row>
    <row r="74" ht="35.25" customHeight="1">
      <c r="A74" s="341" t="s">
        <v>271</v>
      </c>
    </row>
    <row r="75" ht="15.75">
      <c r="A75" s="98" t="s">
        <v>272</v>
      </c>
    </row>
    <row r="76" ht="15.75">
      <c r="A76" s="98" t="s">
        <v>273</v>
      </c>
    </row>
    <row r="77" ht="15.75">
      <c r="A77" s="98" t="s">
        <v>274</v>
      </c>
    </row>
    <row r="78" ht="15.75">
      <c r="A78" s="98" t="s">
        <v>275</v>
      </c>
    </row>
    <row r="79" ht="15.75">
      <c r="A79" s="98" t="s">
        <v>276</v>
      </c>
    </row>
    <row r="82" ht="15.75">
      <c r="A82" s="340" t="s">
        <v>182</v>
      </c>
    </row>
    <row r="83" ht="15.75">
      <c r="A83" s="98" t="s">
        <v>191</v>
      </c>
    </row>
    <row r="84" ht="15.75">
      <c r="A84" s="98" t="s">
        <v>192</v>
      </c>
    </row>
    <row r="85" ht="15.75">
      <c r="A85" s="98" t="s">
        <v>193</v>
      </c>
    </row>
    <row r="86" ht="15.75">
      <c r="A86" s="98" t="s">
        <v>206</v>
      </c>
    </row>
    <row r="87" ht="15.75">
      <c r="A87" s="98" t="s">
        <v>194</v>
      </c>
    </row>
    <row r="88" ht="15.75">
      <c r="A88" s="98" t="s">
        <v>195</v>
      </c>
    </row>
    <row r="89" ht="15.75">
      <c r="A89" s="98" t="s">
        <v>196</v>
      </c>
    </row>
    <row r="90" ht="15.75">
      <c r="A90" s="98" t="s">
        <v>197</v>
      </c>
    </row>
    <row r="91" ht="15.75">
      <c r="A91" s="98" t="s">
        <v>207</v>
      </c>
    </row>
    <row r="92" ht="15.75">
      <c r="A92" s="98" t="s">
        <v>198</v>
      </c>
    </row>
    <row r="93" ht="15.75">
      <c r="A93" s="98" t="s">
        <v>199</v>
      </c>
    </row>
    <row r="94" ht="15.75">
      <c r="A94" s="98" t="s">
        <v>200</v>
      </c>
    </row>
    <row r="95" ht="15.75">
      <c r="A95" s="98" t="s">
        <v>208</v>
      </c>
    </row>
    <row r="96" ht="15.75">
      <c r="A96" s="98" t="s">
        <v>209</v>
      </c>
    </row>
    <row r="97" ht="15.75">
      <c r="A97" s="98" t="s">
        <v>216</v>
      </c>
    </row>
    <row r="98" ht="15.75">
      <c r="A98" s="98" t="s">
        <v>295</v>
      </c>
    </row>
    <row r="99" ht="15.75">
      <c r="A99" s="98" t="s">
        <v>0</v>
      </c>
    </row>
    <row r="100" ht="15.75">
      <c r="A100" s="98" t="s">
        <v>1</v>
      </c>
    </row>
    <row r="101" ht="15.75">
      <c r="A101" s="98" t="s">
        <v>2</v>
      </c>
    </row>
    <row r="102" ht="15.75">
      <c r="A102" s="98" t="s">
        <v>296</v>
      </c>
    </row>
    <row r="103" ht="15.75">
      <c r="A103" s="98" t="s">
        <v>225</v>
      </c>
    </row>
    <row r="104" ht="15.75">
      <c r="A104" s="98" t="s">
        <v>226</v>
      </c>
    </row>
    <row r="105" ht="15.75">
      <c r="A105" s="98" t="s">
        <v>3</v>
      </c>
    </row>
    <row r="106" ht="15.75">
      <c r="A106" s="98" t="s">
        <v>4</v>
      </c>
    </row>
    <row r="107" ht="15.75">
      <c r="A107" s="98" t="s">
        <v>234</v>
      </c>
    </row>
    <row r="108" ht="15.75">
      <c r="A108" s="98" t="s">
        <v>235</v>
      </c>
    </row>
    <row r="109" ht="15.75">
      <c r="A109"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4">
      <selection activeCell="H22" sqref="H22"/>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Pleasant Ridge Cem 14</v>
      </c>
      <c r="B1" s="62"/>
      <c r="C1" s="62"/>
      <c r="D1" s="62"/>
      <c r="E1" s="62">
        <f>inputPrYr!D6</f>
        <v>2012</v>
      </c>
    </row>
    <row r="2" spans="1:5" ht="15.75">
      <c r="A2" s="62" t="str">
        <f>inputPrYr!D4</f>
        <v>Clay County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1162872</v>
      </c>
    </row>
    <row r="8" spans="1:5" ht="15.75">
      <c r="A8" s="68" t="str">
        <f>CONCATENATE("New Improvements for ",inputPrYr!D6-1,"")</f>
        <v>New Improvements for 2011</v>
      </c>
      <c r="B8" s="69"/>
      <c r="C8" s="69"/>
      <c r="D8" s="69"/>
      <c r="E8" s="70">
        <v>0</v>
      </c>
    </row>
    <row r="9" spans="1:5" ht="15.75">
      <c r="A9" s="68" t="str">
        <f>CONCATENATE("Personal Property excluding oil, gas, and mobile homes- ",inputPrYr!D6-1,"")</f>
        <v>Personal Property excluding oil, gas, and mobile homes- 2011</v>
      </c>
      <c r="B9" s="69"/>
      <c r="C9" s="69"/>
      <c r="D9" s="69"/>
      <c r="E9" s="70">
        <v>32050</v>
      </c>
    </row>
    <row r="10" spans="1:5" ht="15.75">
      <c r="A10" s="68" t="str">
        <f>CONCATENATE("Property that has changed in use for ",inputPrYr!D6-1,"")</f>
        <v>Property that has changed in use for 2011</v>
      </c>
      <c r="B10" s="69"/>
      <c r="C10" s="69"/>
      <c r="D10" s="69"/>
      <c r="E10" s="70">
        <v>3351</v>
      </c>
    </row>
    <row r="11" spans="1:5" ht="15.75">
      <c r="A11" s="67" t="str">
        <f>CONCATENATE("Personal Property excluding oil, gas, and mobile homes- ",inputPrYr!D6-2,"")</f>
        <v>Personal Property excluding oil, gas, and mobile homes- 2010</v>
      </c>
      <c r="B11" s="42"/>
      <c r="C11" s="42"/>
      <c r="D11" s="42"/>
      <c r="E11" s="70">
        <v>31620</v>
      </c>
    </row>
    <row r="12" spans="1:5" ht="15.75">
      <c r="A12" s="68" t="str">
        <f>CONCATENATE("Neighborhood Revitalization - ",E1,"")</f>
        <v>Neighborhood Revitalization - 2012</v>
      </c>
      <c r="B12" s="69"/>
      <c r="C12" s="69"/>
      <c r="D12" s="69"/>
      <c r="E12" s="70">
        <v>0</v>
      </c>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6" t="s">
        <v>26</v>
      </c>
      <c r="B15" s="601"/>
      <c r="C15" s="64"/>
      <c r="D15" s="75" t="s">
        <v>64</v>
      </c>
      <c r="E15" s="74"/>
    </row>
    <row r="16" spans="1:5" ht="15.75">
      <c r="A16" s="67" t="s">
        <v>10</v>
      </c>
      <c r="B16" s="42"/>
      <c r="C16" s="71"/>
      <c r="D16" s="76">
        <v>0.801</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0.801</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1125382</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72.54</v>
      </c>
    </row>
    <row r="28" spans="1:5" ht="15.75">
      <c r="A28" s="68" t="s">
        <v>15</v>
      </c>
      <c r="B28" s="69"/>
      <c r="C28" s="69"/>
      <c r="D28" s="86"/>
      <c r="E28" s="37">
        <v>3.01</v>
      </c>
    </row>
    <row r="29" spans="1:5" ht="15.75">
      <c r="A29" s="68" t="s">
        <v>176</v>
      </c>
      <c r="B29" s="69"/>
      <c r="C29" s="69"/>
      <c r="D29" s="86"/>
      <c r="E29" s="37">
        <v>12.47</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2010 Budget Certificate Page</v>
      </c>
      <c r="B39" s="608"/>
      <c r="C39" s="64"/>
      <c r="D39" s="64"/>
      <c r="E39" s="64"/>
    </row>
    <row r="40" spans="1:5" ht="15.75">
      <c r="A40" s="93"/>
      <c r="B40" s="93" t="str">
        <f>CONCATENATE("",E1-2," Expenditure Amounts")</f>
        <v>2010 Expenditure Amounts</v>
      </c>
      <c r="C40" s="609" t="str">
        <f>CONCATENATE("Note: If the ",E1-2," budget was amended, then the")</f>
        <v>Note: If the 2010 budget was amended, then the</v>
      </c>
      <c r="D40" s="610"/>
      <c r="E40" s="610"/>
    </row>
    <row r="41" spans="1:5" ht="15.75">
      <c r="A41" s="94" t="s">
        <v>221</v>
      </c>
      <c r="B41" s="94" t="s">
        <v>222</v>
      </c>
      <c r="C41" s="95" t="s">
        <v>223</v>
      </c>
      <c r="D41" s="96"/>
      <c r="E41" s="96"/>
    </row>
    <row r="42" spans="1:5" ht="15.75">
      <c r="A42" s="97" t="str">
        <f>inputPrYr!B19</f>
        <v>General</v>
      </c>
      <c r="B42" s="58">
        <v>1450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 sqref="G3"/>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c r="C5" s="370"/>
      <c r="D5" s="368" t="s">
        <v>741</v>
      </c>
      <c r="E5" s="366"/>
      <c r="F5" s="366"/>
    </row>
    <row r="6" spans="1:6" ht="15.75">
      <c r="A6" s="368"/>
      <c r="B6" s="371"/>
      <c r="C6" s="372"/>
      <c r="D6" s="368" t="s">
        <v>740</v>
      </c>
      <c r="E6" s="366"/>
      <c r="F6" s="366"/>
    </row>
    <row r="7" spans="1:6" ht="15.75">
      <c r="A7" s="368" t="s">
        <v>332</v>
      </c>
      <c r="B7" s="369"/>
      <c r="C7" s="373"/>
      <c r="D7" s="368"/>
      <c r="E7" s="366"/>
      <c r="F7" s="366"/>
    </row>
    <row r="8" spans="1:6" ht="15.75">
      <c r="A8" s="368"/>
      <c r="B8" s="368"/>
      <c r="C8" s="368"/>
      <c r="D8" s="368"/>
      <c r="E8" s="366"/>
      <c r="F8" s="366"/>
    </row>
    <row r="9" spans="1:6" ht="15.75">
      <c r="A9" s="368" t="s">
        <v>333</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G33" sqref="G33:G34"/>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82</v>
      </c>
      <c r="B2" s="615"/>
      <c r="C2" s="615"/>
      <c r="D2" s="615"/>
      <c r="E2" s="615"/>
      <c r="F2" s="615"/>
      <c r="G2" s="615"/>
    </row>
    <row r="3" spans="1:7" ht="15.75">
      <c r="A3" s="18"/>
      <c r="B3" s="18"/>
      <c r="C3" s="18"/>
      <c r="D3" s="18"/>
      <c r="E3" s="18"/>
      <c r="F3" s="18"/>
      <c r="G3" s="62">
        <f>inputPrYr!D6</f>
        <v>2012</v>
      </c>
    </row>
    <row r="4" spans="1:7" ht="15.75">
      <c r="A4" s="616" t="str">
        <f>CONCATENATE("To the Clerk of ",inputPrYr!D4,", State of Kansas")</f>
        <v>To the Clerk of Clay County, State of Kansas</v>
      </c>
      <c r="B4" s="616"/>
      <c r="C4" s="616"/>
      <c r="D4" s="616"/>
      <c r="E4" s="616"/>
      <c r="F4" s="616"/>
      <c r="G4" s="616"/>
    </row>
    <row r="5" spans="1:7" ht="15.75">
      <c r="A5" s="100" t="s">
        <v>159</v>
      </c>
      <c r="B5" s="26"/>
      <c r="C5" s="26"/>
      <c r="D5" s="26"/>
      <c r="E5" s="26"/>
      <c r="F5" s="26"/>
      <c r="G5" s="26"/>
    </row>
    <row r="6" spans="1:7" ht="15.75">
      <c r="A6" s="598" t="str">
        <f>inputPrYr!D3</f>
        <v>Pleasant Ridge Cem 14</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2012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222</v>
      </c>
      <c r="F15" s="620" t="str">
        <f>CONCATENATE("Amount of ",G3-1," Ad Valorem Tax")</f>
        <v>Amount of 2011 Ad Valorem Tax</v>
      </c>
      <c r="G15" s="106" t="s">
        <v>21</v>
      </c>
    </row>
    <row r="16" spans="1:7" ht="15.75">
      <c r="A16" s="17" t="s">
        <v>22</v>
      </c>
      <c r="B16" s="18"/>
      <c r="C16" s="18"/>
      <c r="D16" s="108" t="s">
        <v>23</v>
      </c>
      <c r="E16" s="108" t="s">
        <v>580</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1450</v>
      </c>
      <c r="F23" s="124">
        <f>IF(gen!$E$57&lt;&gt;0,gen!$E$57,"  ")</f>
        <v>1022.7499999999998</v>
      </c>
      <c r="G23" s="125">
        <f>IF(AND(gen!E57=0,$G$32&gt;=0)," ",IF(AND(F23&gt;0,$G$32=0)," ",IF(AND(F23&gt;0,$G$32&gt;0),ROUND(F23/$G$32*1000,3))))</f>
        <v>0.88</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1450</v>
      </c>
      <c r="F30" s="415">
        <f>SUM(F23:F28)</f>
        <v>1022.7499999999998</v>
      </c>
      <c r="G30" s="419">
        <f>IF(SUM(G23:G28)=0,"",SUM(G23:G28))</f>
        <v>0.88</v>
      </c>
    </row>
    <row r="31" spans="1:7" ht="15.75">
      <c r="A31" s="122" t="s">
        <v>210</v>
      </c>
      <c r="B31" s="69"/>
      <c r="C31" s="119"/>
      <c r="D31" s="138">
        <f>summ!E41</f>
        <v>0</v>
      </c>
      <c r="E31" s="142" t="s">
        <v>205</v>
      </c>
      <c r="F31" s="418" t="str">
        <f>IF(F30&gt;computation!J34,"Yes","No")</f>
        <v>Yes</v>
      </c>
      <c r="G31" s="420" t="s">
        <v>139</v>
      </c>
    </row>
    <row r="32" spans="1:7" ht="15.75">
      <c r="A32" s="122" t="s">
        <v>229</v>
      </c>
      <c r="B32" s="140"/>
      <c r="C32" s="141"/>
      <c r="D32" s="138">
        <f>IF(Nhood!C35=0,"",Nhood!C35)</f>
      </c>
      <c r="E32" s="416"/>
      <c r="F32" s="71"/>
      <c r="G32" s="147">
        <v>1162626</v>
      </c>
    </row>
    <row r="33" spans="1:7" ht="15.75">
      <c r="A33" s="143" t="s">
        <v>204</v>
      </c>
      <c r="B33" s="69"/>
      <c r="C33" s="119"/>
      <c r="D33" s="138">
        <f>IF(Resolution!E45=0,"",Resolution!E45)</f>
      </c>
      <c r="E33" s="62"/>
      <c r="F33" s="71"/>
      <c r="G33" s="621" t="str">
        <f>CONCATENATE("Nov. 1, ",G3," Total Assessed Valuation")</f>
        <v>Nov. 1, 2012 Total Assessed Valuation</v>
      </c>
    </row>
    <row r="34" spans="1:7" ht="15.75">
      <c r="A34" s="21"/>
      <c r="B34" s="71"/>
      <c r="C34" s="18"/>
      <c r="D34" s="144"/>
      <c r="E34" s="62"/>
      <c r="F34" s="71"/>
      <c r="G34" s="622"/>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2011</v>
      </c>
      <c r="D47" s="42"/>
      <c r="E47" s="42"/>
      <c r="F47" s="151"/>
      <c r="G47" s="151"/>
    </row>
    <row r="48" spans="1:7" ht="15.75">
      <c r="A48" s="150"/>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27"/>
      <c r="B51" s="627"/>
      <c r="C51" s="627"/>
      <c r="D51" s="627"/>
      <c r="E51" s="627"/>
      <c r="F51" s="627"/>
      <c r="G51" s="627"/>
    </row>
    <row r="52" spans="1:7" ht="15.75">
      <c r="A52" s="628"/>
      <c r="B52" s="628"/>
      <c r="C52" s="628"/>
      <c r="D52" s="628"/>
      <c r="E52" s="628"/>
      <c r="F52" s="628"/>
      <c r="G52" s="628"/>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2"/>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Pleasant Ridge Cem 14</v>
      </c>
      <c r="D1" s="18"/>
      <c r="E1" s="18"/>
      <c r="F1" s="18"/>
      <c r="G1" s="18"/>
      <c r="H1" s="18"/>
      <c r="I1" s="18"/>
      <c r="J1" s="18">
        <f>inputPrYr!D6</f>
        <v>2012</v>
      </c>
    </row>
    <row r="2" spans="1:10" ht="15.75" customHeight="1">
      <c r="A2" s="18"/>
      <c r="B2" s="18"/>
      <c r="C2" s="18" t="str">
        <f>inputPrYr!D4</f>
        <v>Clay County</v>
      </c>
      <c r="D2" s="18"/>
      <c r="E2" s="18"/>
      <c r="F2" s="18"/>
      <c r="G2" s="18"/>
      <c r="H2" s="18"/>
      <c r="I2" s="18"/>
      <c r="J2" s="18"/>
    </row>
    <row r="3" spans="1:10" ht="15.75">
      <c r="A3" s="600" t="str">
        <f>CONCATENATE("Computation to Determine Limit for ",J1,"")</f>
        <v>Computation to Determine Limit for 2012</v>
      </c>
      <c r="B3" s="615"/>
      <c r="C3" s="615"/>
      <c r="D3" s="615"/>
      <c r="E3" s="615"/>
      <c r="F3" s="615"/>
      <c r="G3" s="615"/>
      <c r="H3" s="615"/>
      <c r="I3" s="615"/>
      <c r="J3" s="615"/>
    </row>
    <row r="4" spans="1:10" ht="15.75">
      <c r="A4" s="18"/>
      <c r="B4" s="18"/>
      <c r="C4" s="18"/>
      <c r="D4" s="18"/>
      <c r="E4" s="615"/>
      <c r="F4" s="615"/>
      <c r="G4" s="615"/>
      <c r="H4" s="99"/>
      <c r="I4" s="18"/>
      <c r="J4" s="154" t="s">
        <v>93</v>
      </c>
    </row>
    <row r="5" spans="1:10" ht="15.75">
      <c r="A5" s="155" t="s">
        <v>94</v>
      </c>
      <c r="B5" s="18" t="str">
        <f>CONCATENATE("Total Tax Levy Amount in ",J1-1," Budget")</f>
        <v>Total Tax Levy Amount in 2011 Budget</v>
      </c>
      <c r="C5" s="18"/>
      <c r="D5" s="18"/>
      <c r="E5" s="39"/>
      <c r="F5" s="39"/>
      <c r="G5" s="39"/>
      <c r="H5" s="156" t="s">
        <v>95</v>
      </c>
      <c r="I5" s="39" t="s">
        <v>96</v>
      </c>
      <c r="J5" s="392">
        <f>inputPrYr!E24</f>
        <v>901</v>
      </c>
    </row>
    <row r="6" spans="1:10" ht="15.75">
      <c r="A6" s="155" t="s">
        <v>97</v>
      </c>
      <c r="B6" s="18" t="str">
        <f>CONCATENATE("Debt Service Levy in ",J1-1," Budget")</f>
        <v>Debt Service Levy in 2011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901</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2011:</v>
      </c>
      <c r="C11" s="18"/>
      <c r="D11" s="18"/>
      <c r="E11" s="156"/>
      <c r="F11" s="156" t="s">
        <v>95</v>
      </c>
      <c r="G11" s="158">
        <f>inputOth!E8</f>
        <v>0</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2011:</v>
      </c>
      <c r="C13" s="18"/>
      <c r="D13" s="18"/>
      <c r="E13" s="156"/>
      <c r="F13" s="156"/>
      <c r="G13" s="159"/>
      <c r="H13" s="159"/>
      <c r="I13" s="39"/>
      <c r="J13" s="39"/>
    </row>
    <row r="14" spans="1:10" ht="15.75">
      <c r="A14" s="18"/>
      <c r="B14" s="18" t="s">
        <v>101</v>
      </c>
      <c r="C14" s="18" t="str">
        <f>CONCATENATE("Personal Property ",J1-1,"")</f>
        <v>Personal Property 2011</v>
      </c>
      <c r="D14" s="155" t="s">
        <v>95</v>
      </c>
      <c r="E14" s="158">
        <f>inputOth!E9</f>
        <v>32050</v>
      </c>
      <c r="F14" s="156"/>
      <c r="G14" s="39"/>
      <c r="H14" s="39"/>
      <c r="I14" s="159"/>
      <c r="J14" s="39"/>
    </row>
    <row r="15" spans="1:10" ht="15.75">
      <c r="A15" s="155"/>
      <c r="B15" s="18" t="s">
        <v>102</v>
      </c>
      <c r="C15" s="18" t="str">
        <f>CONCATENATE("Personal Property ",J1-2,"")</f>
        <v>Personal Property 2010</v>
      </c>
      <c r="D15" s="155" t="s">
        <v>98</v>
      </c>
      <c r="E15" s="43">
        <f>inputOth!E11</f>
        <v>31620</v>
      </c>
      <c r="F15" s="156"/>
      <c r="G15" s="159"/>
      <c r="H15" s="159"/>
      <c r="I15" s="39"/>
      <c r="J15" s="39"/>
    </row>
    <row r="16" spans="1:10" ht="15.75">
      <c r="A16" s="155"/>
      <c r="B16" s="18" t="s">
        <v>103</v>
      </c>
      <c r="C16" s="18" t="s">
        <v>117</v>
      </c>
      <c r="D16" s="18"/>
      <c r="E16" s="39"/>
      <c r="F16" s="39" t="s">
        <v>95</v>
      </c>
      <c r="G16" s="158">
        <f>IF(E14&gt;E15,E14-E15,0)</f>
        <v>430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2011:</v>
      </c>
      <c r="C18" s="18"/>
      <c r="D18" s="155"/>
      <c r="E18" s="39"/>
      <c r="F18" s="39"/>
      <c r="G18" s="39">
        <f>inputOth!E10</f>
        <v>3351</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3781</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1,2011</v>
      </c>
      <c r="C22" s="18"/>
      <c r="D22" s="18"/>
      <c r="E22" s="158">
        <f>inputOth!E7</f>
        <v>1162872</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1159091</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0.0032620389598400816</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3</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904</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904</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Pleasant Ridge Cem 14</v>
      </c>
      <c r="C1" s="18"/>
      <c r="D1" s="18"/>
      <c r="E1" s="18"/>
      <c r="F1" s="18"/>
      <c r="G1" s="18"/>
      <c r="H1" s="18"/>
      <c r="I1" s="165"/>
      <c r="J1" s="18"/>
    </row>
    <row r="2" spans="1:10" ht="15.75">
      <c r="A2" s="18"/>
      <c r="B2" s="18" t="str">
        <f>inputPrYr!D4</f>
        <v>Clay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2011                    Budgeted Funds</v>
      </c>
      <c r="C9" s="631" t="str">
        <f>CONCATENATE("Tax Levy Amount in ",J2-2," Budget")</f>
        <v>Tax Levy Amount in 2010 Budget</v>
      </c>
      <c r="D9" s="617" t="str">
        <f>CONCATENATE("Allocation for Year ",J2,"")</f>
        <v>Allocation for Year 2012</v>
      </c>
      <c r="E9" s="634"/>
      <c r="F9" s="634"/>
      <c r="G9" s="619"/>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901</v>
      </c>
      <c r="D11" s="128">
        <f>IF(E17=0,0,E17-D12-D13-D14)</f>
        <v>72.54</v>
      </c>
      <c r="E11" s="128">
        <f>IF(E19=0,0,E19-E12-E13-E14)</f>
        <v>3.01</v>
      </c>
      <c r="F11" s="128">
        <f>IF(E21=0,0,E21-F12-F13-F14)</f>
        <v>12.47</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901</v>
      </c>
      <c r="D15" s="137">
        <f>SUM(D11:D14)</f>
        <v>72.54</v>
      </c>
      <c r="E15" s="137">
        <f>SUM(E11:E14)</f>
        <v>3.01</v>
      </c>
      <c r="F15" s="137">
        <f>SUM(F11:F14)</f>
        <v>12.47</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72.54</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3.01</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12.47</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0.08051054384017758</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0.003340732519422863</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0.01384017758046615</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Pleasant Ridge Cem 14</v>
      </c>
      <c r="B2" s="175"/>
      <c r="C2" s="18"/>
      <c r="D2" s="18"/>
      <c r="E2" s="165"/>
      <c r="F2" s="18"/>
    </row>
    <row r="3" spans="1:6" ht="15.75">
      <c r="A3" s="175" t="str">
        <f>inputPrYr!D4</f>
        <v>Clay County</v>
      </c>
      <c r="B3" s="175"/>
      <c r="C3" s="18"/>
      <c r="D3" s="18"/>
      <c r="E3" s="165"/>
      <c r="F3" s="18"/>
    </row>
    <row r="4" spans="1:6" ht="15.75">
      <c r="A4" s="166"/>
      <c r="B4" s="18"/>
      <c r="C4" s="18"/>
      <c r="D4" s="18"/>
      <c r="E4" s="165"/>
      <c r="F4" s="18"/>
    </row>
    <row r="5" spans="1:6" ht="15" customHeight="1">
      <c r="A5" s="615" t="s">
        <v>148</v>
      </c>
      <c r="B5" s="615"/>
      <c r="C5" s="615"/>
      <c r="D5" s="615"/>
      <c r="E5" s="615"/>
      <c r="F5" s="615"/>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2010</v>
      </c>
      <c r="D9" s="180">
        <f>F1-1</f>
        <v>2011</v>
      </c>
      <c r="E9" s="180">
        <f>F1</f>
        <v>2012</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681</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682</v>
      </c>
    </row>
    <row r="29" ht="15.75">
      <c r="A29" s="98"/>
    </row>
    <row r="30" ht="15.75">
      <c r="A30" s="98"/>
    </row>
    <row r="31" ht="78.75">
      <c r="A31" s="522" t="s">
        <v>683</v>
      </c>
    </row>
    <row r="32" ht="15.75">
      <c r="A32" s="98"/>
    </row>
    <row r="33" ht="15.75">
      <c r="A33" s="98"/>
    </row>
    <row r="34" ht="47.25">
      <c r="A34" s="523" t="s">
        <v>684</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2011-07-06T15:28:03Z</cp:lastPrinted>
  <dcterms:created xsi:type="dcterms:W3CDTF">1999-08-06T13:59:57Z</dcterms:created>
  <dcterms:modified xsi:type="dcterms:W3CDTF">2011-10-13T16:00:24Z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