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drawings/drawing2.xml" ContentType="application/vnd.openxmlformats-officedocument.drawing+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0" yWindow="65131" windowWidth="15360" windowHeight="8805" tabRatio="804" firstSheet="4" activeTab="6"/>
  </bookViews>
  <sheets>
    <sheet name="instructions" sheetId="1" state="hidden" r:id="rId1"/>
    <sheet name="inputPrYr" sheetId="2" state="hidden" r:id="rId2"/>
    <sheet name="inputOth" sheetId="3" state="hidden" r:id="rId3"/>
    <sheet name="inputBudSum" sheetId="4" state="hidden" r:id="rId4"/>
    <sheet name="cert" sheetId="5" r:id="rId5"/>
    <sheet name="Sheet1" sheetId="6" state="hidden" r:id="rId6"/>
    <sheet name="cert2" sheetId="7" r:id="rId7"/>
    <sheet name="computation" sheetId="8" r:id="rId8"/>
    <sheet name="mvalloc" sheetId="9" r:id="rId9"/>
    <sheet name="transfers" sheetId="10" r:id="rId10"/>
    <sheet name="TransfersStatutes" sheetId="11" state="hidden" r:id="rId11"/>
    <sheet name="debt" sheetId="12" r:id="rId12"/>
    <sheet name="Lease Pur" sheetId="13" r:id="rId13"/>
    <sheet name="general" sheetId="14" r:id="rId14"/>
    <sheet name="gen-detail" sheetId="15" r:id="rId15"/>
    <sheet name="DebtService" sheetId="16" r:id="rId16"/>
    <sheet name="road" sheetId="17" r:id="rId17"/>
    <sheet name="road-detail" sheetId="18" state="hidden" r:id="rId18"/>
    <sheet name="SpecBridge-Appraisal" sheetId="19" r:id="rId19"/>
    <sheet name="Health-NoxWeed" sheetId="20" r:id="rId20"/>
    <sheet name="Amb-MentalHealth" sheetId="21" r:id="rId21"/>
    <sheet name="Sheet2" sheetId="22" state="hidden" r:id="rId22"/>
    <sheet name="HospMain-EmpBen" sheetId="23" r:id="rId23"/>
    <sheet name="levy page14" sheetId="24" state="hidden" r:id="rId24"/>
    <sheet name="levy page15" sheetId="25" state="hidden" r:id="rId25"/>
    <sheet name="levy page16" sheetId="26" state="hidden" r:id="rId26"/>
    <sheet name="levy page17" sheetId="27" state="hidden" r:id="rId27"/>
    <sheet name="levy page18" sheetId="28" state="hidden" r:id="rId28"/>
    <sheet name="levy page19" sheetId="29" state="hidden" r:id="rId29"/>
    <sheet name="levy page20" sheetId="30" state="hidden" r:id="rId30"/>
    <sheet name="HosRevBd-SolWaste" sheetId="31" r:id="rId31"/>
    <sheet name="911Funds" sheetId="32" r:id="rId32"/>
    <sheet name="Diversion" sheetId="33" r:id="rId33"/>
    <sheet name="no levy page24" sheetId="34" state="hidden" r:id="rId34"/>
    <sheet name="no levy page25" sheetId="35" state="hidden" r:id="rId35"/>
    <sheet name="NonBud" sheetId="36" r:id="rId36"/>
    <sheet name="NonBudFunds" sheetId="37" state="hidden" r:id="rId37"/>
    <sheet name="summ" sheetId="38" r:id="rId38"/>
    <sheet name="summ2" sheetId="39" r:id="rId39"/>
    <sheet name="publication" sheetId="40" r:id="rId40"/>
    <sheet name="Nhood" sheetId="41" r:id="rId41"/>
    <sheet name="Resolution" sheetId="42" state="hidden" r:id="rId42"/>
    <sheet name="Tab A" sheetId="43" state="hidden" r:id="rId43"/>
    <sheet name="Tab B" sheetId="44" state="hidden" r:id="rId44"/>
    <sheet name="Tab C" sheetId="45" state="hidden" r:id="rId45"/>
    <sheet name="Tab D" sheetId="46" state="hidden" r:id="rId46"/>
    <sheet name="Tab E" sheetId="47" state="hidden" r:id="rId47"/>
    <sheet name="Mill Rate Computation" sheetId="48" state="hidden" r:id="rId48"/>
    <sheet name="Helpful Links" sheetId="49" state="hidden" r:id="rId49"/>
    <sheet name="legend" sheetId="50" state="hidden" r:id="rId50"/>
  </sheets>
  <externalReferences>
    <externalReference r:id="rId53"/>
  </externalReferences>
  <definedNames>
    <definedName name="_xlnm.Print_Area" localSheetId="15">'DebtService'!$B$1:$E$63</definedName>
    <definedName name="_xlnm.Print_Area" localSheetId="1">'inputPrYr'!$A$1:$F$96</definedName>
    <definedName name="_xlnm.Print_Area" localSheetId="0">'instructions'!$A$1:$A$104</definedName>
    <definedName name="_xlnm.Print_Area" localSheetId="16">'road'!$B$1:$E$121</definedName>
    <definedName name="_xlnm.Print_Area" localSheetId="37">'summ'!$A$1:$H$68</definedName>
  </definedNames>
  <calcPr fullCalcOnLoad="1"/>
</workbook>
</file>

<file path=xl/sharedStrings.xml><?xml version="1.0" encoding="utf-8"?>
<sst xmlns="http://schemas.openxmlformats.org/spreadsheetml/2006/main" count="2362" uniqueCount="1025">
  <si>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</si>
  <si>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</si>
  <si>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</si>
  <si>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</si>
  <si>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</si>
  <si>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</si>
  <si>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</si>
  <si>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</si>
  <si>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</si>
  <si>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</si>
  <si>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</si>
  <si>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</si>
  <si>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</si>
  <si>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</si>
  <si>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</si>
  <si>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</si>
  <si>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</si>
  <si>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</si>
  <si>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</si>
  <si>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healthy fund has sufficient budget authority and cash</t>
  </si>
  <si>
    <t>available).</t>
  </si>
  <si>
    <t>The shifting of expenditures between funds, as described in</t>
  </si>
  <si>
    <t>the preceding paragraph, can be accomplished between any funds</t>
  </si>
  <si>
    <t>that share expenses.</t>
  </si>
  <si>
    <t>MORRIS COUNTY</t>
  </si>
  <si>
    <t>Special Bridge</t>
  </si>
  <si>
    <t>68-5,100</t>
  </si>
  <si>
    <t>Reappraisal</t>
  </si>
  <si>
    <t>79-1482</t>
  </si>
  <si>
    <t>County Health</t>
  </si>
  <si>
    <t>65-204</t>
  </si>
  <si>
    <t>Noxious Weed</t>
  </si>
  <si>
    <t>2-1318</t>
  </si>
  <si>
    <t>65-6113</t>
  </si>
  <si>
    <t>19-4011</t>
  </si>
  <si>
    <t>Hospital Maintenance</t>
  </si>
  <si>
    <t>19-4606</t>
  </si>
  <si>
    <t>12-16,102</t>
  </si>
  <si>
    <t>Hospital Revenue Bond</t>
  </si>
  <si>
    <t>911 Emergency</t>
  </si>
  <si>
    <t>911 Wireless</t>
  </si>
  <si>
    <t>Diversion</t>
  </si>
  <si>
    <t>Equipment Reserve</t>
  </si>
  <si>
    <t>Capital Improvement</t>
  </si>
  <si>
    <t>Reg of Deeds Techology</t>
  </si>
  <si>
    <t>Insurance Proceeds</t>
  </si>
  <si>
    <t/>
  </si>
  <si>
    <t>County Commission Room</t>
  </si>
  <si>
    <t>Morris County Clerk's Office</t>
  </si>
  <si>
    <t>Morris County Clerk</t>
  </si>
  <si>
    <t>501 W Main St</t>
  </si>
  <si>
    <t>Council Grove, Ks  66846</t>
  </si>
  <si>
    <r>
      <t xml:space="preserve">K.S.A. </t>
    </r>
    <r>
      <rPr>
        <b/>
        <sz val="12"/>
        <color indexed="8"/>
        <rFont val="Times New Roman"/>
        <family val="1"/>
      </rPr>
      <t>68-1135.</t>
    </r>
    <r>
      <rPr>
        <sz val="12"/>
        <color indexed="8"/>
        <rFont val="Times New Roman"/>
        <family val="1"/>
      </rPr>
      <t xml:space="preserve">  </t>
    </r>
    <r>
      <rPr>
        <b/>
        <sz val="12"/>
        <color indexed="8"/>
        <rFont val="Times New Roman"/>
        <family val="1"/>
      </rPr>
      <t>Special bridge and culvert fund.</t>
    </r>
    <r>
      <rPr>
        <sz val="12"/>
        <color indexed="8"/>
        <rFont val="Times New Roman"/>
        <family val="1"/>
      </rPr>
      <t xml:space="preserve">  Counties are authorized to levy taxes for the purpose of creating and providing a special fund to be used in building and reconstructing bridges and culverts and constructing the approaches thereto or to be used in repaying loans or advances received from the highway fund.</t>
    </r>
  </si>
  <si>
    <t>Desired Carryover Amount:</t>
  </si>
  <si>
    <t>Estimated Mill Rate Impact:</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</si>
  <si>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</si>
  <si>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</si>
  <si>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</si>
  <si>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</si>
  <si>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</si>
  <si>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</si>
  <si>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</si>
  <si>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</si>
  <si>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</si>
  <si>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</si>
  <si>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</si>
  <si>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</si>
  <si>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</si>
  <si>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</si>
  <si>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</si>
  <si>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</si>
  <si>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</si>
  <si>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</si>
  <si>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</si>
  <si>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</si>
  <si>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</si>
  <si>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</si>
  <si>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</si>
  <si>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</si>
  <si>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</si>
  <si>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</si>
  <si>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</si>
  <si>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</si>
  <si>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</si>
  <si>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</si>
  <si>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</si>
  <si>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</si>
  <si>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</si>
  <si>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</si>
  <si>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(increase mill rate)</t>
  </si>
  <si>
    <t xml:space="preserve">(value of the home) </t>
  </si>
  <si>
    <t>Second Step:</t>
  </si>
  <si>
    <t>(assessed value)</t>
  </si>
  <si>
    <t xml:space="preserve">(assessed value) </t>
  </si>
  <si>
    <t>(increase tax)</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</si>
  <si>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</si>
  <si>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</si>
  <si>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</si>
  <si>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</si>
  <si>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</si>
  <si>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</si>
  <si>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</si>
  <si>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</si>
  <si>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</si>
  <si>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(value of the home)</t>
  </si>
  <si>
    <t>(residential %)</t>
  </si>
  <si>
    <t>(total mill rate)</t>
  </si>
  <si>
    <t>(impact, total mills)</t>
  </si>
  <si>
    <t>The following were changed to this spreadsheet on 9/16/10</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</si>
  <si>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pages. </t>
    </r>
  </si>
  <si>
    <t xml:space="preserve">2. The information entered into the Input Other (inputOth) worksheet is obtained from the County Clerk, County Treasurer, and the budget from two years ago (the year for actual year column for the current year budget) .  After the information has been entered, please verify the data is correct. </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</si>
  <si>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</si>
  <si>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10a.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</si>
  <si>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</si>
  <si>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</si>
  <si>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</si>
  <si>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</si>
  <si>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</si>
  <si>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</si>
  <si>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</si>
  <si>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</si>
  <si>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</si>
  <si>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</si>
  <si>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</si>
  <si>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</si>
  <si>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</si>
  <si>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</si>
  <si>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</si>
  <si>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</si>
  <si>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</si>
  <si>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</si>
  <si>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</si>
  <si>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</si>
  <si>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</si>
  <si>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</si>
  <si>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</si>
  <si>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</si>
  <si>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</si>
  <si>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</si>
  <si>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</si>
  <si>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</si>
  <si>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</si>
  <si>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</si>
  <si>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</si>
  <si>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</si>
  <si>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</si>
  <si>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</si>
  <si>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</si>
  <si>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</si>
  <si>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</si>
  <si>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 &amp; bridge</t>
  </si>
  <si>
    <t xml:space="preserve">and noxious weed funds may split contractual services between the two </t>
  </si>
  <si>
    <t xml:space="preserve">funds.  If one of those funds is in trouble, you might be able to </t>
  </si>
  <si>
    <t>order to eliminate the violation (be sure, though, that the</t>
  </si>
  <si>
    <t xml:space="preserve">allocate a little more in contractual services to the healthy fund in </t>
  </si>
  <si>
    <t>order to eliminate the potential violation (be sure, though, that</t>
  </si>
  <si>
    <t xml:space="preserve">funds.  If one of those funds is in trouble you might be able to </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</si>
  <si>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</si>
  <si>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</si>
  <si>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4a. The Certificate page has a statement 'Is a Resolution required?' which will either show 'Yes' or 'No'. This statement compares the Certificate total Ad Valorem Tax to Computation to Determine Limit line 14. If a 'Yes' appears then a resolution is required to be completed and attached to the budget. No action is required if a 'No' appears.</t>
  </si>
  <si>
    <t xml:space="preserve">4b.  If someone other than a municipal employee assists in preparing the budget, please enter the person's or firm's name and address in the area provided. </t>
  </si>
  <si>
    <t>4c. The Certificate(2) (cert2) and Budget Summary (summ2) are used when the County Clerk has special districts that are to be submitted along with the County's budget.</t>
  </si>
  <si>
    <r>
      <t>10l. For tax levy or no tax levy fund pages, a comparison is maybe between the budget authority for the current year and total expenditures for the current budget expenditures as shown in the budget. If the current year adjusted expenditures are more than the budget authority, then a possible violation has occurred and red '</t>
    </r>
    <r>
      <rPr>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sz val="12"/>
        <color indexed="10"/>
        <rFont val="Times New Roman"/>
        <family val="1"/>
      </rPr>
      <t>See Tab D</t>
    </r>
    <r>
      <rPr>
        <sz val="12"/>
        <rFont val="Times New Roman"/>
        <family val="1"/>
      </rPr>
      <t>' will appear for the possible violation and the unencumbered cash block turns red.</t>
    </r>
  </si>
  <si>
    <t>5. The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</si>
  <si>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r>
      <t xml:space="preserve">K.S.A. </t>
    </r>
    <r>
      <rPr>
        <b/>
        <sz val="12"/>
        <color indexed="8"/>
        <rFont val="Times New Roman"/>
        <family val="1"/>
      </rPr>
      <t>19-120.</t>
    </r>
    <r>
      <rPr>
        <sz val="12"/>
        <color indexed="8"/>
        <rFont val="Times New Roman"/>
        <family val="1"/>
      </rPr>
      <t xml:space="preserve">  </t>
    </r>
    <r>
      <rPr>
        <b/>
        <sz val="12"/>
        <color indexed="8"/>
        <rFont val="Times New Roman"/>
        <family val="1"/>
      </rPr>
      <t>Multi-year capital improvement fund.</t>
    </r>
    <r>
      <rPr>
        <sz val="12"/>
        <color indexed="8"/>
        <rFont val="Times New Roman"/>
        <family val="1"/>
      </rPr>
      <t xml:space="preserve">  (a)  The commissioners of any county with a multi-year capital improvement plan may establish a capital improvements fund.</t>
    </r>
  </si>
  <si>
    <r>
      <t xml:space="preserve">K.S.A. </t>
    </r>
    <r>
      <rPr>
        <b/>
        <sz val="12"/>
        <color indexed="8"/>
        <rFont val="Times New Roman"/>
        <family val="1"/>
      </rPr>
      <t>19-15,136.</t>
    </r>
    <r>
      <rPr>
        <sz val="12"/>
        <color indexed="8"/>
        <rFont val="Times New Roman"/>
        <family val="1"/>
      </rPr>
      <t xml:space="preserve">  </t>
    </r>
    <r>
      <rPr>
        <b/>
        <sz val="12"/>
        <color indexed="8"/>
        <rFont val="Times New Roman"/>
        <family val="1"/>
      </rPr>
      <t>Special building fund.</t>
    </r>
    <r>
      <rPr>
        <sz val="12"/>
        <color indexed="8"/>
        <rFont val="Times New Roman"/>
        <family val="1"/>
      </rPr>
      <t xml:space="preserve">  County commissioners may create a special building fund to act as the repository of proceeds from the sale of county home or farm property</t>
    </r>
  </si>
  <si>
    <r>
      <t xml:space="preserve">K.S.A. </t>
    </r>
    <r>
      <rPr>
        <b/>
        <sz val="12"/>
        <color indexed="8"/>
        <rFont val="Times New Roman"/>
        <family val="1"/>
      </rPr>
      <t>19-2120.</t>
    </r>
    <r>
      <rPr>
        <sz val="12"/>
        <color indexed="8"/>
        <rFont val="Times New Roman"/>
        <family val="1"/>
      </rPr>
      <t xml:space="preserve">  </t>
    </r>
    <r>
      <rPr>
        <b/>
        <sz val="12"/>
        <color indexed="8"/>
        <rFont val="Times New Roman"/>
        <family val="1"/>
      </rPr>
      <t>County home improvement fund in certain counties.</t>
    </r>
    <r>
      <rPr>
        <sz val="12"/>
        <color indexed="8"/>
        <rFont val="Times New Roman"/>
        <family val="1"/>
      </rPr>
      <t xml:space="preserve">  County commissioners in counties having a population of less than 3,000, or any county having a population of more than 5,400 and not more than 6,000 and an assessed tangible valuation of not less than $25,000,000 and not more than $35,000,000, owning a county home for the aged, shall place proceeds from its renting, leasing or letting into a county home improvement fund.</t>
    </r>
  </si>
  <si>
    <r>
      <t xml:space="preserve">[per </t>
    </r>
    <r>
      <rPr>
        <b/>
        <sz val="12"/>
        <rFont val="Times New Roman"/>
        <family val="1"/>
      </rPr>
      <t xml:space="preserve">K.S.A. </t>
    </r>
    <r>
      <rPr>
        <b/>
        <sz val="11"/>
        <color indexed="8"/>
        <rFont val="Arial"/>
        <family val="2"/>
      </rPr>
      <t>19-2121,</t>
    </r>
    <r>
      <rPr>
        <sz val="11"/>
        <color indexed="8"/>
        <rFont val="Arial"/>
        <family val="2"/>
      </rPr>
      <t xml:space="preserve"> such county home improvement fund shall not be subject to the provisions of K.S.A. 79-2925 to 79-2941 . . . .]</t>
    </r>
  </si>
  <si>
    <r>
      <t xml:space="preserve">K.S.A. </t>
    </r>
    <r>
      <rPr>
        <b/>
        <sz val="12"/>
        <color indexed="8"/>
        <rFont val="Times New Roman"/>
        <family val="1"/>
      </rPr>
      <t>44-505b.</t>
    </r>
    <r>
      <rPr>
        <sz val="12"/>
        <color indexed="8"/>
        <rFont val="Times New Roman"/>
        <family val="1"/>
      </rPr>
      <t xml:space="preserve">  </t>
    </r>
    <r>
      <rPr>
        <b/>
        <sz val="12"/>
        <color indexed="8"/>
        <rFont val="Times New Roman"/>
        <family val="1"/>
      </rPr>
      <t>Workers’ compensation reserve fund.</t>
    </r>
    <r>
      <rPr>
        <sz val="12"/>
        <color indexed="8"/>
        <rFont val="Times New Roman"/>
        <family val="1"/>
      </rPr>
      <t xml:space="preserve">  Provides for the creation of a reserve fund for the payment of workmen's compensation claims, judgments, and expenses.</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</si>
  <si>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</si>
  <si>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68-559a.</t>
    </r>
    <r>
      <rPr>
        <sz val="12"/>
        <color indexed="8"/>
        <rFont val="Times New Roman"/>
        <family val="1"/>
      </rPr>
      <t xml:space="preserve">   </t>
    </r>
    <r>
      <rPr>
        <b/>
        <sz val="12"/>
        <color indexed="8"/>
        <rFont val="Times New Roman"/>
        <family val="1"/>
      </rPr>
      <t>Special road and bridge fund.</t>
    </r>
    <r>
      <rPr>
        <sz val="12"/>
        <color indexed="8"/>
        <rFont val="Times New Roman"/>
        <family val="1"/>
      </rPr>
      <t xml:space="preserve">  Authorizes the creation of a special road and bridge fund and for funding of such through levy of an annual property tax of not to exceed two mills.</t>
    </r>
  </si>
  <si>
    <r>
      <t xml:space="preserve">K.S.A. </t>
    </r>
    <r>
      <rPr>
        <b/>
        <sz val="12"/>
        <color indexed="8"/>
        <rFont val="Times New Roman"/>
        <family val="1"/>
      </rPr>
      <t>68-590.</t>
    </r>
    <r>
      <rPr>
        <sz val="12"/>
        <color indexed="8"/>
        <rFont val="Times New Roman"/>
        <family val="1"/>
      </rPr>
      <t xml:space="preserve">   </t>
    </r>
    <r>
      <rPr>
        <b/>
        <sz val="12"/>
        <color indexed="8"/>
        <rFont val="Times New Roman"/>
        <family val="1"/>
      </rPr>
      <t>Special highway improvement fund.</t>
    </r>
    <r>
      <rPr>
        <sz val="12"/>
        <color indexed="8"/>
        <rFont val="Times New Roman"/>
        <family val="1"/>
      </rPr>
      <t xml:space="preserve">  Cities and counties may create a special highway improvement fund and transfer to it annually up to 25% of the fund for roads, bridges, highways, or streets.</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</si>
  <si>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</si>
  <si>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79-1482.</t>
    </r>
    <r>
      <rPr>
        <sz val="12"/>
        <color indexed="8"/>
        <rFont val="Times New Roman"/>
        <family val="1"/>
      </rPr>
      <t xml:space="preserve">  </t>
    </r>
    <r>
      <rPr>
        <b/>
        <sz val="12"/>
        <color indexed="8"/>
        <rFont val="Times New Roman"/>
        <family val="1"/>
      </rPr>
      <t>Special countywide reappraisal fund.</t>
    </r>
    <r>
      <rPr>
        <sz val="12"/>
        <color indexed="8"/>
        <rFont val="Times New Roman"/>
        <family val="1"/>
      </rPr>
      <t xml:space="preserve">  Counties may levy taxes and place the proceeds in a special countywide reappraisal fund to be used to pay costs associated with countywide reappraisal.</t>
    </r>
  </si>
  <si>
    <r>
      <t xml:space="preserve">K.S.A. </t>
    </r>
    <r>
      <rPr>
        <b/>
        <sz val="12"/>
        <color indexed="8"/>
        <rFont val="Times New Roman"/>
        <family val="1"/>
      </rPr>
      <t>79-1608.</t>
    </r>
    <r>
      <rPr>
        <sz val="12"/>
        <color indexed="8"/>
        <rFont val="Times New Roman"/>
        <family val="1"/>
      </rPr>
      <t xml:space="preserve">  </t>
    </r>
    <r>
      <rPr>
        <b/>
        <sz val="12"/>
        <color indexed="8"/>
        <rFont val="Times New Roman"/>
        <family val="1"/>
      </rPr>
      <t>Special appraisal fund.</t>
    </r>
    <r>
      <rPr>
        <sz val="12"/>
        <color indexed="8"/>
        <rFont val="Times New Roman"/>
        <family val="1"/>
      </rPr>
      <t xml:space="preserve">  Counties may create a special appraisal fund to be used for the purpose of assuring that all property in the county is classified and appraised according to law and for employment of or contracting for appraisal assistance, hearing officers or panels and arbitrators.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</si>
  <si>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</si>
  <si>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Counties may create non-budgeted funds for any gifts or bequests, and, for the operation of a county coliseum.</t>
    </r>
  </si>
  <si>
    <t xml:space="preserve">K.S.A. 79-2926 requires budgets be submitted by electronic means. </t>
  </si>
  <si>
    <t>6. Added tab NonBudFunds</t>
  </si>
  <si>
    <t>7. Added Tabs A to E for possible violations</t>
  </si>
  <si>
    <t>8. Instructions tab changed 9g to j for changes for possible violations on fund pages</t>
  </si>
  <si>
    <t>9. Deleted on all fund pages the 'Yes' and 'No' and replace with see tab for possible violations</t>
  </si>
  <si>
    <t>10. Instructions tab added line 6b to inform about TransferStatutes tab</t>
  </si>
  <si>
    <r>
      <t xml:space="preserve">11. Neighborhood Revitalization (nhood) should be completed </t>
    </r>
    <r>
      <rPr>
        <b/>
        <u val="single"/>
        <sz val="12"/>
        <rFont val="Times New Roman"/>
        <family val="1"/>
      </rPr>
      <t>only after</t>
    </r>
    <r>
      <rPr>
        <sz val="12"/>
        <rFont val="Times New Roman"/>
        <family val="1"/>
      </rPr>
      <t xml:space="preserve">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r>
    <r>
      <rPr>
        <b/>
        <sz val="12"/>
        <rFont val="Times New Roman"/>
        <family val="1"/>
      </rPr>
      <t>Note: If you do not have Neighborhood Revitalization, this step is not done</t>
    </r>
    <r>
      <rPr>
        <sz val="12"/>
        <rFont val="Times New Roman"/>
        <family val="1"/>
      </rPr>
      <t>.</t>
    </r>
  </si>
  <si>
    <r>
      <t xml:space="preserve">11a. </t>
    </r>
    <r>
      <rPr>
        <b/>
        <u val="single"/>
        <sz val="12"/>
        <rFont val="Times New Roman"/>
        <family val="1"/>
      </rPr>
      <t>Warning</t>
    </r>
    <r>
      <rPr>
        <sz val="12"/>
        <rFont val="Times New Roman"/>
        <family val="1"/>
      </rPr>
      <t xml:space="preserve">,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 Suggest printing the table before deleting ad valorem rates, this way you will know approximately the amount of the rebates and lost revenue because of the rebates. </t>
    </r>
  </si>
  <si>
    <r>
      <t xml:space="preserve">11c. </t>
    </r>
    <r>
      <rPr>
        <b/>
        <sz val="12"/>
        <rFont val="Times New Roman"/>
        <family val="1"/>
      </rPr>
      <t>Note: If you do not have Neighborhood Revitalization, these steps are not done.</t>
    </r>
  </si>
  <si>
    <r>
      <t xml:space="preserve">11b. </t>
    </r>
    <r>
      <rPr>
        <b/>
        <u val="single"/>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</si>
  <si>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</si>
  <si>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12a. At the bottom of the page is a green shaded area, enter the page number.</t>
  </si>
  <si>
    <t xml:space="preserve">13.  Before submission of the budget, please review the entire document and verify that all amounts are correct.  In addition, the Certificate Page needs to be signed by at least one member of the governing body (signatures of the entire governing body is preferred, but not mandatory). </t>
  </si>
  <si>
    <t xml:space="preserve">Submitting the Budget </t>
  </si>
  <si>
    <t>4. Bud Summary delete a space and combine sentences 'Detail…' and 'and will' for where budget infor located at</t>
  </si>
  <si>
    <t>answering objections of taxpayers relating to the proposed use of all funds and the amount of ad valorem tax.</t>
  </si>
  <si>
    <t xml:space="preserve">Enter the following information from the sources shown.  This information will be entered on the budget forms  </t>
  </si>
  <si>
    <t>in the appropriate locations.  If any of the numbers are wrong, change them on this input sheet.</t>
  </si>
  <si>
    <t>the Neighborhood Revitalization Rebate table.</t>
  </si>
  <si>
    <t>The following were changed to this spreadsheet on 12/28/09</t>
  </si>
  <si>
    <t>7c.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</si>
  <si>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</si>
  <si>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</si>
  <si>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</si>
  <si>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Expenditure</t>
  </si>
  <si>
    <t>Receipt</t>
  </si>
  <si>
    <t xml:space="preserve">Fund Transferred </t>
  </si>
  <si>
    <t>Fund Transferred</t>
  </si>
  <si>
    <t>*Note:</t>
  </si>
  <si>
    <t>1. Nhood tab added note for computing table</t>
  </si>
  <si>
    <t>The following were changed to this spreadsheet on 1/05/10</t>
  </si>
  <si>
    <t>Vernon Hay</t>
  </si>
  <si>
    <t>Diana K. Jost</t>
  </si>
  <si>
    <t>F. J. Revere</t>
  </si>
  <si>
    <t>Attest: _October 28, 2011</t>
  </si>
  <si>
    <t>budget, except with regard to revenue produced and attributable to the 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</si>
  <si>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budget.</t>
  </si>
  <si>
    <t>Enter year being budgeted (YYYY)</t>
  </si>
  <si>
    <t>Information comes from the Certificate, Page No. 1</t>
  </si>
  <si>
    <t>10-113</t>
  </si>
  <si>
    <t>Other (non-tax) fund names:</t>
  </si>
  <si>
    <t xml:space="preserve"> Expenditures</t>
  </si>
  <si>
    <t>From:</t>
  </si>
  <si>
    <t xml:space="preserve">  To:</t>
  </si>
  <si>
    <t>Amount for</t>
  </si>
  <si>
    <t>Transfers</t>
  </si>
  <si>
    <t>Adjusted Totals</t>
  </si>
  <si>
    <t>We, the undersigned, officers of</t>
  </si>
  <si>
    <t>resolution to exceed this limit and attach a copy of the adopted resolution to this budget.</t>
  </si>
  <si>
    <t>Current Year Estimate</t>
  </si>
  <si>
    <t>Proposed Budget Year</t>
  </si>
  <si>
    <t>In Lieu of Tax (IRB)</t>
  </si>
  <si>
    <t>Neighborhood Revitalization</t>
  </si>
  <si>
    <t>LAVTR</t>
  </si>
  <si>
    <t>City and County Revenue Sharing</t>
  </si>
  <si>
    <t>Slider</t>
  </si>
  <si>
    <t>Computation of Delinquency</t>
  </si>
  <si>
    <t>Rate used in this budget-this will be shown on all fund pages with a tax levy**</t>
  </si>
  <si>
    <r>
      <t>**</t>
    </r>
    <r>
      <rPr>
        <b/>
        <u val="single"/>
        <sz val="12"/>
        <rFont val="Times New Roman"/>
        <family val="1"/>
      </rPr>
      <t>Note</t>
    </r>
    <r>
      <rPr>
        <sz val="12"/>
        <rFont val="Times New Roman"/>
        <family val="1"/>
      </rPr>
      <t>: The delinquency rate can be up to 5% more than the actual delinquency rate from the previous year.</t>
    </r>
  </si>
  <si>
    <t>Beginning Amount</t>
  </si>
  <si>
    <t xml:space="preserve">of </t>
  </si>
  <si>
    <t>Retirement</t>
  </si>
  <si>
    <t xml:space="preserve">Total Other </t>
  </si>
  <si>
    <t xml:space="preserve">Prior Year Actual </t>
  </si>
  <si>
    <t>Valuation</t>
  </si>
  <si>
    <t>Fund Names for all funds with a tax levy:</t>
  </si>
  <si>
    <t>Special City &amp; County Highway</t>
  </si>
  <si>
    <t>County Equalization</t>
  </si>
  <si>
    <t>Other Expenditures:</t>
  </si>
  <si>
    <t>Outstanding Indebtness, January 1:</t>
  </si>
  <si>
    <t xml:space="preserve">  G.O. Bonds</t>
  </si>
  <si>
    <t xml:space="preserve">  Revenue Bonds</t>
  </si>
  <si>
    <t xml:space="preserve">  Other</t>
  </si>
  <si>
    <t xml:space="preserve">  Lease Purchase Principal</t>
  </si>
  <si>
    <t>(1) Fund Name:</t>
  </si>
  <si>
    <t>(2) Fund Name:</t>
  </si>
  <si>
    <t>(3) Fund Name:</t>
  </si>
  <si>
    <t>(4) Fund Name:</t>
  </si>
  <si>
    <t>(5) Fund Name:</t>
  </si>
  <si>
    <t xml:space="preserve">Unencumbered </t>
  </si>
  <si>
    <t>Cash Balance Dec 31</t>
  </si>
  <si>
    <t>Non-Budgeted Funds</t>
  </si>
  <si>
    <t>Non-Budgeted Funds:</t>
  </si>
  <si>
    <t xml:space="preserve">  Subtotal </t>
  </si>
  <si>
    <r>
      <t>**</t>
    </r>
    <r>
      <rPr>
        <sz val="12"/>
        <rFont val="Times New Roman"/>
        <family val="1"/>
      </rPr>
      <t xml:space="preserve">Note:  The Detail Total Expenditures should match to the General Subtotal.  </t>
    </r>
  </si>
  <si>
    <r>
      <t>Total Expenditures</t>
    </r>
    <r>
      <rPr>
        <sz val="12"/>
        <color indexed="10"/>
        <rFont val="Times New Roman"/>
        <family val="1"/>
      </rPr>
      <t>**</t>
    </r>
  </si>
  <si>
    <t xml:space="preserve">  Total Detail Page**</t>
  </si>
  <si>
    <t>November 1st</t>
  </si>
  <si>
    <t>Other Country</t>
  </si>
  <si>
    <t>Special District Funds</t>
  </si>
  <si>
    <t>CERTIFICATE (2)</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</si>
  <si>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</si>
  <si>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</si>
  <si>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</si>
  <si>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</si>
  <si>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Read these instructions carefully.  If after reviewing them you still have questions, call Municipal Services at 785-296-2311 or e-mail : armunis@da.ks.gov</t>
  </si>
  <si>
    <t>All dollar amounts should be rounded to whole dollars (do not record cents).</t>
  </si>
  <si>
    <t>The blue areas indicated where the information comes from to complete the section input.</t>
  </si>
  <si>
    <t>1a. Dates for the entire budget workbook is controlled by the year entered into the "Enter year being budgeted (YYYY)" field.  If you find a date that is not correct for the budget being submitted, please contact us for assistance.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</si>
  <si>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</si>
  <si>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 xml:space="preserve">3. Hard coded the Bond &amp; Interest, and Road &amp; Bridge on Certificate and Summary pages. </t>
  </si>
  <si>
    <t xml:space="preserve">7. Now have the indebtedness prior year added to the input page and link with the budget summary page. </t>
  </si>
  <si>
    <t>Budget Summary</t>
  </si>
  <si>
    <t xml:space="preserve">NON-BUDGETED FUNDS </t>
  </si>
  <si>
    <t>Resolution</t>
  </si>
  <si>
    <t>Is a Resolution required?</t>
  </si>
  <si>
    <t>**</t>
  </si>
  <si>
    <t>**Note:  Total Detail Page totals should be equal to Road Subtotal.</t>
  </si>
  <si>
    <t>**Note: These two block figures should agree.</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</si>
  <si>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</si>
  <si>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</si>
  <si>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</si>
  <si>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</si>
  <si>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</si>
  <si>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</si>
  <si>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1. instruction were changed: POC change from Roger to armunis, got rid about us providing disk, took the input page and split to input prior budget information and input other, with more in-depth of forms and fund page, and more in-depth on the budget summary page.</t>
  </si>
  <si>
    <t xml:space="preserve">4.  All dates on the spreadsheet are controlled from input on the input Prior Year page. </t>
  </si>
  <si>
    <t>Allocation of Motor, Recreational, 16/20M Vehicle Taxes &amp; Slider</t>
  </si>
  <si>
    <t xml:space="preserve">27. Added Slider to the Vehicle Allocation table and linked to the fund pages. </t>
  </si>
  <si>
    <t>County Treasurers Slider Estimate</t>
  </si>
  <si>
    <t>Slider Factor</t>
  </si>
  <si>
    <t>xxxxxxxxxxxxxxxxxxxx</t>
  </si>
  <si>
    <t>Funds</t>
  </si>
  <si>
    <t xml:space="preserve">expenditure amounts should reflect the amended </t>
  </si>
  <si>
    <t>expenditure amounts.</t>
  </si>
  <si>
    <t>28. Added to all budgeted fund pages the budget authority for the actual year, budget violation, and cash violation.</t>
  </si>
  <si>
    <t>Fire District No. 1</t>
  </si>
  <si>
    <t>No. 14</t>
  </si>
  <si>
    <t xml:space="preserve">19-3610 </t>
  </si>
  <si>
    <t>19-119</t>
  </si>
  <si>
    <t>General Fund</t>
  </si>
  <si>
    <t>19-120</t>
  </si>
  <si>
    <t>Treasurer's Auto</t>
  </si>
  <si>
    <t>Hospital Bonds</t>
  </si>
  <si>
    <t>Oct</t>
  </si>
  <si>
    <t>2006 /cat 930G Wheel Loader</t>
  </si>
  <si>
    <t>Excise Tax</t>
  </si>
  <si>
    <t>Transient Guest Tax</t>
  </si>
  <si>
    <t>Leased Lands</t>
  </si>
  <si>
    <t>Lake Patrol</t>
  </si>
  <si>
    <t>Mortgage Registration Fees</t>
  </si>
  <si>
    <t>Officers Fees</t>
  </si>
  <si>
    <t>Photo Copies/Fax</t>
  </si>
  <si>
    <t>Delinquent Penalties &amp; Interest</t>
  </si>
  <si>
    <t>Reimbursed Expense</t>
  </si>
  <si>
    <t>Prisoner Care</t>
  </si>
  <si>
    <t>Special Auto</t>
  </si>
  <si>
    <t>Insurance Refund (WC Shop)</t>
  </si>
  <si>
    <t>FEMA - Emergency Mgment grants</t>
  </si>
  <si>
    <t>County Attorney</t>
  </si>
  <si>
    <t>Sheriff</t>
  </si>
  <si>
    <t>Dispatch</t>
  </si>
  <si>
    <t>Jail</t>
  </si>
  <si>
    <t>Emergency Management</t>
  </si>
  <si>
    <t>Courthouse General</t>
  </si>
  <si>
    <t>Salaries</t>
  </si>
  <si>
    <t xml:space="preserve">  Commodies</t>
  </si>
  <si>
    <t xml:space="preserve">  Indigent Defense</t>
  </si>
  <si>
    <t>Fair Board</t>
  </si>
  <si>
    <t>Fair Buildings</t>
  </si>
  <si>
    <t>Conservation</t>
  </si>
  <si>
    <t>Services for Elderly</t>
  </si>
  <si>
    <t>Industrial Development</t>
  </si>
  <si>
    <t>Toursim</t>
  </si>
  <si>
    <t>Public Transportation</t>
  </si>
  <si>
    <t>Historical Society</t>
  </si>
  <si>
    <t>Rural Lakes Region</t>
  </si>
  <si>
    <t>SOS Services</t>
  </si>
  <si>
    <t>Tourism</t>
  </si>
  <si>
    <t>SOS Serices</t>
  </si>
  <si>
    <t>Kansas Legal Services</t>
  </si>
  <si>
    <t>Senior Care Act</t>
  </si>
  <si>
    <t>Mass Appraisal Project</t>
  </si>
  <si>
    <t>Transfer to Capital Improvement</t>
  </si>
  <si>
    <t>Transfer to Equipment Reserve</t>
  </si>
  <si>
    <t>Transfer Auto Fees to Equip Reserve</t>
  </si>
  <si>
    <t>Federal Entitlement</t>
  </si>
  <si>
    <t>FEMA/Ks Emergency Aid</t>
  </si>
  <si>
    <t>Fuel Charges</t>
  </si>
  <si>
    <t>Reimbursements</t>
  </si>
  <si>
    <t>Budget Adjustment</t>
  </si>
  <si>
    <t>Commodities</t>
  </si>
  <si>
    <t>Contractual</t>
  </si>
  <si>
    <t>Capital Outlay</t>
  </si>
  <si>
    <t>Sale of Materials</t>
  </si>
  <si>
    <t>Maps, copies, printouts</t>
  </si>
  <si>
    <t>Services</t>
  </si>
  <si>
    <t>Add'l appropriation</t>
  </si>
  <si>
    <t>Chemical sales</t>
  </si>
  <si>
    <t>Other participating counties tax</t>
  </si>
  <si>
    <t>Salaries Appropriation</t>
  </si>
  <si>
    <t>Mental Health appropriation</t>
  </si>
  <si>
    <t>Mental Retardation appropriation</t>
  </si>
  <si>
    <t>Appropriation</t>
  </si>
  <si>
    <t>Insurance Refund</t>
  </si>
  <si>
    <t>KPERS</t>
  </si>
  <si>
    <t>FICA &amp; Medicare</t>
  </si>
  <si>
    <t>Unemployment Tax</t>
  </si>
  <si>
    <t>Workers Comp</t>
  </si>
  <si>
    <t>Health Insurance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</si>
  <si>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</si>
  <si>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</si>
  <si>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</si>
  <si>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</si>
  <si>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</si>
  <si>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</si>
  <si>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</si>
  <si>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</si>
  <si>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</si>
  <si>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</si>
  <si>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</si>
  <si>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</si>
  <si>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</si>
  <si>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</si>
  <si>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</si>
  <si>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</si>
  <si>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</si>
  <si>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</si>
  <si>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</si>
  <si>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</si>
  <si>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</si>
  <si>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</si>
  <si>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</si>
  <si>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1. Change Transfers tab footer from 'Page No. 5' to read 'Page No. 4'.</t>
  </si>
  <si>
    <t>2. Change Non-Budgeted Funds form from 'Only the actual budget year shown' to read 'Only the actual budget year for YYYY is to be shown'.</t>
  </si>
  <si>
    <t>3. Legend #33 change from 'note 10' to read 'note 11'.</t>
  </si>
  <si>
    <t>4. Changed revision date on the pages.</t>
  </si>
  <si>
    <t>The following were changed to this spreadsheet on 7/01/08</t>
  </si>
  <si>
    <t>2. Changed the formula for unencumbered cash balances for nonbud to show a negative balance.</t>
  </si>
  <si>
    <t>3. Added box under unencumbered cash balance for nonbud to reflect a negative ending cash balance.</t>
  </si>
  <si>
    <t>The Budget Summary Page</t>
  </si>
  <si>
    <t>Commissioners will be published in the (newspaper). Interested persons can also address questions concerning the budget to (office) by calling (number) between the hours of ____a.m. to ____p.m., Monday through Friday, excluding holidays.</t>
  </si>
  <si>
    <t xml:space="preserve">County.xls spreadsheet has General Fund, Debt Service, Road &amp; Bridge, 22 levy fund pages, 10 no levy fund pages, and 5 non-budgeted funds. </t>
  </si>
  <si>
    <t>2b. If the county chooses not to use the delinquency rate for all tax levy funds, then the county must delete the rate from those funds. First step, go to the fund tab of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</si>
  <si>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Note:  All amounts are to be entered in as whole numbers only.</t>
  </si>
  <si>
    <t>1. Added instructions to 9d for the nonbud tab explaining about negative cash balance.</t>
  </si>
  <si>
    <r>
      <t xml:space="preserve">Completed budgets may be submitted to Municipal Services on 3.5 computer disk, CD, or as an attachment to an email.  If submitting by email, please mail to the following address: </t>
    </r>
    <r>
      <rPr>
        <u val="single"/>
        <sz val="12"/>
        <rFont val="Times New Roman"/>
        <family val="1"/>
      </rPr>
      <t>armunis@da.ks.gov</t>
    </r>
    <r>
      <rPr>
        <sz val="12"/>
        <rFont val="Times New Roman"/>
        <family val="1"/>
      </rPr>
      <t xml:space="preserve">. Naming the files should start with 'co' for county, 'ci' for cities, 'to' for townships, and 'sp' for special districts.  </t>
    </r>
  </si>
  <si>
    <t xml:space="preserve">Additional Certificate (cert2) and Budget Summary (summ2) pages are available for adding Special Districts. If Special Districts are submitted with the county's budget, please ensure to include the Special Districts' Computation to Determine Levy Limit computation page, and fund pages. </t>
  </si>
  <si>
    <t>The following were changed to this spreadsheet on 2/23/09</t>
  </si>
  <si>
    <t>2. Input other tab line 26 changed from Budget Summary to Budget Certificate.</t>
  </si>
  <si>
    <t>1. Instruction under Submitting Budgets added 79-2926 requires electronic filing of the budget.</t>
  </si>
  <si>
    <t>The following were changed to this spreadsheet on 6/04/09</t>
  </si>
  <si>
    <t>1. Corrected all fund names as had wrong linked reference.</t>
  </si>
  <si>
    <t>Transfers - Counties</t>
  </si>
  <si>
    <r>
      <rPr>
        <sz val="12"/>
        <color indexed="10"/>
        <rFont val="Times New Roman"/>
        <family val="1"/>
      </rPr>
      <t>*</t>
    </r>
    <r>
      <rPr>
        <sz val="12"/>
        <rFont val="Times New Roman"/>
        <family val="1"/>
      </rPr>
      <t>Expenditures</t>
    </r>
    <r>
      <rPr>
        <sz val="12"/>
        <color indexed="10"/>
        <rFont val="Times New Roman"/>
        <family val="1"/>
      </rPr>
      <t>*</t>
    </r>
  </si>
  <si>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</si>
  <si>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9/23/09</t>
  </si>
  <si>
    <t>1. InputPrYr tab added cell A13 'If amended….'</t>
  </si>
  <si>
    <t>2. Gen tab added year in cell G58</t>
  </si>
  <si>
    <t>3. Road tab added year in cell G60</t>
  </si>
  <si>
    <t>4. No levypage24 in cell C61 added conditional statement</t>
  </si>
  <si>
    <t>5. Added tab TransfersStatutes</t>
  </si>
  <si>
    <t>4. Changed foot note to reflect the changes made on 7/1/08 to the above tabs.</t>
  </si>
  <si>
    <t>25. Added warning "Exceeds 5%" on all fund pages for the non-appropriated balance.</t>
  </si>
  <si>
    <t>26. Add Neighborhood Revitalization link to tax levy fund pages.</t>
  </si>
  <si>
    <t>Non-Budgeted Funds - Counties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</si>
  <si>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</si>
  <si>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t>17. Certificate (2) added (2) after Certificate at top of page, removed the certification at the top, and added column for Nov 1 valuation.</t>
  </si>
  <si>
    <t>20. Budget Summary changed the sentence "will meet…" so the year automatically changes.</t>
  </si>
  <si>
    <t>21. Added one non-budgeted pages.</t>
  </si>
  <si>
    <t>22. On the Budget Summary page (2) added column for July1 valuation and computation to compute mil rates.</t>
  </si>
  <si>
    <t>23. Added note on General and Road Detail page to ensure amounts agree with Subtotals on General and Road.</t>
  </si>
  <si>
    <t>24. Added to instructions about non-appropriated balance limited to 5%.</t>
  </si>
  <si>
    <t xml:space="preserve">General Instructions </t>
  </si>
  <si>
    <t>To print the spreadsheets, you can either print one sheet at a time or all of the sheets at once.</t>
  </si>
  <si>
    <t>Computer Spreadsheet Preparation</t>
  </si>
  <si>
    <t>Input sheet for County budget form</t>
  </si>
  <si>
    <t>Statute</t>
  </si>
  <si>
    <t>General</t>
  </si>
  <si>
    <t>Total</t>
  </si>
  <si>
    <t>Motor Vehicle Tax Estimate</t>
  </si>
  <si>
    <t>Recreational Vehicle Tax Estimate</t>
  </si>
  <si>
    <t>certify that: (1) the hearing mentioned in the attached publication was held;</t>
  </si>
  <si>
    <t>(2) after the Budget Hearing this budget was duly approved and adopted as the</t>
  </si>
  <si>
    <t>Page</t>
  </si>
  <si>
    <t>County Clerk's</t>
  </si>
  <si>
    <t>Table of Contents:</t>
  </si>
  <si>
    <t>No.</t>
  </si>
  <si>
    <t>Expenditures</t>
  </si>
  <si>
    <t>Use Only</t>
  </si>
  <si>
    <t>Statement of Indebtedness</t>
  </si>
  <si>
    <t>Statement of Lease-Purchases</t>
  </si>
  <si>
    <t>Fund</t>
  </si>
  <si>
    <t>K.S.A.</t>
  </si>
  <si>
    <t>TOTALS</t>
  </si>
  <si>
    <t>x</t>
  </si>
  <si>
    <t>Assisted by:</t>
  </si>
  <si>
    <t>Governing Body</t>
  </si>
  <si>
    <t>County Clerk</t>
  </si>
  <si>
    <t>Amount</t>
  </si>
  <si>
    <t>Mental Health</t>
  </si>
  <si>
    <t>TOTAL</t>
  </si>
  <si>
    <t>5a. Note: 2007 Supplement for K.S.A. 79-2925b provides debt service to include repayment of the principle and interest upon bonded indebtedness, temporary notes, and no-fund warrants. If the county wants to include debts for temporary notes and no-fund warrants (shown on a separate fund page and not included with debt service fund page) the Computation to Determine Limit Page lines 2 and 14 will have to be changed to include these debts in the max levy computation. In order to do this, the protection must be taken off of the page and the amounts changed. You are not required to add the additional debts into the computation of the max levy amount.</t>
  </si>
  <si>
    <t>5b. Print the Resolution page (resolution) if the max levy is exceeded.  Complete the printed resolution and ensure to attached it to the budget.</t>
  </si>
  <si>
    <t>6.  Motor Vehicle Allocation and Slider (mvalloc) are completed from information entered on the input pages (inputpryr and inputoth).  Once calculated, the tables information are linked to the applicable fund pages. If the information is not correct, please do not change the tables, but rather correct the information on the input pages.</t>
  </si>
  <si>
    <t>7. The Schedule of Transfers (transfers) is completed from the individual completed fund pages. Be sure to provide the statute that authorizes the transfer. If 'Home Rule' is applied, then provide the chartered ordinance number in place of the statute. Before submitting the budget, suggest printing off the Schedule of Transfers page and tracing entries to each fund page.</t>
  </si>
  <si>
    <r>
      <t xml:space="preserve">8.  Statement of Indebtedness (debt) must show all the debt owed or proposed to be issued.  The general obligation and revenue bond totals for budget year is linked to the Budget Summary. </t>
    </r>
    <r>
      <rPr>
        <b/>
        <sz val="12"/>
        <rFont val="Times New Roman"/>
        <family val="1"/>
      </rPr>
      <t>If the county does not have any debt, then on the first line enter 'none'.</t>
    </r>
  </si>
  <si>
    <r>
      <t xml:space="preserve">9.  Statement of Conditional Lease, Lease-Purchases and Certificate of Participation (lpform) must be completed for all transactions which at the end of the least period the item will be owned by the county.  Principal Balance Due for the actual year is linked to the Budget Summary page. </t>
    </r>
    <r>
      <rPr>
        <b/>
        <sz val="12"/>
        <rFont val="Times New Roman"/>
        <family val="1"/>
      </rPr>
      <t>If the county does not have any leases, then on the first line enter 'none'.</t>
    </r>
  </si>
  <si>
    <t>10.  The spreadsheet has individual fund sheets for General Fund (general), General Fund Detail (gen-detail), Debt Service (DebtService), Road &amp; Bridge (road), Road &amp; Bridge Detail (road-detail), 22 levy pages (levy page10 and levy page20), 10 no levy fund pages (nolevypage21 to nolevypage25), and 1non-budgeted tab which allows for 5 non-budgeted funds.  Only complete the fund pages needed.  When the fund pages are completed, the totals will be shown on the Certificate and Budget Summary pages.</t>
  </si>
  <si>
    <t>Other</t>
  </si>
  <si>
    <t>Page No.</t>
  </si>
  <si>
    <t xml:space="preserve"> </t>
  </si>
  <si>
    <t>Prior Year Actual</t>
  </si>
  <si>
    <t>Actual</t>
  </si>
  <si>
    <t>Est.</t>
  </si>
  <si>
    <t xml:space="preserve">     FUND</t>
  </si>
  <si>
    <t>Tax Rate*</t>
  </si>
  <si>
    <t>Less: Transfers</t>
  </si>
  <si>
    <t>Net Expenditure</t>
  </si>
  <si>
    <t>Total Tax Levied</t>
  </si>
  <si>
    <t>Assessed Valuation</t>
  </si>
  <si>
    <t>Outstanding Indebtedness,</t>
  </si>
  <si>
    <t xml:space="preserve">  January 1,</t>
  </si>
  <si>
    <t>G.O. Bonds</t>
  </si>
  <si>
    <t>Revenue Bonds</t>
  </si>
  <si>
    <t xml:space="preserve">     Total</t>
  </si>
  <si>
    <t xml:space="preserve">  *Tax rates are expressed in mills</t>
  </si>
  <si>
    <t>Clerk</t>
  </si>
  <si>
    <t>Other District Funds</t>
  </si>
  <si>
    <t>Date</t>
  </si>
  <si>
    <t xml:space="preserve">   Amount Due</t>
  </si>
  <si>
    <t>of</t>
  </si>
  <si>
    <t>Rate</t>
  </si>
  <si>
    <t xml:space="preserve">  Date Due</t>
  </si>
  <si>
    <t>Type of Debt</t>
  </si>
  <si>
    <t>Issue</t>
  </si>
  <si>
    <t>Issued</t>
  </si>
  <si>
    <t>General Obligation:</t>
  </si>
  <si>
    <t>Total G.O. Bonds</t>
  </si>
  <si>
    <t>Revenue Bonds:</t>
  </si>
  <si>
    <t>Total Revenue Bonds</t>
  </si>
  <si>
    <t>Other:</t>
  </si>
  <si>
    <t>Total Indebtedness</t>
  </si>
  <si>
    <t>Term of</t>
  </si>
  <si>
    <t>Interest</t>
  </si>
  <si>
    <t>Principal</t>
  </si>
  <si>
    <t>Payments</t>
  </si>
  <si>
    <t xml:space="preserve">  Contract</t>
  </si>
  <si>
    <t>Contract</t>
  </si>
  <si>
    <t>Financed</t>
  </si>
  <si>
    <t>Due</t>
  </si>
  <si>
    <t>Item Purchased</t>
  </si>
  <si>
    <t>(Months)</t>
  </si>
  <si>
    <t>16/20 M Vehicle Tax</t>
  </si>
  <si>
    <t>CERTIFICATE</t>
  </si>
  <si>
    <t>STATEMENT OF CONDITIONAL LEASE-PURCHASE AND CERTIFICATE OF PARTICIPATION*</t>
  </si>
  <si>
    <t>NOTICE OF BUDGET HEARING</t>
  </si>
  <si>
    <t>BUDGET SUMMARY</t>
  </si>
  <si>
    <t>FUND PAGE - GENERAL</t>
  </si>
  <si>
    <t>FUND PAGE - GENERAL DETAIL</t>
  </si>
  <si>
    <t>FUND PAGE - ROAD</t>
  </si>
  <si>
    <t>FUND PAGE FOR FUNDS WITH A TAX LEVY</t>
  </si>
  <si>
    <t>FUND PAGE FOR FUNDS WITH NO TAX LEVY</t>
  </si>
  <si>
    <t>STATEMENT OF INDEBTEDNESS</t>
  </si>
  <si>
    <t>RVT</t>
  </si>
  <si>
    <t>County Treasurers 16/20M Vehicle Estimate</t>
  </si>
  <si>
    <t>16/20M Vehicle Tax Estimate</t>
  </si>
  <si>
    <t>Amount of Levy</t>
  </si>
  <si>
    <t xml:space="preserve"> 1.</t>
  </si>
  <si>
    <t>+</t>
  </si>
  <si>
    <t>$</t>
  </si>
  <si>
    <t xml:space="preserve"> 2.</t>
  </si>
  <si>
    <t>-</t>
  </si>
  <si>
    <t xml:space="preserve"> 3.</t>
  </si>
  <si>
    <t xml:space="preserve"> 4.</t>
  </si>
  <si>
    <t xml:space="preserve"> 5.</t>
  </si>
  <si>
    <t>5a.</t>
  </si>
  <si>
    <t>5b.</t>
  </si>
  <si>
    <t>5c.</t>
  </si>
  <si>
    <t>6.</t>
  </si>
  <si>
    <t>9.</t>
  </si>
  <si>
    <t>10.</t>
  </si>
  <si>
    <t>11.</t>
  </si>
  <si>
    <t>12.</t>
  </si>
  <si>
    <t>(Use Only if &gt; 0)</t>
  </si>
  <si>
    <t>16/20M Vehicle Tax</t>
  </si>
  <si>
    <t xml:space="preserve">The governing body of </t>
  </si>
  <si>
    <t>Gross Earnings (Intangible) Tax</t>
  </si>
  <si>
    <t>7.</t>
  </si>
  <si>
    <t>8.</t>
  </si>
  <si>
    <t>Balance On</t>
  </si>
  <si>
    <t>16/20M Veh</t>
  </si>
  <si>
    <t>Tax Levy Excluding Debt Service</t>
  </si>
  <si>
    <r>
      <t xml:space="preserve">Total Valuation Adjustment </t>
    </r>
    <r>
      <rPr>
        <sz val="12"/>
        <rFont val="Times New Roman"/>
        <family val="1"/>
      </rPr>
      <t>(Sum of 4, 5c, and 6)</t>
    </r>
  </si>
  <si>
    <t>Increase in Personal Property (5a minus 5b)</t>
  </si>
  <si>
    <t>Amount of Increase (10 times 3)</t>
  </si>
  <si>
    <t>Factor for Increase (7 divided by 9)</t>
  </si>
  <si>
    <t>Total Valuation less Valuation Adjustment (8 minus 7)</t>
  </si>
  <si>
    <t>13.</t>
  </si>
  <si>
    <t>14.</t>
  </si>
  <si>
    <t>Maximum Tax Levy, excluding debt service, without a Resolution (3 plus 11)</t>
  </si>
  <si>
    <t>Maximum levy, including debt service, without a Resolution (12 plus 13)</t>
  </si>
  <si>
    <t>Unencumbered Cash Balance Jan 1</t>
  </si>
  <si>
    <t>Unencumbered Cash Balance Dec 31</t>
  </si>
  <si>
    <t>Receipts:</t>
  </si>
  <si>
    <t xml:space="preserve">Enter information  in all areas that are green if they apply to the budget you are preparing. </t>
  </si>
  <si>
    <t>79-1946</t>
  </si>
  <si>
    <t>Schedule of Transfers</t>
  </si>
  <si>
    <t>Outstanding</t>
  </si>
  <si>
    <t>(Beginning Principal)</t>
  </si>
  <si>
    <t>Estimated Tax Rate is subject to change depending on the final assessed valuation.</t>
  </si>
  <si>
    <t>Lease Pur. Princ.</t>
  </si>
  <si>
    <t>RESOLUTION NO.__________________</t>
  </si>
  <si>
    <t>___________________________________.</t>
  </si>
  <si>
    <t>(Attach a signed copy to the budget)</t>
  </si>
  <si>
    <t>COUNTY RESOLUTION</t>
  </si>
  <si>
    <t>BOARD OF COUNTY COMMISSIONERS</t>
  </si>
  <si>
    <t>ATTEST:</t>
  </si>
  <si>
    <t>________________________________.</t>
  </si>
  <si>
    <t>, County Clerk</t>
  </si>
  <si>
    <t>Whereas, budgeting, taxing and service level decisions for all county services are the responsibility of the board of county commissioners; and</t>
  </si>
  <si>
    <t>Whereas, the cost of provision of these services continues to increase; and</t>
  </si>
  <si>
    <t>Current</t>
  </si>
  <si>
    <t>Proposed</t>
  </si>
  <si>
    <t xml:space="preserve">Authorized by </t>
  </si>
  <si>
    <t xml:space="preserve">                                                                         16/20M Vehicle Factor</t>
  </si>
  <si>
    <t xml:space="preserve">                                        Recreational Vehicle Factor</t>
  </si>
  <si>
    <t>Page No. 7</t>
  </si>
  <si>
    <t>Page No. 7a</t>
  </si>
  <si>
    <t>Total - Page 7b</t>
  </si>
  <si>
    <t>Total - Page 7c</t>
  </si>
  <si>
    <t>Total - Page 7d</t>
  </si>
  <si>
    <t>Total - Page 7e</t>
  </si>
  <si>
    <t>Total  - Page 7f</t>
  </si>
  <si>
    <t>Total - Page7b</t>
  </si>
  <si>
    <t>When the page numbers are changed on the fund pages, the Certificate page will also be changed.</t>
  </si>
  <si>
    <t>Address:</t>
  </si>
  <si>
    <t>County Clerk's Use Only</t>
  </si>
  <si>
    <t>County Spreadsheet Instructions</t>
  </si>
  <si>
    <t xml:space="preserve">Counties can use the county.xls or county1.xls files.   You must choose a form that meets the needs for the number of funds.  If you don't need all the funds, just leave the pages blank and number the completed pages sequentially. </t>
  </si>
  <si>
    <t>Enter County Name followed by 'County'</t>
  </si>
  <si>
    <t>14b.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</si>
  <si>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1. All pages removed the revision date</t>
  </si>
  <si>
    <t>2. All tax levy fund pages reduced the columns and revised the bottom of pages for see tabs</t>
  </si>
  <si>
    <t>3. Instruction tab added 10a,b and f, 12 b and c, and 14</t>
  </si>
  <si>
    <t>4. Certificate and Certificate2 tab change the 'Expenditure' heading by adding  'Budget Authority for Expenditures'</t>
  </si>
  <si>
    <t>5. Certificate tab add the year in the block for 'County Clerk Use Only'</t>
  </si>
  <si>
    <t>6. Gen tab added revenue line for 'Compensation Use'</t>
  </si>
  <si>
    <t>7. Gen tab added table for 'Projection of Cash Carryover'</t>
  </si>
  <si>
    <t>8. Gen tab added table for 'Desired Carryover'</t>
  </si>
  <si>
    <t>9. Gen tab redefine print que to not include tables</t>
  </si>
  <si>
    <t>10. Gen tab hid the comp for see tabs</t>
  </si>
  <si>
    <t>11. DebtService tab added table for 'Projected Carryover'</t>
  </si>
  <si>
    <t>12. Road tab added table for 'Projected Carryover'</t>
  </si>
  <si>
    <t>13. DebtService and Road tab redefine print que and hid comp for see tabs</t>
  </si>
  <si>
    <t>14. Levy page10 and page20 tab hid comp for see tabs</t>
  </si>
  <si>
    <t>15. Summ and Summ2 tab changed proposed year expenditure column to 'Budget Authority (Includes Carryover)</t>
  </si>
  <si>
    <t>16. Summ tab added four tables to the right of the form</t>
  </si>
  <si>
    <t>17. Revised TransferStatutes and NonBudFunds tabs</t>
  </si>
  <si>
    <t>18. Added Mill Rate Computation tab</t>
  </si>
  <si>
    <t>19. Add Helpful Links tab</t>
  </si>
  <si>
    <t>20. Inputoth tab changed Actual Delinquency tax from -2 to -3</t>
  </si>
  <si>
    <t>21. Summ2 added year to Estimate Valuation column</t>
  </si>
  <si>
    <t>Page No. 7f</t>
  </si>
  <si>
    <t>Page No. 7e</t>
  </si>
  <si>
    <t>Page No. 7d</t>
  </si>
  <si>
    <t>Page No. 7c</t>
  </si>
  <si>
    <t>Page No.7b</t>
  </si>
  <si>
    <t>The estimated value of one mill would be:</t>
  </si>
  <si>
    <t>Change in Ad Valorem Tax Revenue:</t>
  </si>
  <si>
    <t>What Mill Rate Would Be Desired?</t>
  </si>
  <si>
    <t>Third Step:</t>
  </si>
  <si>
    <t>Result:</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</si>
  <si>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</si>
  <si>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</si>
  <si>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</si>
  <si>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</si>
  <si>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</si>
  <si>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</si>
  <si>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</si>
  <si>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and hearing held.</t>
  </si>
  <si>
    <t xml:space="preserve">Must be at least 10 days between date published </t>
  </si>
  <si>
    <t>The following were changed to this spreadsheet on 4/19/11</t>
  </si>
  <si>
    <t>1. Summ tabs changed proposed year expenditure column to 'Budget Authority for Expenditures'</t>
  </si>
  <si>
    <t>The following were changed to this spreadsheet on 5/27/11</t>
  </si>
  <si>
    <t>1. Cert Tab change all tax levy reference for ad valorem tax column</t>
  </si>
  <si>
    <t>The following were changed to this spreadsheet on 8/8/11</t>
  </si>
  <si>
    <t>1. Corrected reference made to cell D20 on Summary Page</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</si>
  <si>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</si>
  <si>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</si>
  <si>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</si>
  <si>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</si>
  <si>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</si>
  <si>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12. Certificate tab moved the Assisted By: and added more lines for governing body signatures</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</si>
  <si>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</si>
  <si>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</si>
  <si>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</si>
  <si>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</si>
  <si>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</si>
  <si>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</si>
  <si>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</si>
  <si>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</si>
  <si>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t>
  </si>
  <si>
    <t>The following were changed to this spreadsheet on 12/08/09</t>
  </si>
  <si>
    <t>1. Instruction tab, added step 3 for 'inputBudSum'</t>
  </si>
  <si>
    <t>2. Added tab 'inputBudSum'</t>
  </si>
  <si>
    <t>3. Changed Budget Summary replacing the green areas for date/time/location so info comes from inputBudSum tab</t>
  </si>
  <si>
    <t>Possible Budget Law Violation</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</si>
  <si>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</si>
  <si>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</si>
  <si>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</si>
  <si>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</si>
  <si>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</si>
  <si>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</si>
  <si>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</si>
  <si>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</si>
  <si>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</si>
  <si>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</si>
  <si>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</si>
  <si>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</si>
  <si>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</si>
  <si>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</si>
  <si>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</si>
  <si>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</si>
  <si>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</si>
  <si>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</si>
  <si>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</si>
  <si>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</si>
  <si>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</si>
  <si>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</si>
  <si>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</si>
  <si>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</si>
  <si>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</si>
  <si>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</si>
  <si>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</si>
  <si>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</si>
  <si>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</si>
  <si>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t>Prin &amp; Int from hospital</t>
  </si>
  <si>
    <t>Reserve</t>
  </si>
  <si>
    <t>Principal Payment</t>
  </si>
  <si>
    <t>Interest Payment</t>
  </si>
  <si>
    <t>Fees</t>
  </si>
  <si>
    <t>Sale of commodities</t>
  </si>
  <si>
    <t>Transfer Station:  Salaries</t>
  </si>
  <si>
    <t xml:space="preserve">                          Commodities</t>
  </si>
  <si>
    <t xml:space="preserve">                          Contractual</t>
  </si>
  <si>
    <t xml:space="preserve">                          Capital Outlay</t>
  </si>
  <si>
    <t>Recycling Center:  Salaries</t>
  </si>
  <si>
    <t xml:space="preserve">                            Commodities</t>
  </si>
  <si>
    <t xml:space="preserve">                            Contractual</t>
  </si>
  <si>
    <t xml:space="preserve">                            Capital Outlay</t>
  </si>
  <si>
    <t>Telephone tax</t>
  </si>
  <si>
    <t>Telephone Tax &amp; Interest</t>
  </si>
  <si>
    <t>Maintenance</t>
  </si>
  <si>
    <t>Diversion Expense</t>
  </si>
  <si>
    <t>KCAMP</t>
  </si>
  <si>
    <t>ROD Tech fees</t>
  </si>
  <si>
    <t>Spec auto fees</t>
  </si>
  <si>
    <t>Equipment</t>
  </si>
  <si>
    <t>Improvements</t>
  </si>
  <si>
    <t>Tech Equipment</t>
  </si>
  <si>
    <t>Bldg/Equipment</t>
  </si>
  <si>
    <t>Michelle Garrett</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</si>
  <si>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</si>
  <si>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</si>
  <si>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</si>
  <si>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</si>
  <si>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</si>
  <si>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</si>
  <si>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</si>
  <si>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</si>
  <si>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</si>
  <si>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</si>
  <si>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</si>
  <si>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</si>
  <si>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</si>
  <si>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</si>
  <si>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</si>
  <si>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</si>
  <si>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</si>
  <si>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</si>
  <si>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</si>
  <si>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</si>
  <si>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</si>
  <si>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</si>
  <si>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</si>
  <si>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</si>
  <si>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</si>
  <si>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</si>
  <si>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</si>
  <si>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</si>
  <si>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</si>
  <si>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</si>
  <si>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</si>
  <si>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</si>
  <si>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</si>
  <si>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</si>
  <si>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</si>
  <si>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</si>
  <si>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</si>
  <si>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</si>
  <si>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</si>
  <si>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</si>
  <si>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</si>
  <si>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</si>
  <si>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</si>
  <si>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</si>
  <si>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</si>
  <si>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</si>
  <si>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</si>
  <si>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</si>
  <si>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</si>
  <si>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</si>
  <si>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</si>
  <si>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</si>
  <si>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</si>
  <si>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</si>
  <si>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</si>
  <si>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</si>
  <si>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</si>
  <si>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</si>
  <si>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</si>
  <si>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</si>
  <si>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</si>
  <si>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</si>
  <si>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</si>
  <si>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</si>
  <si>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</si>
  <si>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</si>
  <si>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</si>
  <si>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</si>
  <si>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</si>
  <si>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</si>
  <si>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</si>
  <si>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</si>
  <si>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</si>
  <si>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</si>
  <si>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</si>
  <si>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</si>
  <si>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</si>
  <si>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</si>
  <si>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</si>
  <si>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</si>
  <si>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</si>
  <si>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</si>
  <si>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</si>
  <si>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</si>
  <si>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</si>
  <si>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</si>
  <si>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</si>
  <si>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</si>
  <si>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</si>
  <si>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</si>
  <si>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</si>
  <si>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</si>
  <si>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</si>
  <si>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</si>
  <si>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</si>
  <si>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</si>
  <si>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</si>
  <si>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</si>
  <si>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</si>
  <si>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</si>
  <si>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</si>
  <si>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</si>
  <si>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</si>
  <si>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</si>
  <si>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</si>
  <si>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</si>
  <si>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sz val="12"/>
        <color indexed="8"/>
        <rFont val="Times New Roman"/>
        <family val="1"/>
      </rPr>
      <t xml:space="preserve">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</si>
  <si>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 xml:space="preserve">12-2615.  Risk management reserve fund. </t>
    </r>
    <r>
      <rPr>
        <sz val="12"/>
        <color indexed="8"/>
        <rFont val="Times New Roman"/>
        <family val="1"/>
      </rPr>
      <t xml:space="preserve"> The governing body of any city or county may pay costs relating to any uninsured loss from a risk management reserve fund.</t>
    </r>
  </si>
  <si>
    <r>
      <t xml:space="preserve">K.S.A. </t>
    </r>
    <r>
      <rPr>
        <b/>
        <sz val="12"/>
        <color indexed="8"/>
        <rFont val="Times New Roman"/>
        <family val="1"/>
      </rPr>
      <t>19-119.</t>
    </r>
    <r>
      <rPr>
        <sz val="12"/>
        <color indexed="8"/>
        <rFont val="Times New Roman"/>
        <family val="1"/>
      </rPr>
      <t xml:space="preserve">  </t>
    </r>
    <r>
      <rPr>
        <b/>
        <sz val="12"/>
        <color indexed="8"/>
        <rFont val="Times New Roman"/>
        <family val="1"/>
      </rPr>
      <t xml:space="preserve">County equipment reserve fund. </t>
    </r>
    <r>
      <rPr>
        <sz val="12"/>
        <color indexed="8"/>
        <rFont val="Times New Roman"/>
        <family val="1"/>
      </rPr>
      <t xml:space="preserve"> Provides for the creation of a county equipment reserve fund to finance the acquisition of equipment.</t>
    </r>
  </si>
  <si>
    <r>
      <t>10g.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</si>
  <si>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10h. The non-budgeted pages in the last column, the last two boxes should have the same figures as the last box take totals from the right side with the next to last box takes totals from the bottom.</t>
  </si>
  <si>
    <r>
      <t xml:space="preserve">10i. All levy fund pages have a Non-Appropriated Balance block. K.S.A. 79-2927 allows the county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In order to remove this warning message, you must reduce the non-appropriate figure.</t>
    </r>
  </si>
  <si>
    <t xml:space="preserve">10j. Each fund after the "unencumbered cash bal dec31", will show the budget authority expenditure amount for the actual and current year. </t>
  </si>
  <si>
    <r>
      <t>10k. For tax levy or no tax levy fund pages, a comparison is made between the budget authority for the actual year and the actual total expenditures for the actual year as shown in the budget. If the total expenditures exceed the budget authority amount, then a '</t>
    </r>
    <r>
      <rPr>
        <sz val="12"/>
        <color indexed="10"/>
        <rFont val="Times New Roman"/>
        <family val="1"/>
      </rPr>
      <t>See Tab A</t>
    </r>
    <r>
      <rPr>
        <sz val="12"/>
        <rFont val="Times New Roman"/>
        <family val="1"/>
      </rPr>
      <t>' appears to indicate a possible violation and the expenditure blocks turns red.  Another comparison is made for the unencumbered cash balance dec 31 to determine if the fund ended with a negative cash balance and if so, then a '</t>
    </r>
    <r>
      <rPr>
        <sz val="12"/>
        <color indexed="10"/>
        <rFont val="Times New Roman"/>
        <family val="1"/>
      </rPr>
      <t>See Tab B</t>
    </r>
    <r>
      <rPr>
        <sz val="12"/>
        <rFont val="Times New Roman"/>
        <family val="1"/>
      </rPr>
      <t xml:space="preserve">' will appear for the violation and the unencumbered cash block turns red. </t>
    </r>
  </si>
  <si>
    <t>County Treas Motor Vehicle Estimate</t>
  </si>
  <si>
    <t>County Treasurers Recreational Vehicle Estimate</t>
  </si>
  <si>
    <t>Motor Vehicle Factor</t>
  </si>
  <si>
    <t>MVT</t>
  </si>
  <si>
    <t>Totals</t>
  </si>
  <si>
    <t>District Court</t>
  </si>
  <si>
    <t>Juvenile Detention</t>
  </si>
  <si>
    <t>Adopted Budget</t>
  </si>
  <si>
    <t>Ad Valorem Tax</t>
  </si>
  <si>
    <t>Delinquent Tax</t>
  </si>
  <si>
    <t>Motor Vehicle Tax</t>
  </si>
  <si>
    <t>Recreational Vehicle Tax</t>
  </si>
  <si>
    <t>Local Alcoholic Liquor</t>
  </si>
  <si>
    <t>In Lieu of Taxes (IRB)</t>
  </si>
  <si>
    <t>Mineral Production Tax</t>
  </si>
  <si>
    <t>Interest on Idle Funds</t>
  </si>
  <si>
    <t>Total Receipts</t>
  </si>
  <si>
    <t>Resources Available:</t>
  </si>
  <si>
    <t xml:space="preserve">Page No. </t>
  </si>
  <si>
    <t xml:space="preserve">General </t>
  </si>
  <si>
    <t>Expenditures:</t>
  </si>
  <si>
    <t>Total Expenditures</t>
  </si>
  <si>
    <t>Tax Required</t>
  </si>
  <si>
    <t>%</t>
  </si>
  <si>
    <t>General Fund - Detail Expend</t>
  </si>
  <si>
    <t xml:space="preserve">  Salaries</t>
  </si>
  <si>
    <t xml:space="preserve">  Contractual</t>
  </si>
  <si>
    <t xml:space="preserve">  Commodities</t>
  </si>
  <si>
    <t xml:space="preserve">  Capital Outlay</t>
  </si>
  <si>
    <t>Ambulance</t>
  </si>
  <si>
    <t>County Commission</t>
  </si>
  <si>
    <t>County Treasurer</t>
  </si>
  <si>
    <t>Debt Service</t>
  </si>
  <si>
    <t>Election</t>
  </si>
  <si>
    <t>Employee Benefits</t>
  </si>
  <si>
    <t>Extension Council</t>
  </si>
  <si>
    <t>Register of Deeds</t>
  </si>
  <si>
    <t>Road &amp; Bridge</t>
  </si>
  <si>
    <t>Solid Waste</t>
  </si>
  <si>
    <r>
      <t>10m.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</si>
  <si>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t>12b.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</si>
  <si>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12c.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</si>
  <si>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 xml:space="preserve">12d. Before printing, review the form to ensure all the information is provided and the figures are correct. Print the page, have official sign it, and take to the local newspaper for printing. </t>
  </si>
  <si>
    <t>12e. Once the 'Notice of Budget Hearing' has been printed in the local newspaper, please review the notice to ensure the information was correctly printed.  If the information is not correct, the Notice may need to be republished, and may delay the submission of the budget.</t>
  </si>
  <si>
    <t>12f. If the Special District budgets are computed by the County Clerk, the Clerk could complete the County Spec District.xls spreadsheet and this spreadsheet would be included with the county's budget.  Both Budget Summary pages would be taken to the newspaper for publication.</t>
  </si>
  <si>
    <r>
      <t>14.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</si>
  <si>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14a.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</si>
  <si>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</si>
  <si>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</si>
  <si>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K.S.A. 12-196</t>
    </r>
    <r>
      <rPr>
        <sz val="12"/>
        <rFont val="Times New Roman"/>
        <family val="1"/>
      </rPr>
      <t xml:space="preserve">. </t>
    </r>
    <r>
      <rPr>
        <sz val="12"/>
        <color indexed="8"/>
        <rFont val="Times New Roman"/>
        <family val="1"/>
      </rPr>
      <t xml:space="preserve"> </t>
    </r>
    <r>
      <rPr>
        <b/>
        <sz val="12"/>
        <color indexed="8"/>
        <rFont val="Times New Roman"/>
        <family val="1"/>
      </rPr>
      <t>Transfer of sales tax proceeds.</t>
    </r>
    <r>
      <rPr>
        <sz val="12"/>
        <color indexed="8"/>
        <rFont val="Times New Roman"/>
        <family val="1"/>
      </rPr>
      <t xml:space="preserve">  The board of county commissioners may transfer any portion of the revenue received pursuant to K.S.A. 12-192 [countywide retailers sales tax] from the county general fund to the county road and bridge fund.</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</si>
  <si>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</si>
  <si>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</si>
  <si>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</si>
  <si>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12-2615</t>
    </r>
    <r>
      <rPr>
        <sz val="12"/>
        <color indexed="8"/>
        <rFont val="Times New Roman"/>
        <family val="1"/>
      </rPr>
      <t xml:space="preserve">.  </t>
    </r>
    <r>
      <rPr>
        <b/>
        <sz val="12"/>
        <color indexed="8"/>
        <rFont val="Times New Roman"/>
        <family val="1"/>
      </rPr>
      <t>Transfer to risk management reserve fund.</t>
    </r>
    <r>
      <rPr>
        <sz val="12"/>
        <color indexed="8"/>
        <rFont val="Times New Roman"/>
        <family val="1"/>
      </rPr>
      <t xml:space="preserve">  To cover costs relating to any uninsured loss moneys may be paid into a risk management reserve fund or special reserve fund from any source which may be utilized for such purposes, including transfers from the general fund, in reasonable proportion to the estimated cost of self insuring the risk losses covered by such funds. </t>
    </r>
  </si>
  <si>
    <r>
      <t>K.S.A. 19-119</t>
    </r>
    <r>
      <rPr>
        <sz val="12"/>
        <rFont val="Times New Roman"/>
        <family val="1"/>
      </rPr>
      <t>.</t>
    </r>
    <r>
      <rPr>
        <b/>
        <sz val="12"/>
        <rFont val="Times New Roman"/>
        <family val="1"/>
      </rPr>
      <t xml:space="preserve">  Transfer to equipment reserve fund.</t>
    </r>
    <r>
      <rPr>
        <sz val="12"/>
        <rFont val="Times New Roman"/>
        <family val="1"/>
      </rPr>
      <t xml:space="preserve">  </t>
    </r>
    <r>
      <rPr>
        <sz val="12"/>
        <color indexed="8"/>
        <rFont val="Times New Roman"/>
        <family val="1"/>
      </rPr>
      <t>Moneys may be budgeted and transferred to an equipment reserve fund from any source which may be lawfully utilized for such purposes.</t>
    </r>
  </si>
  <si>
    <r>
      <t>K.S.A. 19-120</t>
    </r>
    <r>
      <rPr>
        <sz val="12"/>
        <color indexed="8"/>
        <rFont val="Times New Roman"/>
        <family val="1"/>
      </rPr>
      <t>.</t>
    </r>
    <r>
      <rPr>
        <b/>
        <sz val="12"/>
        <color indexed="8"/>
        <rFont val="Times New Roman"/>
        <family val="1"/>
      </rPr>
      <t xml:space="preserve">  Transfer to capital improvements fund.</t>
    </r>
    <r>
      <rPr>
        <sz val="12"/>
        <color indexed="8"/>
        <rFont val="Times New Roman"/>
        <family val="1"/>
      </rPr>
      <t xml:space="preserve">  Authorizes the budgeted transfer of moneys from other funds lawfully available for improvement purposes to the capital improvements fund, including moneys in the general fund.</t>
    </r>
  </si>
  <si>
    <r>
      <t xml:space="preserve">K.S.A. </t>
    </r>
    <r>
      <rPr>
        <b/>
        <sz val="12"/>
        <color indexed="8"/>
        <rFont val="Times New Roman"/>
        <family val="1"/>
      </rPr>
      <t>44-505b</t>
    </r>
    <r>
      <rPr>
        <sz val="12"/>
        <color indexed="8"/>
        <rFont val="Times New Roman"/>
        <family val="1"/>
      </rPr>
      <t xml:space="preserve">.  </t>
    </r>
    <r>
      <rPr>
        <b/>
        <sz val="12"/>
        <color indexed="8"/>
        <rFont val="Times New Roman"/>
        <family val="1"/>
      </rPr>
      <t>Transfer to worker’s compensation reserve fund.</t>
    </r>
    <r>
      <rPr>
        <sz val="12"/>
        <color indexed="8"/>
        <rFont val="Times New Roman"/>
        <family val="1"/>
      </rPr>
      <t xml:space="preserve">  Where a county chooses to act as a self-insurer under the worker’s compensation act it is authorized it is authorized to make transfers to a worker’s compensation reserve fund at any time by transfer of money from the road and bridge fund of said county in such amount as the board deems necessary.</t>
    </r>
  </si>
  <si>
    <r>
      <t>K.S.A. 68-141g</t>
    </r>
    <r>
      <rPr>
        <sz val="12"/>
        <color indexed="8"/>
        <rFont val="Times New Roman"/>
        <family val="1"/>
      </rPr>
      <t xml:space="preserve">.  </t>
    </r>
    <r>
      <rPr>
        <b/>
        <sz val="12"/>
        <color indexed="8"/>
        <rFont val="Times New Roman"/>
        <family val="1"/>
      </rPr>
      <t>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</si>
  <si>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68-590.</t>
    </r>
    <r>
      <rPr>
        <sz val="12"/>
        <rFont val="Times New Roman"/>
        <family val="1"/>
      </rPr>
      <t xml:space="preserve"> </t>
    </r>
    <r>
      <rPr>
        <sz val="12"/>
        <color indexed="8"/>
        <rFont val="Times New Roman"/>
        <family val="1"/>
      </rPr>
      <t xml:space="preserve"> </t>
    </r>
    <r>
      <rPr>
        <b/>
        <sz val="12"/>
        <color indexed="8"/>
        <rFont val="Times New Roman"/>
        <family val="1"/>
      </rPr>
      <t>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</si>
  <si>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</si>
  <si>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t>Valuation Factor:</t>
  </si>
  <si>
    <t>Neighborhood Revitalization Subj to Rebate:</t>
  </si>
  <si>
    <t>Neighborhood Revitalization factor:</t>
  </si>
  <si>
    <t>11. NonBud tab changed the Net valuation to July 1</t>
  </si>
  <si>
    <t>October 4, 2011</t>
  </si>
  <si>
    <t>9: 30 a.m.</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</si>
  <si>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</si>
  <si>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</si>
  <si>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</si>
  <si>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Budget Authority</t>
  </si>
  <si>
    <t>for Expenditures</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</si>
  <si>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</si>
  <si>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 xml:space="preserve">K.S.A. 8-145.  </t>
    </r>
    <r>
      <rPr>
        <b/>
        <sz val="12"/>
        <color indexed="8"/>
        <rFont val="Times New Roman"/>
        <family val="1"/>
      </rPr>
      <t>Transfer to general fund from special motor vehicle fund.</t>
    </r>
    <r>
      <rPr>
        <sz val="12"/>
        <color indexed="8"/>
        <rFont val="Times New Roman"/>
        <family val="1"/>
      </rPr>
      <t xml:space="preserve">  Any balance remaining in the special motor vehicle fund at the close of any calendar year shall be withdrawn and credited to the general fund of the county prior to June 1 of the following calendar year.</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</si>
  <si>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</si>
  <si>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 xml:space="preserve">K.S.A. </t>
    </r>
    <r>
      <rPr>
        <b/>
        <sz val="11"/>
        <color indexed="8"/>
        <rFont val="Times New Roman"/>
        <family val="1"/>
      </rPr>
      <t>19-2661.</t>
    </r>
    <r>
      <rPr>
        <sz val="11"/>
        <color indexed="8"/>
        <rFont val="Times New Roman"/>
        <family val="1"/>
      </rPr>
      <t xml:space="preserve">  </t>
    </r>
    <r>
      <rPr>
        <b/>
        <sz val="11"/>
        <color indexed="8"/>
        <rFont val="Times New Roman"/>
        <family val="1"/>
      </rPr>
      <t>Transfer to refuse disposal sinking (debt service) fund.</t>
    </r>
    <r>
      <rPr>
        <sz val="11"/>
        <color indexed="8"/>
        <rFont val="Times New Roman"/>
        <family val="1"/>
      </rPr>
      <t xml:space="preserve">  Authorizes the transfer of surplus money from the refuse disposal fund to a refuse disposal debt service fund.</t>
    </r>
  </si>
  <si>
    <t>Compensating Use Tax</t>
  </si>
  <si>
    <t>Local Sales Tax</t>
  </si>
  <si>
    <t>Does miscellaneous exceed 10% of Total Rec</t>
  </si>
  <si>
    <t>Does miscellaneous exceed 10% of Total Exp</t>
  </si>
  <si>
    <t>Non-Appropriated Balance</t>
  </si>
  <si>
    <t>Total Expenditure/Non-Appr Balance</t>
  </si>
  <si>
    <t>Delinquent Comp Rate:</t>
  </si>
  <si>
    <t>Road &amp; Bridge Fund</t>
  </si>
  <si>
    <t xml:space="preserve">General Fund </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</si>
  <si>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</si>
  <si>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28-115a.</t>
    </r>
    <r>
      <rPr>
        <sz val="12"/>
        <color indexed="8"/>
        <rFont val="Times New Roman"/>
        <family val="1"/>
      </rPr>
      <t xml:space="preserve">  </t>
    </r>
    <r>
      <rPr>
        <b/>
        <sz val="12"/>
        <color indexed="8"/>
        <rFont val="Times New Roman"/>
        <family val="1"/>
      </rPr>
      <t>Register of deeds technology fund.</t>
    </r>
    <r>
      <rPr>
        <sz val="12"/>
        <color indexed="8"/>
        <rFont val="Times New Roman"/>
        <family val="1"/>
      </rPr>
      <t xml:space="preserve">  Moneys in the fund (certain additional recording fees collected pursuant to K.S.A. 28-115(b)) shall be used by the register of deeds to acquire equipment and technological services for the storing, recording, archiving, retrieving, maintaining, and handling of data recorded or stored in the office of the register of deeds.</t>
    </r>
  </si>
  <si>
    <t>CEMETERIES:</t>
  </si>
  <si>
    <t>Burdick</t>
  </si>
  <si>
    <t>Cedar Grove</t>
  </si>
  <si>
    <t>Clarks Creek</t>
  </si>
  <si>
    <t>Comiskey</t>
  </si>
  <si>
    <t>Delavan</t>
  </si>
  <si>
    <t>Diamond Valley</t>
  </si>
  <si>
    <t>Downing-Kelso</t>
  </si>
  <si>
    <t>Dunlap</t>
  </si>
  <si>
    <t>Dwight-Morris</t>
  </si>
  <si>
    <t>Four Mile</t>
  </si>
  <si>
    <t>Highland</t>
  </si>
  <si>
    <t>Mitchell Valley</t>
  </si>
  <si>
    <t>Parker-Highland</t>
  </si>
  <si>
    <t>White City</t>
  </si>
  <si>
    <t>Wilsey</t>
  </si>
  <si>
    <t>No. 3</t>
  </si>
  <si>
    <t>No. 4</t>
  </si>
  <si>
    <t>No. 5</t>
  </si>
  <si>
    <t>No. 6jt</t>
  </si>
  <si>
    <t>No. 7</t>
  </si>
  <si>
    <t>No. 8</t>
  </si>
  <si>
    <t>No. 9jt</t>
  </si>
  <si>
    <t>No. 10</t>
  </si>
  <si>
    <t>No. 11</t>
  </si>
  <si>
    <t>No. 12</t>
  </si>
  <si>
    <t>No. 13</t>
  </si>
  <si>
    <t>17-1330</t>
  </si>
  <si>
    <t>80-1509</t>
  </si>
  <si>
    <t>80-1537</t>
  </si>
  <si>
    <t>19-3610</t>
  </si>
  <si>
    <t>19-3610 (b)</t>
  </si>
  <si>
    <t>29. Added instruction on the addition for item 28.</t>
  </si>
  <si>
    <t xml:space="preserve">Tax Levy Rate </t>
  </si>
  <si>
    <t xml:space="preserve">Allocation Veh Taxes and Slider </t>
  </si>
  <si>
    <t>Neighborhood Revitalization Rebate</t>
  </si>
  <si>
    <t>Miscellaneous</t>
  </si>
  <si>
    <t>Does miscellaneous exceed 10% of Total Expenditure</t>
  </si>
  <si>
    <t>Does miscellaneous exceed 10% of Total Receipts</t>
  </si>
  <si>
    <t>8. Added Neighborhood Revitalization, LAVTR, City and County Revenue Sharing, and Slider to the input page and to the General Fund page. Also added the NR to all tax levy fund pages.</t>
  </si>
  <si>
    <t xml:space="preserve">Ad Valorem Tax </t>
  </si>
  <si>
    <t>30. Added 'miscellaneous' category to the receipt/expenditure for all fund pages and set error message.</t>
  </si>
  <si>
    <t>31. Added to the instruction about correct the error message for the miscellaneous.</t>
  </si>
  <si>
    <t xml:space="preserve">The worksheets are named (see the tab) in each budget workbook.  We will identify the worksheet by referencing the tab in parentheses (i.e. General Fund reference would be 'general'). </t>
  </si>
  <si>
    <t>Budget Summary - Other</t>
  </si>
  <si>
    <t>32. Change cert2 and put page number 1a.</t>
  </si>
  <si>
    <t>FUND PAGE - ROAD &amp; BRIDGE DETAIL</t>
  </si>
  <si>
    <t>Red areas are for notes or indicate a problem area that will need possible corrective action taken.</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</si>
  <si>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</si>
  <si>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r>
      <t xml:space="preserve">The General fund has a detail page (gen-detail) which can be used to disclose more insight of the General Fund expenditures by a department.  The detail page department name and total is linked to the General Fund page. You do not have to use the department names that are currently showing, as these can be changed to meet the need of the county. The last detail page contains all the total of the detail pages and this total amount should agree with the subtotal on the General page. If the totals do not agree, then change the figures on the detail page and </t>
    </r>
    <r>
      <rPr>
        <b/>
        <sz val="12"/>
        <rFont val="Times New Roman"/>
        <family val="1"/>
      </rPr>
      <t>not</t>
    </r>
    <r>
      <rPr>
        <sz val="12"/>
        <rFont val="Times New Roman"/>
        <family val="1"/>
      </rPr>
      <t xml:space="preserve"> on the General page.  If the detail page is used, please ensure to print the detail page and attach it to the budget.</t>
    </r>
  </si>
  <si>
    <t>Administration</t>
  </si>
  <si>
    <t>Personal</t>
  </si>
  <si>
    <t>Rock</t>
  </si>
  <si>
    <t>Sealing</t>
  </si>
  <si>
    <t>Pavement</t>
  </si>
  <si>
    <t>All of the county's budgets should be submitted to Municipal Services by December 1.</t>
  </si>
  <si>
    <t>The Road &amp; Bridge fund has a detail page (road-detail) which can be used to disclose more insight of the Road &amp; Bridge department expenditures.  The detail page department and total is linked to the Road fund page. You do not have to use the department names that are currently showing, as these can be changed to meet the need of the county. The detail totals should agree to the Road &amp; Bridge fund page subtotals and if they do not, then make corrections on the detail page only.  If the detail page is used, please remember to print the page.</t>
  </si>
  <si>
    <t>1. Input tab (inputPrYr) added column for the current year expenditures.</t>
  </si>
  <si>
    <t>2. Statement of Indebtedness (debt) added lines to all categories.</t>
  </si>
  <si>
    <t xml:space="preserve">3. All tax levy funds and no tax levy funds fund pages made the following changes: </t>
  </si>
  <si>
    <r>
      <t>3a. Made the total expenditures block for the actual and current year to turn '</t>
    </r>
    <r>
      <rPr>
        <sz val="12"/>
        <color indexed="10"/>
        <rFont val="Times New Roman"/>
        <family val="1"/>
      </rPr>
      <t>Red</t>
    </r>
    <r>
      <rPr>
        <sz val="12"/>
        <rFont val="Times New Roman"/>
        <family val="1"/>
      </rPr>
      <t>' if violation occurs.</t>
    </r>
  </si>
  <si>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</si>
  <si>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</si>
  <si>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</si>
  <si>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t>6. Neighborhood Revitalization (nhood) made the estimate rebate round the figures to whole dollars.</t>
  </si>
  <si>
    <t xml:space="preserve">7. Instruction page have changed all reference for Bond &amp; Interest to Debt Service. </t>
  </si>
  <si>
    <t>7a. Added instruction line 4a to explain about no-fund warrants and temporary notes can be added to the debt service on the Computation to Determine Levy Limit.</t>
  </si>
  <si>
    <t>8. Added to the instruction page lines 10a - 10c to provide a little more insight for the Neighborhood Revitalization rebate.</t>
  </si>
  <si>
    <t>9. Added 2b to explain how to delete delinquency rate from tax levy fund pages.</t>
  </si>
  <si>
    <t>10. Changed the Bond &amp; Interest tab (B&amp;I) to Debt Service tab (DebtService).</t>
  </si>
  <si>
    <t>11. Changed the revised date on all pages changed.</t>
  </si>
  <si>
    <t>The following were changed to this spreadsheet on 9/03/08</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</si>
  <si>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</si>
  <si>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7b. Added instruction line 9c to explain more about the debt service fund page can included for debts.</t>
  </si>
  <si>
    <t>13. Added to instruction line 9c about the miscellaneous receipt for the proposed year takes into account the ad valorem taxes for the 10% Rule.</t>
  </si>
  <si>
    <t>14. Added to instruction line 6 for using chartered ordinance number in place of statute reference.</t>
  </si>
  <si>
    <t>12. Added instruction lines 9h to 9j for additional edits for budget authority.</t>
  </si>
  <si>
    <t>Cash Balance Jan 1</t>
  </si>
  <si>
    <t>34. Added 'excluding oil, gas, and mobile homes' to lines 7 and 9 on Clerks budget info on tab inputoth.</t>
  </si>
  <si>
    <t>***If you are merely leasing/renting with no intent to purchase, do not list--such transactions are not lease-purchases.</t>
  </si>
  <si>
    <t>33. Expanded on the preparation of budget note 11 for instructions for the Notice of Budget Hearing.</t>
  </si>
  <si>
    <t>The following were changed to this spreadsheet on 5/08/2008</t>
  </si>
  <si>
    <t>10b. Additionally, on the General fund page, we have placed 'Desired Carryover' which the city can place a desired carryover amount and the table will show the mill rate impact along with the expenditures required to reach the desired carryover.</t>
  </si>
  <si>
    <r>
      <t xml:space="preserve">10c.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10 for instructions for the neighborhood revitalization rebate for the proposed budget year. </t>
    </r>
  </si>
  <si>
    <r>
      <t xml:space="preserve">10d.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u val="single"/>
        <sz val="12"/>
        <rFont val="Times New Roman"/>
        <family val="1"/>
      </rPr>
      <t>Note</t>
    </r>
    <r>
      <rPr>
        <sz val="12"/>
        <rFont val="Times New Roman"/>
        <family val="1"/>
      </rPr>
      <t>: the proposed column miscellaneous receipt also takes into consideration the amount of ad valorem taxes in determining the 10% Rule.</t>
    </r>
  </si>
  <si>
    <r>
      <t xml:space="preserve">10e. The Debt Service fund page (DebtService) can contain all debts owe by the county and the amounts should agree with the Statement of Indebtedness amounts. Debts that are pledged from a revenue stream should have enough funds transferred into the Debt Service fund to cover the bond principle and interest for these debts. </t>
    </r>
    <r>
      <rPr>
        <b/>
        <sz val="12"/>
        <rFont val="Times New Roman"/>
        <family val="1"/>
      </rPr>
      <t>Note</t>
    </r>
    <r>
      <rPr>
        <sz val="12"/>
        <rFont val="Times New Roman"/>
        <family val="1"/>
      </rPr>
      <t xml:space="preserve">, the debts pledged from revenue streams are not required to be included in the Debt Service fund page, but can be paid from the fund the revenue stream is located in. Additionally, if the county has No Fund warrants, these can be included in the Debt Service fund page and levy taxes for this debt. </t>
    </r>
    <r>
      <rPr>
        <b/>
        <sz val="12"/>
        <rFont val="Times New Roman"/>
        <family val="1"/>
      </rPr>
      <t>Note</t>
    </r>
    <r>
      <rPr>
        <sz val="12"/>
        <rFont val="Times New Roman"/>
        <family val="1"/>
      </rPr>
      <t xml:space="preserve">, No Fund warrants </t>
    </r>
    <r>
      <rPr>
        <u val="single"/>
        <sz val="12"/>
        <rFont val="Times New Roman"/>
        <family val="1"/>
      </rPr>
      <t>are not required</t>
    </r>
    <r>
      <rPr>
        <sz val="12"/>
        <rFont val="Times New Roman"/>
        <family val="1"/>
      </rPr>
      <t xml:space="preserve"> to be included in the Debt Service and may still have a No Fund page to account for them if the county desires.  </t>
    </r>
  </si>
  <si>
    <r>
      <t>10f. On the Debt Service andRoad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</si>
  <si>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9. Changed the Budget Summary Heading to include Actual/Estimate/Proposed with the budget year.</t>
  </si>
  <si>
    <t>10. Changed the delinquency rate formula for all levy funds.</t>
  </si>
  <si>
    <t>11. Changed the Certificate page so the county name flows instead of having unneeded spaces.</t>
  </si>
  <si>
    <t>12. Using the actual ad valorem rates from the Clerk's information versus from the Certificate page.</t>
  </si>
  <si>
    <t>13. Delinquency rate for actual for 3 decimal and note that rate can be up to 5% over the actual rate.</t>
  </si>
  <si>
    <t>14. Computation to Determine Limit changed the note on bottom to include publish ordinance and attach the published ordinance to the budget.</t>
  </si>
  <si>
    <t>15. Add total section for Schedule of Transfers and linked the total to the Budget Summary page.</t>
  </si>
  <si>
    <t>16. Added column to show when debt retired on the Indebtedness page.</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</si>
</sst>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00000_)"/>
    <numFmt numFmtId="166" formatCode="0_)"/>
    <numFmt numFmtId="167" formatCode="0.00_)"/>
    <numFmt numFmtId="168" formatCode="General_)"/>
    <numFmt numFmtId="169" formatCode="#,##0.00000_);\(#,##0.00000\)"/>
    <numFmt numFmtId="170" formatCode="_(* #,##0_);_(* \(#,##0\);_(* &quot; &quot;_);_(@_)"/>
    <numFmt numFmtId="171" formatCode="0.00000"/>
    <numFmt numFmtId="172" formatCode="m/d/yy"/>
    <numFmt numFmtId="173" formatCode="m/d"/>
    <numFmt numFmtId="174" formatCode="_(* #,##0.0_);_(* \(#,##0.0\);_(* &quot;-&quot;??_);_(@_)"/>
    <numFmt numFmtId="175" formatCode="_(* #,##0_);_(* \(#,##0\);_(* &quot;-&quot;??_);_(@_)"/>
    <numFmt numFmtId="176" formatCode="#,##0.0_);\(#,##0.0\)"/>
    <numFmt numFmtId="177" formatCode="#,##0.000_);\(#,##0.000\)"/>
    <numFmt numFmtId="178" formatCode="&quot;Yes&quot;;&quot;Yes&quot;;&quot;No&quot;"/>
    <numFmt numFmtId="179" formatCode="&quot;True&quot;;&quot;True&quot;;&quot;False&quot;"/>
    <numFmt numFmtId="180" formatCode="&quot;On&quot;;&quot;On&quot;;&quot;Off&quot;"/>
    <numFmt numFmtId="181" formatCode="[$€-2]\ #,##0.00_);[Red]\([$€-2]\ #,##0.00\)"/>
    <numFmt numFmtId="182" formatCode="0.000%"/>
    <numFmt numFmtId="183" formatCode="0.000"/>
    <numFmt numFmtId="184" formatCode="#,##0.000"/>
    <numFmt numFmtId="185" formatCode="[$-409]mmmm\ d\,\ yyyy;@"/>
    <numFmt numFmtId="186" formatCode="[$-409]h:mm\ AM/PM;@"/>
    <numFmt numFmtId="187" formatCode="[$-409]dddd\,\ mmmm\ dd\,\ yyyy"/>
    <numFmt numFmtId="188" formatCode="m/d/yy;@"/>
    <numFmt numFmtId="189" formatCode="&quot;$&quot;#,##0"/>
    <numFmt numFmtId="190" formatCode="&quot;$&quot;#,##0.00"/>
    <numFmt numFmtId="191" formatCode="#,###"/>
  </numFmts>
  <fonts count="78">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4"/>
      <name val="Times New Roman"/>
      <family val="1"/>
    </font>
    <font>
      <sz val="11"/>
      <name val="Times New Roman"/>
      <family val="1"/>
    </font>
    <font>
      <u val="single"/>
      <sz val="12"/>
      <color indexed="36"/>
      <name val="Courier New"/>
      <family val="3"/>
    </font>
    <font>
      <u val="single"/>
      <sz val="12"/>
      <color indexed="12"/>
      <name val="Courier New"/>
      <family val="3"/>
    </font>
    <font>
      <sz val="12"/>
      <name val="Courier New"/>
      <family val="3"/>
    </font>
    <font>
      <sz val="8"/>
      <name val="Courier New"/>
      <family val="3"/>
    </font>
    <font>
      <i/>
      <sz val="11"/>
      <name val="Times New Roman"/>
      <family val="1"/>
    </font>
    <font>
      <b/>
      <sz val="11"/>
      <name val="Times New Roman"/>
      <family val="1"/>
    </font>
    <font>
      <sz val="11"/>
      <color indexed="9"/>
      <name val="Times New Roman"/>
      <family val="1"/>
    </font>
    <font>
      <sz val="8"/>
      <name val="Courier"/>
      <family val="3"/>
    </font>
    <font>
      <sz val="10"/>
      <name val="Times New Roman"/>
      <family val="1"/>
    </font>
    <font>
      <b/>
      <u val="single"/>
      <sz val="12"/>
      <name val="Times New Roman"/>
      <family val="1"/>
    </font>
    <font>
      <sz val="11"/>
      <name val="Courier"/>
      <family val="3"/>
    </font>
    <font>
      <sz val="11"/>
      <name val="Courier New"/>
      <family val="3"/>
    </font>
    <font>
      <sz val="8"/>
      <name val="Times New Roman"/>
      <family val="1"/>
    </font>
    <font>
      <sz val="12"/>
      <color indexed="10"/>
      <name val="Times New Roman"/>
      <family val="1"/>
    </font>
    <font>
      <b/>
      <sz val="8"/>
      <name val="Times New Roman"/>
      <family val="1"/>
    </font>
    <font>
      <sz val="12"/>
      <color indexed="10"/>
      <name val="Courier"/>
      <family val="3"/>
    </font>
    <font>
      <b/>
      <u val="single"/>
      <sz val="12"/>
      <color indexed="10"/>
      <name val="Times New Roman"/>
      <family val="1"/>
    </font>
    <font>
      <b/>
      <sz val="12"/>
      <color indexed="10"/>
      <name val="Times New Roman"/>
      <family val="1"/>
    </font>
    <font>
      <i/>
      <sz val="12"/>
      <name val="Times New Roman"/>
      <family val="1"/>
    </font>
    <font>
      <sz val="8"/>
      <color indexed="10"/>
      <name val="Times New Roman"/>
      <family val="1"/>
    </font>
    <font>
      <b/>
      <u val="single"/>
      <sz val="12"/>
      <name val="Courier"/>
      <family val="3"/>
    </font>
    <font>
      <sz val="14"/>
      <name val="Courier"/>
      <family val="3"/>
    </font>
    <font>
      <b/>
      <u val="single"/>
      <sz val="14"/>
      <name val="Times New Roman"/>
      <family val="1"/>
    </font>
    <font>
      <b/>
      <sz val="12"/>
      <color indexed="8"/>
      <name val="Times New Roman"/>
      <family val="1"/>
    </font>
    <font>
      <sz val="12"/>
      <color indexed="8"/>
      <name val="Times New Roman"/>
      <family val="1"/>
    </font>
    <font>
      <b/>
      <sz val="11"/>
      <color indexed="8"/>
      <name val="Arial"/>
      <family val="2"/>
    </font>
    <font>
      <sz val="11"/>
      <color indexed="8"/>
      <name val="Arial"/>
      <family val="2"/>
    </font>
    <font>
      <b/>
      <sz val="14"/>
      <name val="Times New Roman"/>
      <family val="1"/>
    </font>
    <font>
      <u val="single"/>
      <sz val="12"/>
      <color indexed="12"/>
      <name val="Courier"/>
      <family val="3"/>
    </font>
    <font>
      <i/>
      <u val="single"/>
      <sz val="12"/>
      <name val="Courier"/>
      <family val="3"/>
    </font>
    <font>
      <sz val="11"/>
      <color indexed="8"/>
      <name val="Times New Roman"/>
      <family val="1"/>
    </font>
    <font>
      <b/>
      <sz val="11"/>
      <color indexed="8"/>
      <name val="Times New Roman"/>
      <family val="1"/>
    </font>
    <font>
      <u val="single"/>
      <sz val="12"/>
      <color indexed="10"/>
      <name val="Times New Roman"/>
      <family val="1"/>
    </font>
    <font>
      <b/>
      <u val="single"/>
      <sz val="8"/>
      <name val="Times New Roman"/>
      <family val="1"/>
    </font>
    <font>
      <b/>
      <u val="single"/>
      <sz val="10"/>
      <name val="Times New Roman"/>
      <family val="1"/>
    </font>
    <font>
      <b/>
      <u val="single"/>
      <sz val="10"/>
      <name val="Courier"/>
      <family val="3"/>
    </font>
    <font>
      <b/>
      <sz val="10"/>
      <name val="Times New Roman"/>
      <family val="1"/>
    </font>
    <font>
      <b/>
      <sz val="11"/>
      <color indexed="8"/>
      <name val="Cambria"/>
      <family val="1"/>
    </font>
    <font>
      <sz val="11"/>
      <name val="Cambria"/>
      <family val="1"/>
    </font>
    <font>
      <b/>
      <sz val="13"/>
      <name val="Times New Roman"/>
      <family val="1"/>
    </font>
    <font>
      <u val="single"/>
      <sz val="12"/>
      <color indexed="12"/>
      <name val="Times New Roman"/>
      <family val="1"/>
    </font>
    <font>
      <sz val="10"/>
      <color indexed="10"/>
      <name val="Times New Roman"/>
      <family val="1"/>
    </font>
    <font>
      <b/>
      <sz val="15"/>
      <color indexed="62"/>
      <name val="Calibri"/>
      <family val="2"/>
    </font>
    <font>
      <b/>
      <sz val="13"/>
      <color indexed="62"/>
      <name val="Calibri"/>
      <family val="2"/>
    </font>
    <font>
      <b/>
      <sz val="11"/>
      <color indexed="62"/>
      <name val="Calibri"/>
      <family val="2"/>
    </font>
    <font>
      <sz val="11"/>
      <color indexed="10"/>
      <name val="Calibri"/>
      <family val="2"/>
    </font>
    <font>
      <b/>
      <sz val="18"/>
      <color indexed="62"/>
      <name val="Cambria"/>
      <family val="2"/>
    </font>
    <font>
      <sz val="11"/>
      <color indexed="8"/>
      <name val="Cambria"/>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19"/>
      <name val="Calibri"/>
      <family val="2"/>
    </font>
    <font>
      <b/>
      <sz val="11"/>
      <color indexed="63"/>
      <name val="Calibri"/>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s>
  <fills count="27">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34"/>
        <bgColor indexed="64"/>
      </patternFill>
    </fill>
    <fill>
      <patternFill patternType="solid">
        <fgColor indexed="15"/>
        <bgColor indexed="64"/>
      </patternFill>
    </fill>
    <fill>
      <patternFill patternType="solid">
        <fgColor indexed="35"/>
        <bgColor indexed="64"/>
      </patternFill>
    </fill>
    <fill>
      <patternFill patternType="solid">
        <fgColor indexed="13"/>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style="thin"/>
      <right style="thin"/>
      <top style="thin"/>
      <bottom style="thin"/>
    </border>
    <border>
      <left style="thin"/>
      <right>
        <color indexed="63"/>
      </right>
      <top style="thin"/>
      <bottom style="thin"/>
    </border>
    <border>
      <left style="thin"/>
      <right style="thin"/>
      <top>
        <color indexed="63"/>
      </top>
      <bottom style="thin"/>
    </border>
    <border>
      <left style="thin"/>
      <right>
        <color indexed="63"/>
      </right>
      <top>
        <color indexed="63"/>
      </top>
      <bottom style="thin"/>
    </border>
    <border>
      <left>
        <color indexed="63"/>
      </left>
      <right style="thin"/>
      <top style="thin"/>
      <bottom style="thin"/>
    </border>
    <border>
      <left>
        <color indexed="63"/>
      </left>
      <right style="thin"/>
      <top style="thin"/>
      <bottom>
        <color indexed="63"/>
      </bottom>
    </border>
    <border>
      <left>
        <color indexed="63"/>
      </left>
      <right>
        <color indexed="63"/>
      </right>
      <top>
        <color indexed="63"/>
      </top>
      <bottom style="thin"/>
    </border>
    <border>
      <left style="thin"/>
      <right style="thin"/>
      <top style="thin"/>
      <bottom>
        <color indexed="63"/>
      </bottom>
    </border>
    <border>
      <left>
        <color indexed="63"/>
      </left>
      <right>
        <color indexed="63"/>
      </right>
      <top style="thin"/>
      <bottom style="thin"/>
    </border>
    <border>
      <left>
        <color indexed="63"/>
      </left>
      <right style="thin"/>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style="thin"/>
      <top>
        <color indexed="63"/>
      </top>
      <bottom>
        <color indexed="63"/>
      </bottom>
    </border>
    <border>
      <left style="thin"/>
      <right style="thin"/>
      <top style="thin"/>
      <bottom style="double"/>
    </border>
    <border>
      <left>
        <color indexed="63"/>
      </left>
      <right>
        <color indexed="63"/>
      </right>
      <top style="thin"/>
      <bottom>
        <color indexed="63"/>
      </bottom>
    </border>
    <border>
      <left>
        <color indexed="63"/>
      </left>
      <right>
        <color indexed="63"/>
      </right>
      <top>
        <color indexed="63"/>
      </top>
      <bottom style="double"/>
    </border>
    <border>
      <left style="thin"/>
      <right style="thin"/>
      <top>
        <color indexed="63"/>
      </top>
      <bottom style="double"/>
    </border>
    <border>
      <left>
        <color indexed="63"/>
      </left>
      <right style="thin"/>
      <top>
        <color indexed="63"/>
      </top>
      <bottom style="double"/>
    </border>
    <border>
      <left style="thin"/>
      <right>
        <color indexed="63"/>
      </right>
      <top>
        <color indexed="63"/>
      </top>
      <bottom>
        <color indexed="63"/>
      </bottom>
    </border>
    <border>
      <left style="medium"/>
      <right/>
      <top style="medium"/>
      <bottom/>
    </border>
    <border>
      <left style="medium"/>
      <right/>
      <top/>
      <bottom/>
    </border>
    <border>
      <left/>
      <right style="medium"/>
      <top/>
      <bottom/>
    </border>
    <border>
      <left/>
      <right/>
      <top style="medium"/>
      <bottom/>
    </border>
    <border>
      <left/>
      <right style="medium"/>
      <top style="medium"/>
      <bottom/>
    </border>
    <border>
      <left style="medium"/>
      <right/>
      <top/>
      <bottom style="thin"/>
    </border>
    <border>
      <left style="medium"/>
      <right/>
      <top/>
      <bottom style="medium"/>
    </border>
    <border>
      <left/>
      <right/>
      <top/>
      <bottom style="medium"/>
    </border>
    <border>
      <left/>
      <right style="medium"/>
      <top/>
      <bottom style="medium"/>
    </border>
    <border>
      <left style="medium"/>
      <right/>
      <top style="thin"/>
      <bottom/>
    </border>
    <border>
      <left/>
      <right style="medium"/>
      <top style="thin"/>
      <bottom/>
    </border>
    <border>
      <left style="thin"/>
      <right style="thin"/>
      <top style="thin"/>
      <bottom style="medium"/>
    </border>
  </borders>
  <cellStyleXfs count="38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8" fillId="2" borderId="0" applyNumberFormat="0" applyBorder="0" applyAlignment="0" applyProtection="0"/>
    <xf numFmtId="0" fontId="68" fillId="3" borderId="0" applyNumberFormat="0" applyBorder="0" applyAlignment="0" applyProtection="0"/>
    <xf numFmtId="0" fontId="68" fillId="4"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68" fillId="4"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7" borderId="0" applyNumberFormat="0" applyBorder="0" applyAlignment="0" applyProtection="0"/>
    <xf numFmtId="0" fontId="68" fillId="4" borderId="0" applyNumberFormat="0" applyBorder="0" applyAlignment="0" applyProtection="0"/>
    <xf numFmtId="0" fontId="69" fillId="7" borderId="0" applyNumberFormat="0" applyBorder="0" applyAlignment="0" applyProtection="0"/>
    <xf numFmtId="0" fontId="69" fillId="11" borderId="0" applyNumberFormat="0" applyBorder="0" applyAlignment="0" applyProtection="0"/>
    <xf numFmtId="0" fontId="69" fillId="12" borderId="0" applyNumberFormat="0" applyBorder="0" applyAlignment="0" applyProtection="0"/>
    <xf numFmtId="0" fontId="69" fillId="10" borderId="0" applyNumberFormat="0" applyBorder="0" applyAlignment="0" applyProtection="0"/>
    <xf numFmtId="0" fontId="69" fillId="7" borderId="0" applyNumberFormat="0" applyBorder="0" applyAlignment="0" applyProtection="0"/>
    <xf numFmtId="0" fontId="69" fillId="3" borderId="0" applyNumberFormat="0" applyBorder="0" applyAlignment="0" applyProtection="0"/>
    <xf numFmtId="0" fontId="69" fillId="13" borderId="0" applyNumberFormat="0" applyBorder="0" applyAlignment="0" applyProtection="0"/>
    <xf numFmtId="0" fontId="69" fillId="11" borderId="0" applyNumberFormat="0" applyBorder="0" applyAlignment="0" applyProtection="0"/>
    <xf numFmtId="0" fontId="69" fillId="12"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70" fillId="17" borderId="0" applyNumberFormat="0" applyBorder="0" applyAlignment="0" applyProtection="0"/>
    <xf numFmtId="0" fontId="60" fillId="18" borderId="1" applyNumberFormat="0" applyAlignment="0" applyProtection="0"/>
    <xf numFmtId="0" fontId="71"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2" fillId="0" borderId="0" applyNumberFormat="0" applyFill="0" applyBorder="0" applyAlignment="0" applyProtection="0"/>
    <xf numFmtId="0" fontId="9" fillId="0" borderId="0" applyNumberFormat="0" applyFill="0" applyBorder="0" applyAlignment="0" applyProtection="0"/>
    <xf numFmtId="0" fontId="73" fillId="7"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10"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74" fillId="9" borderId="1" applyNumberFormat="0" applyAlignment="0" applyProtection="0"/>
    <xf numFmtId="0" fontId="54" fillId="0" borderId="6" applyNumberFormat="0" applyFill="0" applyAlignment="0" applyProtection="0"/>
    <xf numFmtId="0" fontId="65" fillId="20" borderId="0" applyNumberFormat="0" applyBorder="0" applyAlignment="0" applyProtection="0"/>
    <xf numFmtId="0" fontId="11" fillId="0" borderId="0">
      <alignment/>
      <protection/>
    </xf>
    <xf numFmtId="0" fontId="11" fillId="0" borderId="0">
      <alignment/>
      <protection/>
    </xf>
    <xf numFmtId="0" fontId="11" fillId="0" borderId="0">
      <alignment/>
      <protection/>
    </xf>
    <xf numFmtId="0" fontId="11" fillId="0" borderId="0">
      <alignment/>
      <protection/>
    </xf>
    <xf numFmtId="0" fontId="0" fillId="0" borderId="0">
      <alignment/>
      <protection/>
    </xf>
    <xf numFmtId="0" fontId="0"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0" fillId="0" borderId="0">
      <alignment/>
      <protection/>
    </xf>
    <xf numFmtId="0" fontId="0"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0" fillId="0" borderId="0">
      <alignment/>
      <protection/>
    </xf>
    <xf numFmtId="0" fontId="0" fillId="0" borderId="0">
      <alignment/>
      <protection/>
    </xf>
    <xf numFmtId="0" fontId="0" fillId="0" borderId="0">
      <alignment/>
      <protection/>
    </xf>
    <xf numFmtId="0" fontId="11" fillId="0" borderId="0">
      <alignment/>
      <protection/>
    </xf>
    <xf numFmtId="0" fontId="0" fillId="0" borderId="0">
      <alignment/>
      <protection/>
    </xf>
    <xf numFmtId="0" fontId="0" fillId="0" borderId="0">
      <alignment/>
      <protection/>
    </xf>
    <xf numFmtId="0" fontId="11" fillId="0" borderId="0">
      <alignment/>
      <protection/>
    </xf>
    <xf numFmtId="0" fontId="1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1" fillId="0" borderId="0">
      <alignment/>
      <protection/>
    </xf>
    <xf numFmtId="0" fontId="0" fillId="0" borderId="0">
      <alignment/>
      <protection/>
    </xf>
    <xf numFmtId="0" fontId="0" fillId="0" borderId="0">
      <alignment/>
      <protection/>
    </xf>
    <xf numFmtId="0" fontId="11" fillId="0" borderId="0">
      <alignment/>
      <protection/>
    </xf>
    <xf numFmtId="0" fontId="11" fillId="0" borderId="0">
      <alignment/>
      <protection/>
    </xf>
    <xf numFmtId="0" fontId="11" fillId="0" borderId="0">
      <alignment/>
      <protection/>
    </xf>
    <xf numFmtId="0" fontId="0" fillId="0" borderId="0">
      <alignment/>
      <protection/>
    </xf>
    <xf numFmtId="0" fontId="1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1" fillId="0" borderId="0">
      <alignment/>
      <protection/>
    </xf>
    <xf numFmtId="0" fontId="0" fillId="0" borderId="0">
      <alignment/>
      <protection/>
    </xf>
    <xf numFmtId="0" fontId="1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1" fillId="0" borderId="0">
      <alignment/>
      <protection/>
    </xf>
    <xf numFmtId="0" fontId="1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0" fillId="0" borderId="0">
      <alignment/>
      <protection/>
    </xf>
    <xf numFmtId="0" fontId="11" fillId="0" borderId="0">
      <alignment/>
      <protection/>
    </xf>
    <xf numFmtId="0" fontId="11" fillId="0" borderId="0">
      <alignment/>
      <protection/>
    </xf>
    <xf numFmtId="0" fontId="0" fillId="0" borderId="0">
      <alignment/>
      <protection/>
    </xf>
    <xf numFmtId="0" fontId="0" fillId="0" borderId="0">
      <alignment/>
      <protection/>
    </xf>
    <xf numFmtId="0" fontId="0"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0" fillId="0" borderId="0">
      <alignment/>
      <protection/>
    </xf>
    <xf numFmtId="0" fontId="0"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0" fillId="0" borderId="0">
      <alignment/>
      <protection/>
    </xf>
    <xf numFmtId="0" fontId="0" fillId="0" borderId="0">
      <alignment/>
      <protection/>
    </xf>
    <xf numFmtId="0" fontId="11" fillId="0" borderId="0">
      <alignment/>
      <protection/>
    </xf>
    <xf numFmtId="0" fontId="0" fillId="21" borderId="7" applyNumberFormat="0" applyFont="0" applyAlignment="0" applyProtection="0"/>
    <xf numFmtId="0" fontId="75" fillId="18"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76" fillId="0" borderId="9" applyNumberFormat="0" applyFill="0" applyAlignment="0" applyProtection="0"/>
    <xf numFmtId="0" fontId="77" fillId="0" borderId="0" applyNumberFormat="0" applyFill="0" applyBorder="0" applyAlignment="0" applyProtection="0"/>
  </cellStyleXfs>
  <cellXfs count="756">
    <xf numFmtId="0" fontId="0" fillId="0" borderId="0" xfId="0" applyAlignment="1">
      <alignment/>
    </xf>
    <xf numFmtId="0" fontId="4" fillId="0" borderId="0" xfId="0" applyFont="1" applyAlignment="1">
      <alignment/>
    </xf>
    <xf numFmtId="3" fontId="4" fillId="22" borderId="10" xfId="0" applyNumberFormat="1" applyFont="1" applyFill="1" applyBorder="1" applyAlignment="1" applyProtection="1">
      <alignment/>
      <protection locked="0"/>
    </xf>
    <xf numFmtId="0" fontId="4" fillId="22" borderId="11" xfId="0" applyFont="1" applyFill="1" applyBorder="1" applyAlignment="1" applyProtection="1">
      <alignment horizontal="left"/>
      <protection locked="0"/>
    </xf>
    <xf numFmtId="37" fontId="4" fillId="4" borderId="11" xfId="0" applyNumberFormat="1" applyFont="1" applyFill="1" applyBorder="1" applyAlignment="1" applyProtection="1">
      <alignment horizontal="left"/>
      <protection/>
    </xf>
    <xf numFmtId="37" fontId="4" fillId="4" borderId="0" xfId="0" applyNumberFormat="1" applyFont="1" applyFill="1" applyAlignment="1" applyProtection="1">
      <alignment horizontal="right"/>
      <protection/>
    </xf>
    <xf numFmtId="0" fontId="4" fillId="4" borderId="0" xfId="0" applyFont="1" applyFill="1" applyAlignment="1" applyProtection="1">
      <alignment/>
      <protection/>
    </xf>
    <xf numFmtId="37" fontId="4" fillId="4" borderId="0" xfId="0" applyNumberFormat="1" applyFont="1" applyFill="1" applyAlignment="1" applyProtection="1">
      <alignment horizontal="left"/>
      <protection/>
    </xf>
    <xf numFmtId="37" fontId="4" fillId="4" borderId="0" xfId="0" applyNumberFormat="1" applyFont="1" applyFill="1" applyAlignment="1" applyProtection="1">
      <alignment horizontal="fill"/>
      <protection/>
    </xf>
    <xf numFmtId="0" fontId="4" fillId="4" borderId="10" xfId="0" applyFont="1" applyFill="1" applyBorder="1" applyAlignment="1" applyProtection="1">
      <alignment/>
      <protection/>
    </xf>
    <xf numFmtId="37" fontId="4" fillId="4" borderId="0" xfId="0" applyNumberFormat="1" applyFont="1" applyFill="1" applyAlignment="1" applyProtection="1">
      <alignment/>
      <protection/>
    </xf>
    <xf numFmtId="3" fontId="4" fillId="4" borderId="0" xfId="0" applyNumberFormat="1" applyFont="1" applyFill="1" applyAlignment="1" applyProtection="1">
      <alignment/>
      <protection/>
    </xf>
    <xf numFmtId="0" fontId="5" fillId="4" borderId="0" xfId="0" applyFont="1" applyFill="1" applyAlignment="1" applyProtection="1">
      <alignment/>
      <protection/>
    </xf>
    <xf numFmtId="166" fontId="4" fillId="4" borderId="0" xfId="0" applyNumberFormat="1" applyFont="1" applyFill="1" applyAlignment="1" applyProtection="1">
      <alignment/>
      <protection/>
    </xf>
    <xf numFmtId="0" fontId="4" fillId="4" borderId="0" xfId="0" applyFont="1" applyFill="1" applyAlignment="1" applyProtection="1">
      <alignment horizontal="right"/>
      <protection/>
    </xf>
    <xf numFmtId="3" fontId="4" fillId="4" borderId="10" xfId="0" applyNumberFormat="1" applyFont="1" applyFill="1" applyBorder="1" applyAlignment="1" applyProtection="1">
      <alignment/>
      <protection/>
    </xf>
    <xf numFmtId="37" fontId="4" fillId="4" borderId="0" xfId="0" applyNumberFormat="1" applyFont="1" applyFill="1" applyAlignment="1" applyProtection="1" quotePrefix="1">
      <alignment horizontal="right"/>
      <protection/>
    </xf>
    <xf numFmtId="0" fontId="8" fillId="0" borderId="0" xfId="0" applyFont="1" applyAlignment="1">
      <alignment/>
    </xf>
    <xf numFmtId="0" fontId="8" fillId="0" borderId="0" xfId="0" applyFont="1" applyAlignment="1">
      <alignment/>
    </xf>
    <xf numFmtId="0" fontId="13" fillId="0" borderId="0" xfId="0" applyFont="1" applyAlignment="1">
      <alignment horizontal="center" vertical="top"/>
    </xf>
    <xf numFmtId="0" fontId="13" fillId="0" borderId="0" xfId="0" applyFont="1" applyAlignment="1">
      <alignment vertical="top"/>
    </xf>
    <xf numFmtId="0" fontId="14" fillId="0" borderId="0" xfId="0" applyFont="1" applyAlignment="1">
      <alignment vertical="top"/>
    </xf>
    <xf numFmtId="0" fontId="8" fillId="0" borderId="0" xfId="0" applyFont="1" applyAlignment="1">
      <alignment horizontal="center" vertical="top"/>
    </xf>
    <xf numFmtId="0" fontId="13" fillId="0" borderId="0" xfId="0" applyFont="1" applyAlignment="1">
      <alignment horizontal="left" vertical="top"/>
    </xf>
    <xf numFmtId="0" fontId="8" fillId="0" borderId="0" xfId="0" applyFont="1" applyAlignment="1">
      <alignment vertical="top"/>
    </xf>
    <xf numFmtId="0" fontId="15" fillId="0" borderId="0" xfId="0" applyNumberFormat="1" applyFont="1" applyAlignment="1">
      <alignment/>
    </xf>
    <xf numFmtId="0" fontId="15" fillId="0" borderId="0" xfId="0" applyFont="1" applyAlignment="1">
      <alignment/>
    </xf>
    <xf numFmtId="0" fontId="8" fillId="0" borderId="0" xfId="0" applyFont="1" applyAlignment="1">
      <alignment horizontal="left" vertical="top"/>
    </xf>
    <xf numFmtId="0" fontId="4" fillId="4" borderId="0" xfId="0" applyNumberFormat="1" applyFont="1" applyFill="1" applyAlignment="1" applyProtection="1">
      <alignment horizontal="right"/>
      <protection/>
    </xf>
    <xf numFmtId="0" fontId="4" fillId="4" borderId="11" xfId="0" applyFont="1" applyFill="1" applyBorder="1" applyAlignment="1" applyProtection="1">
      <alignment/>
      <protection/>
    </xf>
    <xf numFmtId="0" fontId="4" fillId="4" borderId="12" xfId="0" applyNumberFormat="1" applyFont="1" applyFill="1" applyBorder="1" applyAlignment="1" applyProtection="1">
      <alignment horizontal="center"/>
      <protection/>
    </xf>
    <xf numFmtId="37" fontId="5" fillId="4" borderId="11" xfId="0" applyNumberFormat="1" applyFont="1" applyFill="1" applyBorder="1" applyAlignment="1" applyProtection="1">
      <alignment horizontal="left"/>
      <protection/>
    </xf>
    <xf numFmtId="0" fontId="4" fillId="22" borderId="0" xfId="0" applyFont="1" applyFill="1" applyAlignment="1" applyProtection="1">
      <alignment horizontal="left"/>
      <protection locked="0"/>
    </xf>
    <xf numFmtId="0" fontId="19" fillId="0" borderId="0" xfId="0" applyFont="1" applyAlignment="1">
      <alignment vertical="top"/>
    </xf>
    <xf numFmtId="0" fontId="20" fillId="0" borderId="0" xfId="381" applyFont="1" applyAlignment="1">
      <alignment vertical="top"/>
      <protection/>
    </xf>
    <xf numFmtId="0" fontId="20" fillId="0" borderId="0" xfId="381" applyFont="1">
      <alignment/>
      <protection/>
    </xf>
    <xf numFmtId="0" fontId="8" fillId="0" borderId="0" xfId="381" applyFont="1" applyAlignment="1">
      <alignment vertical="top"/>
      <protection/>
    </xf>
    <xf numFmtId="0" fontId="15" fillId="0" borderId="0" xfId="0" applyNumberFormat="1" applyFont="1" applyAlignment="1">
      <alignment vertical="top"/>
    </xf>
    <xf numFmtId="0" fontId="8" fillId="0" borderId="0" xfId="381" applyFont="1">
      <alignment/>
      <protection/>
    </xf>
    <xf numFmtId="0" fontId="8" fillId="0" borderId="0" xfId="0" applyFont="1" applyAlignment="1">
      <alignment horizontal="right"/>
    </xf>
    <xf numFmtId="3" fontId="4" fillId="9" borderId="10" xfId="0" applyNumberFormat="1" applyFont="1" applyFill="1" applyBorder="1" applyAlignment="1" applyProtection="1">
      <alignment/>
      <protection/>
    </xf>
    <xf numFmtId="3" fontId="5" fillId="9" borderId="10" xfId="0" applyNumberFormat="1" applyFont="1" applyFill="1" applyBorder="1" applyAlignment="1" applyProtection="1">
      <alignment/>
      <protection/>
    </xf>
    <xf numFmtId="37" fontId="4" fillId="4" borderId="13" xfId="0" applyNumberFormat="1" applyFont="1" applyFill="1" applyBorder="1" applyAlignment="1" applyProtection="1">
      <alignment horizontal="left"/>
      <protection/>
    </xf>
    <xf numFmtId="0" fontId="4" fillId="22" borderId="11" xfId="0" applyFont="1" applyFill="1" applyBorder="1" applyAlignment="1" applyProtection="1">
      <alignment/>
      <protection locked="0"/>
    </xf>
    <xf numFmtId="3" fontId="4" fillId="22" borderId="14" xfId="0" applyNumberFormat="1" applyFont="1" applyFill="1" applyBorder="1" applyAlignment="1" applyProtection="1">
      <alignment/>
      <protection locked="0"/>
    </xf>
    <xf numFmtId="3" fontId="22" fillId="23" borderId="15" xfId="0" applyNumberFormat="1" applyFont="1" applyFill="1" applyBorder="1" applyAlignment="1" applyProtection="1">
      <alignment horizontal="center"/>
      <protection/>
    </xf>
    <xf numFmtId="0" fontId="8" fillId="22" borderId="0" xfId="0" applyFont="1" applyFill="1" applyAlignment="1" applyProtection="1">
      <alignment horizontal="left"/>
      <protection locked="0"/>
    </xf>
    <xf numFmtId="0" fontId="8" fillId="0" borderId="0" xfId="381" applyFont="1" applyAlignment="1">
      <alignment wrapText="1"/>
      <protection/>
    </xf>
    <xf numFmtId="0" fontId="0" fillId="0" borderId="0" xfId="0" applyAlignment="1">
      <alignment vertical="center"/>
    </xf>
    <xf numFmtId="0" fontId="31" fillId="0" borderId="0" xfId="0" applyFont="1" applyAlignment="1">
      <alignment horizontal="center" vertical="center"/>
    </xf>
    <xf numFmtId="0" fontId="30" fillId="0" borderId="0" xfId="0" applyFont="1" applyAlignment="1">
      <alignment vertical="center"/>
    </xf>
    <xf numFmtId="0" fontId="0" fillId="0" borderId="0" xfId="0" applyAlignment="1">
      <alignment vertical="center" wrapText="1"/>
    </xf>
    <xf numFmtId="0" fontId="5" fillId="0" borderId="0" xfId="0" applyFont="1" applyAlignment="1">
      <alignment horizontal="center" vertical="center"/>
    </xf>
    <xf numFmtId="0" fontId="4" fillId="0" borderId="0" xfId="0" applyFont="1" applyAlignment="1">
      <alignment vertical="center"/>
    </xf>
    <xf numFmtId="0" fontId="4" fillId="0" borderId="0" xfId="0" applyFont="1" applyAlignment="1" applyProtection="1">
      <alignment horizontal="left" vertical="center" wrapText="1"/>
      <protection/>
    </xf>
    <xf numFmtId="0" fontId="4" fillId="0" borderId="0" xfId="0" applyFont="1" applyAlignment="1">
      <alignment horizontal="left" vertical="center"/>
    </xf>
    <xf numFmtId="0" fontId="4" fillId="0" borderId="0" xfId="0" applyFont="1" applyAlignment="1">
      <alignment vertical="center" wrapText="1"/>
    </xf>
    <xf numFmtId="0" fontId="4" fillId="0" borderId="0" xfId="0" applyFont="1" applyAlignment="1" applyProtection="1">
      <alignment vertical="center" wrapText="1"/>
      <protection/>
    </xf>
    <xf numFmtId="0" fontId="26" fillId="0" borderId="0" xfId="0" applyFont="1" applyAlignment="1">
      <alignment vertical="center" wrapText="1"/>
    </xf>
    <xf numFmtId="0" fontId="4" fillId="22" borderId="0" xfId="0" applyFont="1" applyFill="1" applyAlignment="1" applyProtection="1">
      <alignment vertical="center" wrapText="1"/>
      <protection/>
    </xf>
    <xf numFmtId="0" fontId="4" fillId="0" borderId="0" xfId="0" applyFont="1" applyFill="1" applyAlignment="1" applyProtection="1">
      <alignment vertical="center" wrapText="1"/>
      <protection/>
    </xf>
    <xf numFmtId="0" fontId="4" fillId="4" borderId="0" xfId="0" applyFont="1" applyFill="1" applyAlignment="1">
      <alignment vertical="center" wrapText="1"/>
    </xf>
    <xf numFmtId="0" fontId="4" fillId="24" borderId="0" xfId="0" applyFont="1" applyFill="1" applyAlignment="1">
      <alignment vertical="center" wrapText="1"/>
    </xf>
    <xf numFmtId="0" fontId="4" fillId="16" borderId="0" xfId="0" applyFont="1" applyFill="1" applyAlignment="1">
      <alignment vertical="center"/>
    </xf>
    <xf numFmtId="37" fontId="4" fillId="0" borderId="0" xfId="0" applyNumberFormat="1" applyFont="1" applyFill="1" applyAlignment="1" applyProtection="1">
      <alignment horizontal="left" vertical="center" wrapText="1"/>
      <protection/>
    </xf>
    <xf numFmtId="0" fontId="4" fillId="0" borderId="0" xfId="0" applyNumberFormat="1" applyFont="1" applyAlignment="1">
      <alignment vertical="center" wrapText="1"/>
    </xf>
    <xf numFmtId="37" fontId="5" fillId="4" borderId="0" xfId="0" applyNumberFormat="1" applyFont="1" applyFill="1" applyAlignment="1" applyProtection="1">
      <alignment horizontal="center" vertical="center"/>
      <protection/>
    </xf>
    <xf numFmtId="0" fontId="1" fillId="4" borderId="0" xfId="0" applyFont="1" applyFill="1" applyAlignment="1">
      <alignment horizontal="center" vertical="center"/>
    </xf>
    <xf numFmtId="37" fontId="4" fillId="4" borderId="0" xfId="0" applyNumberFormat="1" applyFont="1" applyFill="1" applyAlignment="1" applyProtection="1">
      <alignment horizontal="left" vertical="center"/>
      <protection/>
    </xf>
    <xf numFmtId="0" fontId="4" fillId="4" borderId="0" xfId="0" applyFont="1" applyFill="1" applyAlignment="1" applyProtection="1">
      <alignment vertical="center"/>
      <protection/>
    </xf>
    <xf numFmtId="37" fontId="4" fillId="22" borderId="16" xfId="0" applyNumberFormat="1" applyFont="1" applyFill="1" applyBorder="1" applyAlignment="1" applyProtection="1">
      <alignment horizontal="left" vertical="center"/>
      <protection locked="0"/>
    </xf>
    <xf numFmtId="0" fontId="4" fillId="4" borderId="0" xfId="0" applyFont="1" applyFill="1" applyBorder="1" applyAlignment="1" applyProtection="1">
      <alignment vertical="center"/>
      <protection/>
    </xf>
    <xf numFmtId="37" fontId="4" fillId="4" borderId="0" xfId="0" applyNumberFormat="1" applyFont="1" applyFill="1" applyBorder="1" applyAlignment="1" applyProtection="1">
      <alignment horizontal="left" vertical="center"/>
      <protection locked="0"/>
    </xf>
    <xf numFmtId="0" fontId="5" fillId="22" borderId="10" xfId="0" applyFont="1" applyFill="1" applyBorder="1" applyAlignment="1" applyProtection="1">
      <alignment horizontal="center" vertical="center"/>
      <protection locked="0"/>
    </xf>
    <xf numFmtId="0" fontId="5" fillId="4" borderId="0" xfId="0" applyFont="1" applyFill="1" applyBorder="1" applyAlignment="1" applyProtection="1">
      <alignment horizontal="center" vertical="center"/>
      <protection locked="0"/>
    </xf>
    <xf numFmtId="37" fontId="4" fillId="4" borderId="0" xfId="0" applyNumberFormat="1" applyFont="1" applyFill="1" applyBorder="1" applyAlignment="1" applyProtection="1">
      <alignment horizontal="left" vertical="center"/>
      <protection/>
    </xf>
    <xf numFmtId="37" fontId="5" fillId="4" borderId="0" xfId="0" applyNumberFormat="1" applyFont="1" applyFill="1" applyAlignment="1" applyProtection="1">
      <alignment horizontal="centerContinuous" vertical="center"/>
      <protection/>
    </xf>
    <xf numFmtId="0" fontId="4" fillId="4" borderId="0" xfId="0" applyFont="1" applyFill="1" applyAlignment="1" applyProtection="1">
      <alignment horizontal="centerContinuous" vertical="center"/>
      <protection/>
    </xf>
    <xf numFmtId="37" fontId="25" fillId="4" borderId="0" xfId="0" applyNumberFormat="1" applyFont="1" applyFill="1" applyAlignment="1" applyProtection="1">
      <alignment horizontal="center" vertical="center"/>
      <protection/>
    </xf>
    <xf numFmtId="0" fontId="29" fillId="4" borderId="0" xfId="0" applyFont="1" applyFill="1" applyAlignment="1">
      <alignment horizontal="center" vertical="center"/>
    </xf>
    <xf numFmtId="0" fontId="5" fillId="25" borderId="0" xfId="0" applyFont="1" applyFill="1" applyAlignment="1" applyProtection="1">
      <alignment vertical="center"/>
      <protection/>
    </xf>
    <xf numFmtId="0" fontId="4" fillId="25" borderId="0" xfId="0" applyFont="1" applyFill="1" applyAlignment="1" applyProtection="1">
      <alignment vertical="center"/>
      <protection/>
    </xf>
    <xf numFmtId="37" fontId="5" fillId="25" borderId="0" xfId="0" applyNumberFormat="1" applyFont="1" applyFill="1" applyAlignment="1" applyProtection="1">
      <alignment horizontal="left" vertical="center"/>
      <protection/>
    </xf>
    <xf numFmtId="0" fontId="4" fillId="4" borderId="0" xfId="0" applyFont="1" applyFill="1" applyAlignment="1" applyProtection="1">
      <alignment horizontal="center" vertical="center"/>
      <protection/>
    </xf>
    <xf numFmtId="0" fontId="4" fillId="24" borderId="17" xfId="0" applyFont="1" applyFill="1" applyBorder="1" applyAlignment="1" applyProtection="1">
      <alignment horizontal="center" vertical="center"/>
      <protection/>
    </xf>
    <xf numFmtId="0" fontId="4" fillId="24" borderId="17" xfId="0" applyNumberFormat="1" applyFont="1" applyFill="1" applyBorder="1" applyAlignment="1" applyProtection="1">
      <alignment horizontal="center" vertical="center"/>
      <protection/>
    </xf>
    <xf numFmtId="37" fontId="4" fillId="4" borderId="0" xfId="0" applyNumberFormat="1" applyFont="1" applyFill="1" applyAlignment="1" applyProtection="1">
      <alignment horizontal="center" vertical="center"/>
      <protection/>
    </xf>
    <xf numFmtId="37" fontId="4" fillId="24" borderId="12" xfId="0" applyNumberFormat="1" applyFont="1" applyFill="1" applyBorder="1" applyAlignment="1" applyProtection="1">
      <alignment horizontal="center" vertical="center"/>
      <protection/>
    </xf>
    <xf numFmtId="37" fontId="4" fillId="4" borderId="10" xfId="0" applyNumberFormat="1" applyFont="1" applyFill="1" applyBorder="1" applyAlignment="1" applyProtection="1">
      <alignment horizontal="left" vertical="center"/>
      <protection/>
    </xf>
    <xf numFmtId="0" fontId="4" fillId="4" borderId="10" xfId="0" applyFont="1" applyFill="1" applyBorder="1" applyAlignment="1" applyProtection="1">
      <alignment vertical="center"/>
      <protection locked="0"/>
    </xf>
    <xf numFmtId="3" fontId="4" fillId="22" borderId="10" xfId="0" applyNumberFormat="1" applyFont="1" applyFill="1" applyBorder="1" applyAlignment="1" applyProtection="1">
      <alignment vertical="center"/>
      <protection locked="0"/>
    </xf>
    <xf numFmtId="3" fontId="4" fillId="22" borderId="10" xfId="0" applyNumberFormat="1" applyFont="1" applyFill="1" applyBorder="1" applyAlignment="1" applyProtection="1">
      <alignment vertical="center" wrapText="1"/>
      <protection locked="0"/>
    </xf>
    <xf numFmtId="164" fontId="4" fillId="22" borderId="10" xfId="0" applyNumberFormat="1" applyFont="1" applyFill="1" applyBorder="1" applyAlignment="1" applyProtection="1">
      <alignment vertical="center"/>
      <protection locked="0"/>
    </xf>
    <xf numFmtId="0" fontId="4" fillId="22" borderId="10" xfId="0" applyFont="1" applyFill="1" applyBorder="1" applyAlignment="1" applyProtection="1">
      <alignment vertical="center"/>
      <protection locked="0"/>
    </xf>
    <xf numFmtId="164" fontId="4" fillId="22" borderId="10" xfId="0" applyNumberFormat="1" applyFont="1" applyFill="1" applyBorder="1" applyAlignment="1" applyProtection="1">
      <alignment vertical="center"/>
      <protection locked="0"/>
    </xf>
    <xf numFmtId="0" fontId="4" fillId="22" borderId="10" xfId="0" applyFont="1" applyFill="1" applyBorder="1" applyAlignment="1" applyProtection="1">
      <alignment vertical="center"/>
      <protection locked="0"/>
    </xf>
    <xf numFmtId="3" fontId="4" fillId="22" borderId="10" xfId="0" applyNumberFormat="1" applyFont="1" applyFill="1" applyBorder="1" applyAlignment="1" applyProtection="1">
      <alignment vertical="center"/>
      <protection locked="0"/>
    </xf>
    <xf numFmtId="37" fontId="4" fillId="4" borderId="16" xfId="0" applyNumberFormat="1" applyFont="1" applyFill="1" applyBorder="1" applyAlignment="1" applyProtection="1">
      <alignment horizontal="left" vertical="center"/>
      <protection/>
    </xf>
    <xf numFmtId="0" fontId="4" fillId="4" borderId="16" xfId="0" applyFont="1" applyFill="1" applyBorder="1" applyAlignment="1" applyProtection="1">
      <alignment vertical="center"/>
      <protection/>
    </xf>
    <xf numFmtId="0" fontId="4" fillId="4" borderId="18" xfId="0" applyFont="1" applyFill="1" applyBorder="1" applyAlignment="1" applyProtection="1">
      <alignment vertical="center"/>
      <protection/>
    </xf>
    <xf numFmtId="3" fontId="4" fillId="9" borderId="10" xfId="0" applyNumberFormat="1" applyFont="1" applyFill="1" applyBorder="1" applyAlignment="1" applyProtection="1">
      <alignment vertical="center"/>
      <protection/>
    </xf>
    <xf numFmtId="164" fontId="4" fillId="9" borderId="10" xfId="0" applyNumberFormat="1" applyFont="1" applyFill="1" applyBorder="1" applyAlignment="1" applyProtection="1">
      <alignment vertical="center"/>
      <protection/>
    </xf>
    <xf numFmtId="3" fontId="4" fillId="4" borderId="0" xfId="0" applyNumberFormat="1" applyFont="1" applyFill="1" applyBorder="1" applyAlignment="1" applyProtection="1">
      <alignment vertical="center"/>
      <protection/>
    </xf>
    <xf numFmtId="164" fontId="4" fillId="4" borderId="0" xfId="0" applyNumberFormat="1" applyFont="1" applyFill="1" applyBorder="1" applyAlignment="1" applyProtection="1">
      <alignment vertical="center"/>
      <protection/>
    </xf>
    <xf numFmtId="3" fontId="4" fillId="22" borderId="10" xfId="0" applyNumberFormat="1" applyFont="1" applyFill="1" applyBorder="1" applyAlignment="1" applyProtection="1">
      <alignment vertical="center"/>
      <protection/>
    </xf>
    <xf numFmtId="164" fontId="4" fillId="4" borderId="16" xfId="0" applyNumberFormat="1" applyFont="1" applyFill="1" applyBorder="1" applyAlignment="1" applyProtection="1">
      <alignment vertical="center"/>
      <protection locked="0"/>
    </xf>
    <xf numFmtId="0" fontId="4" fillId="4" borderId="19" xfId="0" applyFont="1" applyFill="1" applyBorder="1" applyAlignment="1" applyProtection="1">
      <alignment vertical="center"/>
      <protection/>
    </xf>
    <xf numFmtId="164" fontId="4" fillId="4" borderId="0" xfId="0" applyNumberFormat="1" applyFont="1" applyFill="1" applyBorder="1" applyAlignment="1" applyProtection="1">
      <alignment vertical="center"/>
      <protection locked="0"/>
    </xf>
    <xf numFmtId="3" fontId="4" fillId="4" borderId="0" xfId="0" applyNumberFormat="1" applyFont="1" applyFill="1" applyBorder="1" applyAlignment="1" applyProtection="1">
      <alignment vertical="center"/>
      <protection locked="0"/>
    </xf>
    <xf numFmtId="37" fontId="4" fillId="4" borderId="0" xfId="0" applyNumberFormat="1" applyFont="1" applyFill="1" applyAlignment="1" applyProtection="1">
      <alignment horizontal="right" vertical="center"/>
      <protection/>
    </xf>
    <xf numFmtId="0" fontId="4" fillId="4" borderId="0" xfId="0" applyFont="1" applyFill="1" applyAlignment="1">
      <alignment vertical="center"/>
    </xf>
    <xf numFmtId="0" fontId="4" fillId="24" borderId="0" xfId="0" applyFont="1" applyFill="1" applyAlignment="1" applyProtection="1">
      <alignment vertical="center"/>
      <protection/>
    </xf>
    <xf numFmtId="37" fontId="4" fillId="4" borderId="10" xfId="0" applyNumberFormat="1" applyFont="1" applyFill="1" applyBorder="1" applyAlignment="1" applyProtection="1">
      <alignment vertical="center"/>
      <protection/>
    </xf>
    <xf numFmtId="37" fontId="4" fillId="24" borderId="16" xfId="0" applyNumberFormat="1" applyFont="1" applyFill="1" applyBorder="1" applyAlignment="1" applyProtection="1">
      <alignment horizontal="left" vertical="center"/>
      <protection/>
    </xf>
    <xf numFmtId="0" fontId="4" fillId="24" borderId="16" xfId="0" applyFont="1" applyFill="1" applyBorder="1" applyAlignment="1" applyProtection="1">
      <alignment vertical="center"/>
      <protection/>
    </xf>
    <xf numFmtId="37" fontId="4" fillId="24" borderId="18" xfId="0" applyNumberFormat="1" applyFont="1" applyFill="1" applyBorder="1" applyAlignment="1" applyProtection="1">
      <alignment horizontal="left" vertical="center"/>
      <protection/>
    </xf>
    <xf numFmtId="0" fontId="4" fillId="24" borderId="18" xfId="0" applyFont="1" applyFill="1" applyBorder="1" applyAlignment="1" applyProtection="1">
      <alignment vertical="center"/>
      <protection/>
    </xf>
    <xf numFmtId="37" fontId="18" fillId="25" borderId="0" xfId="0" applyNumberFormat="1" applyFont="1" applyFill="1" applyAlignment="1" applyProtection="1">
      <alignment horizontal="left" vertical="center"/>
      <protection/>
    </xf>
    <xf numFmtId="0" fontId="6" fillId="24" borderId="0" xfId="0" applyFont="1" applyFill="1" applyAlignment="1" applyProtection="1">
      <alignment vertical="center"/>
      <protection/>
    </xf>
    <xf numFmtId="0" fontId="4" fillId="4" borderId="0" xfId="0" applyFont="1" applyFill="1" applyAlignment="1" applyProtection="1">
      <alignment vertical="center"/>
      <protection locked="0"/>
    </xf>
    <xf numFmtId="0" fontId="4" fillId="4" borderId="16" xfId="0" applyFont="1" applyFill="1" applyBorder="1" applyAlignment="1" applyProtection="1">
      <alignment horizontal="center" vertical="center"/>
      <protection/>
    </xf>
    <xf numFmtId="0" fontId="4" fillId="4" borderId="16" xfId="0" applyFont="1" applyFill="1" applyBorder="1" applyAlignment="1" applyProtection="1">
      <alignment horizontal="center" vertical="center"/>
      <protection locked="0"/>
    </xf>
    <xf numFmtId="0" fontId="4" fillId="25" borderId="16" xfId="0" applyFont="1" applyFill="1" applyBorder="1" applyAlignment="1" applyProtection="1">
      <alignment vertical="center"/>
      <protection/>
    </xf>
    <xf numFmtId="0" fontId="4" fillId="4" borderId="19" xfId="0" applyFont="1" applyFill="1" applyBorder="1" applyAlignment="1" applyProtection="1">
      <alignment vertical="center"/>
      <protection locked="0"/>
    </xf>
    <xf numFmtId="0" fontId="4" fillId="25" borderId="18" xfId="0" applyFont="1" applyFill="1" applyBorder="1" applyAlignment="1" applyProtection="1">
      <alignment vertical="center"/>
      <protection/>
    </xf>
    <xf numFmtId="0" fontId="4" fillId="4" borderId="14" xfId="0" applyFont="1" applyFill="1" applyBorder="1" applyAlignment="1" applyProtection="1">
      <alignment vertical="center"/>
      <protection locked="0"/>
    </xf>
    <xf numFmtId="0" fontId="4" fillId="0" borderId="0" xfId="0" applyFont="1" applyAlignment="1" applyProtection="1">
      <alignment vertical="center"/>
      <protection locked="0"/>
    </xf>
    <xf numFmtId="37" fontId="4" fillId="4" borderId="0" xfId="0" applyNumberFormat="1" applyFont="1" applyFill="1" applyAlignment="1">
      <alignment vertical="center"/>
    </xf>
    <xf numFmtId="0" fontId="0" fillId="4" borderId="0" xfId="0" applyFill="1" applyAlignment="1">
      <alignment vertical="center"/>
    </xf>
    <xf numFmtId="3" fontId="4" fillId="4" borderId="0" xfId="0" applyNumberFormat="1" applyFont="1" applyFill="1" applyAlignment="1" applyProtection="1">
      <alignment vertical="center"/>
      <protection/>
    </xf>
    <xf numFmtId="37" fontId="4" fillId="4" borderId="18" xfId="0" applyNumberFormat="1" applyFont="1" applyFill="1" applyBorder="1" applyAlignment="1" applyProtection="1">
      <alignment horizontal="left" vertical="center"/>
      <protection/>
    </xf>
    <xf numFmtId="37" fontId="4" fillId="22" borderId="10" xfId="0" applyNumberFormat="1" applyFont="1" applyFill="1" applyBorder="1" applyAlignment="1" applyProtection="1">
      <alignment vertical="center"/>
      <protection locked="0"/>
    </xf>
    <xf numFmtId="3" fontId="4" fillId="4" borderId="19" xfId="0" applyNumberFormat="1" applyFont="1" applyFill="1" applyBorder="1" applyAlignment="1" applyProtection="1">
      <alignment vertical="center"/>
      <protection/>
    </xf>
    <xf numFmtId="3" fontId="4" fillId="4" borderId="14" xfId="0" applyNumberFormat="1" applyFont="1" applyFill="1" applyBorder="1" applyAlignment="1" applyProtection="1">
      <alignment vertical="center"/>
      <protection/>
    </xf>
    <xf numFmtId="3" fontId="4" fillId="4" borderId="18" xfId="0" applyNumberFormat="1" applyFont="1" applyFill="1" applyBorder="1" applyAlignment="1" applyProtection="1">
      <alignment vertical="center"/>
      <protection/>
    </xf>
    <xf numFmtId="37" fontId="5" fillId="4" borderId="0" xfId="0" applyNumberFormat="1" applyFont="1" applyFill="1" applyAlignment="1" applyProtection="1">
      <alignment horizontal="left" vertical="center"/>
      <protection/>
    </xf>
    <xf numFmtId="37" fontId="4" fillId="16" borderId="0" xfId="0" applyNumberFormat="1" applyFont="1" applyFill="1" applyBorder="1" applyAlignment="1" applyProtection="1">
      <alignment horizontal="left" vertical="center"/>
      <protection/>
    </xf>
    <xf numFmtId="0" fontId="4" fillId="16" borderId="0" xfId="0" applyFont="1" applyFill="1" applyBorder="1" applyAlignment="1" applyProtection="1">
      <alignment vertical="center"/>
      <protection/>
    </xf>
    <xf numFmtId="0" fontId="4" fillId="24" borderId="17" xfId="0" applyFont="1" applyFill="1" applyBorder="1" applyAlignment="1">
      <alignment horizontal="center" vertical="center"/>
    </xf>
    <xf numFmtId="0" fontId="4" fillId="24" borderId="20" xfId="0" applyFont="1" applyFill="1" applyBorder="1" applyAlignment="1">
      <alignment horizontal="center" vertical="center"/>
    </xf>
    <xf numFmtId="0" fontId="22" fillId="4" borderId="0" xfId="0" applyFont="1" applyFill="1" applyAlignment="1">
      <alignment vertical="center"/>
    </xf>
    <xf numFmtId="0" fontId="24" fillId="4" borderId="0" xfId="0" applyFont="1" applyFill="1" applyAlignment="1">
      <alignment vertical="center"/>
    </xf>
    <xf numFmtId="0" fontId="4" fillId="24" borderId="12" xfId="0" applyFont="1" applyFill="1" applyBorder="1" applyAlignment="1">
      <alignment horizontal="center" vertical="center"/>
    </xf>
    <xf numFmtId="37" fontId="4" fillId="4" borderId="12" xfId="0" applyNumberFormat="1" applyFont="1" applyFill="1" applyBorder="1" applyAlignment="1">
      <alignment vertical="center"/>
    </xf>
    <xf numFmtId="3" fontId="4" fillId="22" borderId="12" xfId="0" applyNumberFormat="1" applyFont="1" applyFill="1" applyBorder="1" applyAlignment="1" applyProtection="1">
      <alignment vertical="center"/>
      <protection locked="0"/>
    </xf>
    <xf numFmtId="37" fontId="4" fillId="4" borderId="0" xfId="0" applyNumberFormat="1" applyFont="1" applyFill="1" applyAlignment="1" applyProtection="1">
      <alignment horizontal="centerContinuous" vertical="center"/>
      <protection/>
    </xf>
    <xf numFmtId="37" fontId="4" fillId="4" borderId="0" xfId="0" applyNumberFormat="1" applyFont="1" applyFill="1" applyAlignment="1" applyProtection="1">
      <alignment horizontal="fill" vertical="center"/>
      <protection/>
    </xf>
    <xf numFmtId="37" fontId="4" fillId="4" borderId="11" xfId="0" applyNumberFormat="1" applyFont="1" applyFill="1" applyBorder="1" applyAlignment="1" applyProtection="1">
      <alignment horizontal="centerContinuous" vertical="center"/>
      <protection/>
    </xf>
    <xf numFmtId="0" fontId="4" fillId="4" borderId="18" xfId="0" applyFont="1" applyFill="1" applyBorder="1" applyAlignment="1" applyProtection="1">
      <alignment horizontal="centerContinuous" vertical="center"/>
      <protection/>
    </xf>
    <xf numFmtId="0" fontId="4" fillId="4" borderId="14" xfId="0" applyFont="1" applyFill="1" applyBorder="1" applyAlignment="1" applyProtection="1">
      <alignment horizontal="centerContinuous" vertical="center"/>
      <protection/>
    </xf>
    <xf numFmtId="37" fontId="4" fillId="4" borderId="17" xfId="0" applyNumberFormat="1" applyFont="1" applyFill="1" applyBorder="1" applyAlignment="1" applyProtection="1">
      <alignment horizontal="center" vertical="center"/>
      <protection/>
    </xf>
    <xf numFmtId="37" fontId="4" fillId="4" borderId="17" xfId="0" applyNumberFormat="1" applyFont="1" applyFill="1" applyBorder="1" applyAlignment="1" applyProtection="1">
      <alignment horizontal="center" vertical="center" wrapText="1"/>
      <protection/>
    </xf>
    <xf numFmtId="37" fontId="5" fillId="4" borderId="16" xfId="0" applyNumberFormat="1" applyFont="1" applyFill="1" applyBorder="1" applyAlignment="1" applyProtection="1">
      <alignment horizontal="left" vertical="center"/>
      <protection/>
    </xf>
    <xf numFmtId="37" fontId="4" fillId="4" borderId="12" xfId="0" applyNumberFormat="1" applyFont="1" applyFill="1" applyBorder="1" applyAlignment="1" applyProtection="1">
      <alignment horizontal="center" vertical="center"/>
      <protection/>
    </xf>
    <xf numFmtId="37" fontId="4" fillId="4" borderId="11" xfId="0" applyNumberFormat="1" applyFont="1" applyFill="1" applyBorder="1" applyAlignment="1" applyProtection="1">
      <alignment horizontal="left" vertical="center"/>
      <protection/>
    </xf>
    <xf numFmtId="0" fontId="4" fillId="4" borderId="14" xfId="0" applyFont="1" applyFill="1" applyBorder="1" applyAlignment="1" applyProtection="1">
      <alignment vertical="center"/>
      <protection/>
    </xf>
    <xf numFmtId="37" fontId="4" fillId="4" borderId="20" xfId="0" applyNumberFormat="1" applyFont="1" applyFill="1" applyBorder="1" applyAlignment="1" applyProtection="1">
      <alignment horizontal="center" vertical="center"/>
      <protection/>
    </xf>
    <xf numFmtId="37" fontId="4" fillId="4" borderId="21" xfId="0" applyNumberFormat="1" applyFont="1" applyFill="1" applyBorder="1" applyAlignment="1" applyProtection="1">
      <alignment horizontal="left" vertical="center"/>
      <protection/>
    </xf>
    <xf numFmtId="0" fontId="4" fillId="4" borderId="15" xfId="0" applyFont="1" applyFill="1" applyBorder="1" applyAlignment="1" applyProtection="1">
      <alignment vertical="center"/>
      <protection/>
    </xf>
    <xf numFmtId="37" fontId="4" fillId="4" borderId="10" xfId="0" applyNumberFormat="1" applyFont="1" applyFill="1" applyBorder="1" applyAlignment="1" applyProtection="1">
      <alignment horizontal="center" vertical="center"/>
      <protection/>
    </xf>
    <xf numFmtId="0" fontId="4" fillId="4" borderId="20" xfId="0" applyFont="1" applyFill="1" applyBorder="1" applyAlignment="1" applyProtection="1">
      <alignment vertical="center"/>
      <protection/>
    </xf>
    <xf numFmtId="37" fontId="4" fillId="4" borderId="14" xfId="0" applyNumberFormat="1" applyFont="1" applyFill="1" applyBorder="1" applyAlignment="1" applyProtection="1">
      <alignment horizontal="center" vertical="center"/>
      <protection/>
    </xf>
    <xf numFmtId="37" fontId="18" fillId="4" borderId="12" xfId="0" applyNumberFormat="1" applyFont="1" applyFill="1" applyBorder="1" applyAlignment="1" applyProtection="1">
      <alignment horizontal="left" vertical="center"/>
      <protection/>
    </xf>
    <xf numFmtId="37" fontId="18" fillId="4" borderId="12" xfId="0" applyNumberFormat="1" applyFont="1" applyFill="1" applyBorder="1" applyAlignment="1" applyProtection="1">
      <alignment horizontal="center" vertical="center"/>
      <protection/>
    </xf>
    <xf numFmtId="0" fontId="4" fillId="4" borderId="10" xfId="0" applyFont="1" applyFill="1" applyBorder="1" applyAlignment="1" applyProtection="1">
      <alignment vertical="center"/>
      <protection/>
    </xf>
    <xf numFmtId="0" fontId="4" fillId="4" borderId="12" xfId="0" applyFont="1" applyFill="1" applyBorder="1" applyAlignment="1" applyProtection="1">
      <alignment vertical="center"/>
      <protection/>
    </xf>
    <xf numFmtId="37" fontId="4" fillId="9" borderId="11" xfId="0" applyNumberFormat="1" applyFont="1" applyFill="1" applyBorder="1" applyAlignment="1" applyProtection="1">
      <alignment horizontal="center" vertical="center"/>
      <protection/>
    </xf>
    <xf numFmtId="183" fontId="4" fillId="4" borderId="10" xfId="0" applyNumberFormat="1" applyFont="1" applyFill="1" applyBorder="1" applyAlignment="1" applyProtection="1">
      <alignment vertical="center"/>
      <protection/>
    </xf>
    <xf numFmtId="37" fontId="4" fillId="4" borderId="11" xfId="0" applyNumberFormat="1" applyFont="1" applyFill="1" applyBorder="1" applyAlignment="1" applyProtection="1">
      <alignment vertical="center"/>
      <protection/>
    </xf>
    <xf numFmtId="37" fontId="4" fillId="4" borderId="19" xfId="0" applyNumberFormat="1" applyFont="1" applyFill="1" applyBorder="1" applyAlignment="1" applyProtection="1">
      <alignment horizontal="center" vertical="center"/>
      <protection/>
    </xf>
    <xf numFmtId="37" fontId="4" fillId="4" borderId="13" xfId="0" applyNumberFormat="1" applyFont="1" applyFill="1" applyBorder="1" applyAlignment="1" applyProtection="1">
      <alignment vertical="center"/>
      <protection/>
    </xf>
    <xf numFmtId="0" fontId="4" fillId="4" borderId="22" xfId="0" applyFont="1" applyFill="1" applyBorder="1" applyAlignment="1" applyProtection="1">
      <alignment vertical="center"/>
      <protection/>
    </xf>
    <xf numFmtId="37" fontId="5" fillId="4" borderId="13" xfId="0" applyNumberFormat="1" applyFont="1" applyFill="1" applyBorder="1" applyAlignment="1" applyProtection="1">
      <alignment horizontal="left" vertical="center"/>
      <protection/>
    </xf>
    <xf numFmtId="37" fontId="4" fillId="4" borderId="19" xfId="0" applyNumberFormat="1" applyFont="1" applyFill="1" applyBorder="1" applyAlignment="1" applyProtection="1">
      <alignment horizontal="fill" vertical="center"/>
      <protection/>
    </xf>
    <xf numFmtId="37" fontId="4" fillId="9" borderId="23" xfId="0" applyNumberFormat="1" applyFont="1" applyFill="1" applyBorder="1" applyAlignment="1" applyProtection="1">
      <alignment vertical="center"/>
      <protection/>
    </xf>
    <xf numFmtId="183" fontId="4" fillId="9" borderId="23" xfId="0" applyNumberFormat="1" applyFont="1" applyFill="1" applyBorder="1" applyAlignment="1" applyProtection="1">
      <alignment vertical="center"/>
      <protection/>
    </xf>
    <xf numFmtId="37" fontId="4" fillId="4" borderId="13" xfId="0" applyNumberFormat="1" applyFont="1" applyFill="1" applyBorder="1" applyAlignment="1" applyProtection="1">
      <alignment horizontal="left" vertical="center"/>
      <protection/>
    </xf>
    <xf numFmtId="37" fontId="4" fillId="4" borderId="0" xfId="0" applyNumberFormat="1" applyFont="1" applyFill="1" applyBorder="1" applyAlignment="1" applyProtection="1">
      <alignment vertical="center"/>
      <protection/>
    </xf>
    <xf numFmtId="183" fontId="4" fillId="4" borderId="0" xfId="0" applyNumberFormat="1" applyFont="1" applyFill="1" applyBorder="1" applyAlignment="1" applyProtection="1">
      <alignment vertical="center"/>
      <protection/>
    </xf>
    <xf numFmtId="0" fontId="17" fillId="24" borderId="0" xfId="0" applyFont="1" applyFill="1" applyAlignment="1" applyProtection="1">
      <alignment horizontal="center" vertical="center"/>
      <protection/>
    </xf>
    <xf numFmtId="0" fontId="4" fillId="26" borderId="10" xfId="0" applyFont="1" applyFill="1" applyBorder="1" applyAlignment="1">
      <alignment horizontal="center" vertical="center" shrinkToFit="1"/>
    </xf>
    <xf numFmtId="0" fontId="22" fillId="26" borderId="14" xfId="0" applyFont="1" applyFill="1" applyBorder="1" applyAlignment="1" applyProtection="1">
      <alignment horizontal="center" vertical="center"/>
      <protection/>
    </xf>
    <xf numFmtId="3" fontId="4" fillId="22" borderId="14" xfId="0" applyNumberFormat="1" applyFont="1" applyFill="1" applyBorder="1" applyAlignment="1" applyProtection="1">
      <alignment horizontal="center" vertical="center"/>
      <protection locked="0"/>
    </xf>
    <xf numFmtId="37" fontId="4" fillId="4" borderId="14" xfId="0" applyNumberFormat="1" applyFont="1" applyFill="1" applyBorder="1" applyAlignment="1" applyProtection="1">
      <alignment horizontal="fill" vertical="center"/>
      <protection locked="0"/>
    </xf>
    <xf numFmtId="37" fontId="4" fillId="4" borderId="16" xfId="0" applyNumberFormat="1" applyFont="1" applyFill="1" applyBorder="1" applyAlignment="1" applyProtection="1">
      <alignment horizontal="fill" vertical="center"/>
      <protection/>
    </xf>
    <xf numFmtId="0" fontId="4" fillId="22" borderId="16" xfId="0" applyFont="1" applyFill="1" applyBorder="1" applyAlignment="1" applyProtection="1">
      <alignment vertical="center"/>
      <protection locked="0"/>
    </xf>
    <xf numFmtId="0" fontId="4" fillId="22" borderId="18" xfId="0" applyFont="1" applyFill="1" applyBorder="1" applyAlignment="1" applyProtection="1">
      <alignment vertical="center"/>
      <protection locked="0"/>
    </xf>
    <xf numFmtId="37" fontId="4" fillId="4" borderId="16" xfId="0" applyNumberFormat="1" applyFont="1" applyFill="1" applyBorder="1" applyAlignment="1" applyProtection="1">
      <alignment horizontal="fill" vertical="center"/>
      <protection locked="0"/>
    </xf>
    <xf numFmtId="37" fontId="4" fillId="4" borderId="0" xfId="0" applyNumberFormat="1" applyFont="1" applyFill="1" applyBorder="1" applyAlignment="1" applyProtection="1">
      <alignment horizontal="right" vertical="center"/>
      <protection/>
    </xf>
    <xf numFmtId="0" fontId="4" fillId="4" borderId="0" xfId="0" applyFont="1" applyFill="1" applyAlignment="1" applyProtection="1">
      <alignment horizontal="centerContinuous" vertical="center"/>
      <protection locked="0"/>
    </xf>
    <xf numFmtId="0" fontId="4" fillId="4" borderId="16" xfId="0" applyFont="1" applyFill="1" applyBorder="1" applyAlignment="1" applyProtection="1">
      <alignment vertical="center"/>
      <protection locked="0"/>
    </xf>
    <xf numFmtId="0" fontId="4" fillId="4" borderId="0" xfId="0" applyFont="1" applyFill="1" applyAlignment="1" applyProtection="1">
      <alignment horizontal="left" vertical="center"/>
      <protection/>
    </xf>
    <xf numFmtId="37" fontId="4" fillId="0" borderId="0" xfId="0" applyNumberFormat="1" applyFont="1" applyAlignment="1" applyProtection="1">
      <alignment horizontal="center" vertical="center"/>
      <protection locked="0"/>
    </xf>
    <xf numFmtId="37" fontId="6" fillId="4" borderId="0" xfId="0" applyNumberFormat="1" applyFont="1" applyFill="1" applyAlignment="1">
      <alignment horizontal="center" vertical="center"/>
    </xf>
    <xf numFmtId="0" fontId="4" fillId="4" borderId="12" xfId="0" applyFont="1" applyFill="1" applyBorder="1" applyAlignment="1">
      <alignment horizontal="center" vertical="center" wrapText="1"/>
    </xf>
    <xf numFmtId="37" fontId="6" fillId="4" borderId="10" xfId="0" applyNumberFormat="1" applyFont="1" applyFill="1" applyBorder="1" applyAlignment="1" applyProtection="1">
      <alignment horizontal="left" vertical="center"/>
      <protection/>
    </xf>
    <xf numFmtId="37" fontId="6" fillId="4" borderId="10" xfId="0" applyNumberFormat="1" applyFont="1" applyFill="1" applyBorder="1" applyAlignment="1" applyProtection="1">
      <alignment horizontal="center" vertical="center"/>
      <protection/>
    </xf>
    <xf numFmtId="37" fontId="4" fillId="22" borderId="10" xfId="0" applyNumberFormat="1" applyFont="1" applyFill="1" applyBorder="1" applyAlignment="1" applyProtection="1">
      <alignment horizontal="left" vertical="center"/>
      <protection locked="0"/>
    </xf>
    <xf numFmtId="37" fontId="4" fillId="22" borderId="10" xfId="0" applyNumberFormat="1" applyFont="1" applyFill="1" applyBorder="1" applyAlignment="1" applyProtection="1">
      <alignment horizontal="center" vertical="center"/>
      <protection locked="0"/>
    </xf>
    <xf numFmtId="0" fontId="4" fillId="22" borderId="10" xfId="0" applyFont="1" applyFill="1" applyBorder="1" applyAlignment="1" applyProtection="1">
      <alignment horizontal="center" vertical="center"/>
      <protection locked="0"/>
    </xf>
    <xf numFmtId="37" fontId="4" fillId="4" borderId="10" xfId="0" applyNumberFormat="1" applyFont="1" applyFill="1" applyBorder="1" applyAlignment="1" applyProtection="1">
      <alignment horizontal="fill" vertical="center"/>
      <protection/>
    </xf>
    <xf numFmtId="37" fontId="4" fillId="4" borderId="23" xfId="0" applyNumberFormat="1" applyFont="1" applyFill="1" applyBorder="1" applyAlignment="1" applyProtection="1">
      <alignment vertical="center"/>
      <protection/>
    </xf>
    <xf numFmtId="37" fontId="4" fillId="0" borderId="0" xfId="0" applyNumberFormat="1" applyFont="1" applyAlignment="1" applyProtection="1">
      <alignment horizontal="left" vertical="center"/>
      <protection locked="0"/>
    </xf>
    <xf numFmtId="0" fontId="4" fillId="0" borderId="0" xfId="0" applyFont="1" applyAlignment="1" applyProtection="1">
      <alignment horizontal="center" vertical="center"/>
      <protection locked="0"/>
    </xf>
    <xf numFmtId="37" fontId="4" fillId="0" borderId="0" xfId="0" applyNumberFormat="1" applyFont="1" applyAlignment="1" applyProtection="1">
      <alignment horizontal="fill" vertical="center"/>
      <protection locked="0"/>
    </xf>
    <xf numFmtId="37" fontId="4" fillId="4" borderId="0" xfId="0" applyNumberFormat="1" applyFont="1" applyFill="1" applyAlignment="1" applyProtection="1">
      <alignment vertical="center"/>
      <protection/>
    </xf>
    <xf numFmtId="0" fontId="5" fillId="4" borderId="0" xfId="0" applyFont="1" applyFill="1" applyAlignment="1" applyProtection="1">
      <alignment horizontal="center" vertical="center"/>
      <protection/>
    </xf>
    <xf numFmtId="0" fontId="5" fillId="4" borderId="0" xfId="0" applyFont="1" applyFill="1" applyAlignment="1" applyProtection="1">
      <alignment horizontal="center" vertical="center" wrapText="1"/>
      <protection/>
    </xf>
    <xf numFmtId="0" fontId="4" fillId="4" borderId="0" xfId="0" applyFont="1" applyFill="1" applyAlignment="1" applyProtection="1" quotePrefix="1">
      <alignment vertical="center"/>
      <protection/>
    </xf>
    <xf numFmtId="3" fontId="4" fillId="4" borderId="0" xfId="0" applyNumberFormat="1" applyFont="1" applyFill="1" applyAlignment="1" applyProtection="1" quotePrefix="1">
      <alignment vertical="center"/>
      <protection/>
    </xf>
    <xf numFmtId="3" fontId="4" fillId="4" borderId="16" xfId="0" applyNumberFormat="1" applyFont="1" applyFill="1" applyBorder="1" applyAlignment="1" applyProtection="1">
      <alignment vertical="center"/>
      <protection/>
    </xf>
    <xf numFmtId="3" fontId="4" fillId="4" borderId="0" xfId="0" applyNumberFormat="1" applyFont="1" applyFill="1" applyAlignment="1" quotePrefix="1">
      <alignment vertical="center"/>
    </xf>
    <xf numFmtId="3" fontId="4" fillId="4" borderId="0" xfId="0" applyNumberFormat="1" applyFont="1" applyFill="1" applyAlignment="1">
      <alignment vertical="center"/>
    </xf>
    <xf numFmtId="3" fontId="4" fillId="4" borderId="18" xfId="0" applyNumberFormat="1" applyFont="1" applyFill="1" applyBorder="1" applyAlignment="1" applyProtection="1">
      <alignment vertical="center"/>
      <protection locked="0"/>
    </xf>
    <xf numFmtId="0" fontId="5" fillId="4" borderId="0" xfId="0" applyFont="1" applyFill="1" applyAlignment="1" applyProtection="1">
      <alignment vertical="center"/>
      <protection/>
    </xf>
    <xf numFmtId="3" fontId="4" fillId="4" borderId="18" xfId="0" applyNumberFormat="1" applyFont="1" applyFill="1" applyBorder="1" applyAlignment="1">
      <alignment vertical="center"/>
    </xf>
    <xf numFmtId="3" fontId="4" fillId="4" borderId="0" xfId="0" applyNumberFormat="1" applyFont="1" applyFill="1" applyBorder="1" applyAlignment="1">
      <alignment vertical="center"/>
    </xf>
    <xf numFmtId="3" fontId="4" fillId="4" borderId="24" xfId="0" applyNumberFormat="1" applyFont="1" applyFill="1" applyBorder="1" applyAlignment="1" applyProtection="1">
      <alignment vertical="center"/>
      <protection/>
    </xf>
    <xf numFmtId="0" fontId="4" fillId="4" borderId="24" xfId="0" applyFont="1" applyFill="1" applyBorder="1" applyAlignment="1" applyProtection="1">
      <alignment vertical="center"/>
      <protection/>
    </xf>
    <xf numFmtId="0" fontId="4" fillId="4" borderId="0" xfId="0" applyFont="1" applyFill="1" applyBorder="1" applyAlignment="1">
      <alignment vertical="center"/>
    </xf>
    <xf numFmtId="0" fontId="4" fillId="4" borderId="0" xfId="0" applyFont="1" applyFill="1" applyAlignment="1" quotePrefix="1">
      <alignment vertical="center"/>
    </xf>
    <xf numFmtId="171" fontId="4" fillId="4" borderId="16" xfId="0" applyNumberFormat="1" applyFont="1" applyFill="1" applyBorder="1" applyAlignment="1" applyProtection="1">
      <alignment vertical="center"/>
      <protection/>
    </xf>
    <xf numFmtId="0" fontId="4" fillId="4" borderId="0" xfId="0" applyFont="1" applyFill="1" applyBorder="1" applyAlignment="1" quotePrefix="1">
      <alignment vertical="center"/>
    </xf>
    <xf numFmtId="3" fontId="4" fillId="4" borderId="16" xfId="0" applyNumberFormat="1" applyFont="1" applyFill="1" applyBorder="1" applyAlignment="1">
      <alignment vertical="center"/>
    </xf>
    <xf numFmtId="3" fontId="4" fillId="4" borderId="25" xfId="0" applyNumberFormat="1" applyFont="1" applyFill="1" applyBorder="1" applyAlignment="1">
      <alignment vertical="center"/>
    </xf>
    <xf numFmtId="3" fontId="4" fillId="4" borderId="16" xfId="0" applyNumberFormat="1" applyFont="1" applyFill="1" applyBorder="1" applyAlignment="1" applyProtection="1">
      <alignment vertical="center"/>
      <protection locked="0"/>
    </xf>
    <xf numFmtId="3" fontId="4" fillId="4" borderId="25" xfId="0" applyNumberFormat="1" applyFont="1" applyFill="1" applyBorder="1" applyAlignment="1" applyProtection="1">
      <alignment vertical="center"/>
      <protection/>
    </xf>
    <xf numFmtId="0" fontId="7" fillId="0" borderId="0" xfId="0" applyFont="1" applyAlignment="1">
      <alignment vertical="center"/>
    </xf>
    <xf numFmtId="0" fontId="4" fillId="4" borderId="17" xfId="0" applyFont="1" applyFill="1" applyBorder="1" applyAlignment="1">
      <alignment vertical="center"/>
    </xf>
    <xf numFmtId="0" fontId="0" fillId="4" borderId="0" xfId="0" applyFill="1" applyBorder="1" applyAlignment="1">
      <alignment vertical="center"/>
    </xf>
    <xf numFmtId="177" fontId="4" fillId="4" borderId="10" xfId="0" applyNumberFormat="1" applyFont="1" applyFill="1" applyBorder="1" applyAlignment="1" applyProtection="1">
      <alignment horizontal="center" vertical="center"/>
      <protection/>
    </xf>
    <xf numFmtId="37" fontId="4" fillId="9" borderId="23" xfId="0" applyNumberFormat="1" applyFont="1" applyFill="1" applyBorder="1" applyAlignment="1" applyProtection="1">
      <alignment horizontal="center" vertical="center"/>
      <protection/>
    </xf>
    <xf numFmtId="177" fontId="4" fillId="9" borderId="23" xfId="0" applyNumberFormat="1" applyFont="1" applyFill="1" applyBorder="1" applyAlignment="1" applyProtection="1">
      <alignment horizontal="center" vertical="center"/>
      <protection/>
    </xf>
    <xf numFmtId="0" fontId="4" fillId="4" borderId="0" xfId="0" applyFont="1" applyFill="1" applyAlignment="1">
      <alignment horizontal="center" vertical="center"/>
    </xf>
    <xf numFmtId="166" fontId="4" fillId="4" borderId="0" xfId="0" applyNumberFormat="1" applyFont="1" applyFill="1" applyAlignment="1" applyProtection="1">
      <alignment horizontal="center" vertical="center"/>
      <protection/>
    </xf>
    <xf numFmtId="37" fontId="4" fillId="4" borderId="16" xfId="0" applyNumberFormat="1" applyFont="1" applyFill="1" applyBorder="1" applyAlignment="1" applyProtection="1">
      <alignment horizontal="center" vertical="center"/>
      <protection/>
    </xf>
    <xf numFmtId="37" fontId="4" fillId="4" borderId="0" xfId="0" applyNumberFormat="1" applyFont="1" applyFill="1" applyBorder="1" applyAlignment="1" applyProtection="1">
      <alignment horizontal="center" vertical="center"/>
      <protection/>
    </xf>
    <xf numFmtId="3" fontId="4" fillId="4" borderId="16" xfId="0" applyNumberFormat="1" applyFont="1" applyFill="1" applyBorder="1" applyAlignment="1" applyProtection="1">
      <alignment horizontal="center" vertical="center"/>
      <protection/>
    </xf>
    <xf numFmtId="165" fontId="4" fillId="9" borderId="16" xfId="0" applyNumberFormat="1" applyFont="1" applyFill="1" applyBorder="1" applyAlignment="1" applyProtection="1">
      <alignment horizontal="center" vertical="center"/>
      <protection/>
    </xf>
    <xf numFmtId="165" fontId="4" fillId="4" borderId="0" xfId="0" applyNumberFormat="1" applyFont="1" applyFill="1" applyBorder="1" applyAlignment="1" applyProtection="1">
      <alignment horizontal="center" vertical="center"/>
      <protection/>
    </xf>
    <xf numFmtId="0" fontId="0" fillId="4" borderId="0" xfId="0" applyFill="1" applyAlignment="1">
      <alignment horizontal="center" vertical="center"/>
    </xf>
    <xf numFmtId="0" fontId="5" fillId="4" borderId="16" xfId="0" applyFont="1" applyFill="1" applyBorder="1" applyAlignment="1" applyProtection="1">
      <alignment horizontal="center" vertical="center"/>
      <protection/>
    </xf>
    <xf numFmtId="0" fontId="5" fillId="4" borderId="17" xfId="0" applyFont="1" applyFill="1" applyBorder="1" applyAlignment="1" applyProtection="1">
      <alignment horizontal="center" vertical="center"/>
      <protection/>
    </xf>
    <xf numFmtId="0" fontId="5" fillId="4" borderId="15" xfId="0" applyFont="1" applyFill="1" applyBorder="1" applyAlignment="1" applyProtection="1">
      <alignment horizontal="center" vertical="center"/>
      <protection/>
    </xf>
    <xf numFmtId="0" fontId="5" fillId="4" borderId="20" xfId="0" applyFont="1" applyFill="1" applyBorder="1" applyAlignment="1" applyProtection="1">
      <alignment horizontal="center" vertical="center"/>
      <protection/>
    </xf>
    <xf numFmtId="0" fontId="5" fillId="4" borderId="22" xfId="0" applyFont="1" applyFill="1" applyBorder="1" applyAlignment="1" applyProtection="1">
      <alignment horizontal="center" vertical="center"/>
      <protection/>
    </xf>
    <xf numFmtId="0" fontId="5" fillId="4" borderId="26" xfId="0" applyFont="1" applyFill="1" applyBorder="1" applyAlignment="1" applyProtection="1">
      <alignment horizontal="center" vertical="center"/>
      <protection/>
    </xf>
    <xf numFmtId="0" fontId="5" fillId="4" borderId="27" xfId="0" applyFont="1" applyFill="1" applyBorder="1" applyAlignment="1" applyProtection="1">
      <alignment horizontal="center" vertical="center"/>
      <protection/>
    </xf>
    <xf numFmtId="0" fontId="4" fillId="22" borderId="12" xfId="0" applyFont="1" applyFill="1" applyBorder="1" applyAlignment="1" applyProtection="1">
      <alignment vertical="center"/>
      <protection locked="0"/>
    </xf>
    <xf numFmtId="175" fontId="4" fillId="22" borderId="12" xfId="42" applyNumberFormat="1" applyFont="1" applyFill="1" applyBorder="1" applyAlignment="1" applyProtection="1">
      <alignment vertical="center"/>
      <protection locked="0"/>
    </xf>
    <xf numFmtId="175" fontId="4" fillId="22" borderId="10" xfId="42" applyNumberFormat="1" applyFont="1" applyFill="1" applyBorder="1" applyAlignment="1" applyProtection="1">
      <alignment vertical="center"/>
      <protection locked="0"/>
    </xf>
    <xf numFmtId="0" fontId="4" fillId="4" borderId="10" xfId="0" applyFont="1" applyFill="1" applyBorder="1" applyAlignment="1" applyProtection="1">
      <alignment horizontal="center" vertical="center"/>
      <protection/>
    </xf>
    <xf numFmtId="0" fontId="4" fillId="4" borderId="10" xfId="0" applyFont="1" applyFill="1" applyBorder="1" applyAlignment="1" applyProtection="1">
      <alignment horizontal="center" vertical="center"/>
      <protection locked="0"/>
    </xf>
    <xf numFmtId="1" fontId="4" fillId="4" borderId="0" xfId="0" applyNumberFormat="1" applyFont="1" applyFill="1" applyBorder="1" applyAlignment="1" applyProtection="1">
      <alignment horizontal="right" vertical="center"/>
      <protection/>
    </xf>
    <xf numFmtId="0" fontId="5" fillId="4" borderId="0" xfId="380" applyFont="1" applyFill="1" applyAlignment="1" applyProtection="1">
      <alignment horizontal="centerContinuous" vertical="center"/>
      <protection/>
    </xf>
    <xf numFmtId="0" fontId="4" fillId="4" borderId="16" xfId="0" applyFont="1" applyFill="1" applyBorder="1" applyAlignment="1" applyProtection="1">
      <alignment horizontal="fill" vertical="center"/>
      <protection/>
    </xf>
    <xf numFmtId="0" fontId="4" fillId="4" borderId="17" xfId="0" applyFont="1" applyFill="1" applyBorder="1" applyAlignment="1" applyProtection="1">
      <alignment horizontal="center" vertical="center"/>
      <protection/>
    </xf>
    <xf numFmtId="0" fontId="4" fillId="4" borderId="21" xfId="0" applyFont="1" applyFill="1" applyBorder="1" applyAlignment="1" applyProtection="1">
      <alignment horizontal="centerContinuous" vertical="center"/>
      <protection/>
    </xf>
    <xf numFmtId="0" fontId="4" fillId="4" borderId="15" xfId="0" applyFont="1" applyFill="1" applyBorder="1" applyAlignment="1" applyProtection="1">
      <alignment horizontal="centerContinuous" vertical="center"/>
      <protection/>
    </xf>
    <xf numFmtId="0" fontId="4" fillId="4" borderId="20" xfId="0" applyFont="1" applyFill="1" applyBorder="1" applyAlignment="1" applyProtection="1">
      <alignment horizontal="center" vertical="center"/>
      <protection/>
    </xf>
    <xf numFmtId="1" fontId="4" fillId="4" borderId="13" xfId="0" applyNumberFormat="1" applyFont="1" applyFill="1" applyBorder="1" applyAlignment="1" applyProtection="1">
      <alignment horizontal="center" vertical="center"/>
      <protection/>
    </xf>
    <xf numFmtId="0" fontId="4" fillId="4" borderId="10" xfId="0" applyFont="1" applyFill="1" applyBorder="1" applyAlignment="1" applyProtection="1">
      <alignment horizontal="left" vertical="center"/>
      <protection/>
    </xf>
    <xf numFmtId="0" fontId="4" fillId="4" borderId="12" xfId="0" applyFont="1" applyFill="1" applyBorder="1" applyAlignment="1" applyProtection="1">
      <alignment horizontal="center" vertical="center"/>
      <protection/>
    </xf>
    <xf numFmtId="2" fontId="4" fillId="4" borderId="10" xfId="0" applyNumberFormat="1" applyFont="1" applyFill="1" applyBorder="1" applyAlignment="1" applyProtection="1">
      <alignment vertical="center"/>
      <protection/>
    </xf>
    <xf numFmtId="3" fontId="4" fillId="4" borderId="10" xfId="0" applyNumberFormat="1" applyFont="1" applyFill="1" applyBorder="1" applyAlignment="1" applyProtection="1">
      <alignment vertical="center"/>
      <protection/>
    </xf>
    <xf numFmtId="0" fontId="4" fillId="22" borderId="10" xfId="0" applyFont="1" applyFill="1" applyBorder="1" applyAlignment="1" applyProtection="1">
      <alignment horizontal="center" vertical="center"/>
      <protection locked="0"/>
    </xf>
    <xf numFmtId="2" fontId="4" fillId="22" borderId="10" xfId="0" applyNumberFormat="1" applyFont="1" applyFill="1" applyBorder="1" applyAlignment="1" applyProtection="1">
      <alignment horizontal="center" vertical="center"/>
      <protection locked="0"/>
    </xf>
    <xf numFmtId="3" fontId="4" fillId="22" borderId="10" xfId="0" applyNumberFormat="1" applyFont="1" applyFill="1" applyBorder="1" applyAlignment="1" applyProtection="1">
      <alignment horizontal="center" vertical="center"/>
      <protection locked="0"/>
    </xf>
    <xf numFmtId="37" fontId="4" fillId="22" borderId="10" xfId="0" applyNumberFormat="1" applyFont="1" applyFill="1" applyBorder="1" applyAlignment="1" applyProtection="1">
      <alignment horizontal="center" vertical="center"/>
      <protection locked="0"/>
    </xf>
    <xf numFmtId="173" fontId="4" fillId="22" borderId="10" xfId="0" applyNumberFormat="1" applyFont="1" applyFill="1" applyBorder="1" applyAlignment="1" applyProtection="1">
      <alignment horizontal="center" vertical="center"/>
      <protection locked="0"/>
    </xf>
    <xf numFmtId="0" fontId="5" fillId="4" borderId="10" xfId="0" applyFont="1" applyFill="1" applyBorder="1" applyAlignment="1" applyProtection="1">
      <alignment horizontal="center" vertical="center"/>
      <protection/>
    </xf>
    <xf numFmtId="172" fontId="5" fillId="4" borderId="10" xfId="0" applyNumberFormat="1" applyFont="1" applyFill="1" applyBorder="1" applyAlignment="1" applyProtection="1">
      <alignment horizontal="center" vertical="center"/>
      <protection/>
    </xf>
    <xf numFmtId="2" fontId="5" fillId="4" borderId="10" xfId="0" applyNumberFormat="1" applyFont="1" applyFill="1" applyBorder="1" applyAlignment="1" applyProtection="1">
      <alignment horizontal="center" vertical="center"/>
      <protection/>
    </xf>
    <xf numFmtId="3" fontId="5" fillId="4" borderId="10" xfId="0" applyNumberFormat="1" applyFont="1" applyFill="1" applyBorder="1" applyAlignment="1" applyProtection="1">
      <alignment horizontal="center" vertical="center"/>
      <protection/>
    </xf>
    <xf numFmtId="37" fontId="5" fillId="9" borderId="10" xfId="0" applyNumberFormat="1" applyFont="1" applyFill="1" applyBorder="1" applyAlignment="1" applyProtection="1">
      <alignment horizontal="center" vertical="center"/>
      <protection/>
    </xf>
    <xf numFmtId="173" fontId="5" fillId="4" borderId="10" xfId="0" applyNumberFormat="1" applyFont="1" applyFill="1" applyBorder="1" applyAlignment="1" applyProtection="1">
      <alignment horizontal="center" vertical="center"/>
      <protection/>
    </xf>
    <xf numFmtId="172" fontId="4" fillId="4" borderId="10" xfId="0" applyNumberFormat="1" applyFont="1" applyFill="1" applyBorder="1" applyAlignment="1" applyProtection="1">
      <alignment horizontal="center" vertical="center"/>
      <protection/>
    </xf>
    <xf numFmtId="2" fontId="4" fillId="4" borderId="10" xfId="0" applyNumberFormat="1" applyFont="1" applyFill="1" applyBorder="1" applyAlignment="1" applyProtection="1">
      <alignment horizontal="center" vertical="center"/>
      <protection/>
    </xf>
    <xf numFmtId="3" fontId="4" fillId="4" borderId="10" xfId="0" applyNumberFormat="1" applyFont="1" applyFill="1" applyBorder="1" applyAlignment="1" applyProtection="1">
      <alignment horizontal="center" vertical="center"/>
      <protection/>
    </xf>
    <xf numFmtId="173" fontId="4" fillId="4" borderId="10" xfId="0" applyNumberFormat="1" applyFont="1" applyFill="1" applyBorder="1" applyAlignment="1" applyProtection="1">
      <alignment horizontal="center" vertical="center"/>
      <protection/>
    </xf>
    <xf numFmtId="1" fontId="5" fillId="4" borderId="10" xfId="0" applyNumberFormat="1" applyFont="1" applyFill="1" applyBorder="1" applyAlignment="1" applyProtection="1">
      <alignment horizontal="center" vertical="center"/>
      <protection/>
    </xf>
    <xf numFmtId="3" fontId="5" fillId="9" borderId="10" xfId="0" applyNumberFormat="1" applyFont="1" applyFill="1" applyBorder="1" applyAlignment="1" applyProtection="1">
      <alignment horizontal="center" vertical="center"/>
      <protection/>
    </xf>
    <xf numFmtId="1" fontId="4" fillId="4" borderId="10" xfId="0" applyNumberFormat="1" applyFont="1" applyFill="1" applyBorder="1" applyAlignment="1" applyProtection="1">
      <alignment horizontal="center" vertical="center"/>
      <protection/>
    </xf>
    <xf numFmtId="37" fontId="4" fillId="0" borderId="0" xfId="0" applyNumberFormat="1" applyFont="1" applyAlignment="1" applyProtection="1">
      <alignment vertical="center"/>
      <protection locked="0"/>
    </xf>
    <xf numFmtId="0" fontId="4" fillId="0" borderId="0" xfId="0" applyFont="1" applyAlignment="1" applyProtection="1">
      <alignment horizontal="left" vertical="center"/>
      <protection locked="0"/>
    </xf>
    <xf numFmtId="0" fontId="4" fillId="4" borderId="0" xfId="0" applyNumberFormat="1" applyFont="1" applyFill="1" applyAlignment="1" applyProtection="1">
      <alignment horizontal="right" vertical="center"/>
      <protection/>
    </xf>
    <xf numFmtId="0" fontId="4" fillId="4" borderId="0" xfId="0" applyFont="1" applyFill="1" applyAlignment="1" applyProtection="1">
      <alignment horizontal="right" vertical="center"/>
      <protection/>
    </xf>
    <xf numFmtId="0" fontId="4" fillId="4" borderId="28" xfId="0" applyFont="1" applyFill="1" applyBorder="1" applyAlignment="1" applyProtection="1">
      <alignment vertical="center"/>
      <protection/>
    </xf>
    <xf numFmtId="0" fontId="4" fillId="4" borderId="17" xfId="0" applyFont="1" applyFill="1" applyBorder="1" applyAlignment="1" applyProtection="1">
      <alignment vertical="center"/>
      <protection/>
    </xf>
    <xf numFmtId="0" fontId="4" fillId="4" borderId="13" xfId="0" applyFont="1" applyFill="1" applyBorder="1" applyAlignment="1" applyProtection="1">
      <alignment horizontal="left" vertical="center"/>
      <protection/>
    </xf>
    <xf numFmtId="0" fontId="8" fillId="4" borderId="12" xfId="0" applyFont="1" applyFill="1" applyBorder="1" applyAlignment="1" applyProtection="1">
      <alignment horizontal="center" vertical="center"/>
      <protection/>
    </xf>
    <xf numFmtId="14" fontId="4" fillId="4" borderId="12" xfId="0" applyNumberFormat="1" applyFont="1" applyFill="1" applyBorder="1" applyAlignment="1" applyProtection="1" quotePrefix="1">
      <alignment horizontal="center" vertical="center"/>
      <protection/>
    </xf>
    <xf numFmtId="1" fontId="4" fillId="22" borderId="10" xfId="0" applyNumberFormat="1" applyFont="1" applyFill="1" applyBorder="1" applyAlignment="1" applyProtection="1">
      <alignment vertical="center"/>
      <protection locked="0"/>
    </xf>
    <xf numFmtId="2" fontId="4" fillId="22" borderId="10" xfId="0" applyNumberFormat="1" applyFont="1" applyFill="1" applyBorder="1" applyAlignment="1" applyProtection="1">
      <alignment vertical="center"/>
      <protection locked="0"/>
    </xf>
    <xf numFmtId="3" fontId="5" fillId="9" borderId="23" xfId="0" applyNumberFormat="1" applyFont="1" applyFill="1" applyBorder="1" applyAlignment="1" applyProtection="1">
      <alignment vertical="center"/>
      <protection/>
    </xf>
    <xf numFmtId="0" fontId="4" fillId="0" borderId="0" xfId="0" applyFont="1" applyBorder="1" applyAlignment="1">
      <alignment vertical="center"/>
    </xf>
    <xf numFmtId="0" fontId="4" fillId="16" borderId="0" xfId="379" applyFont="1" applyFill="1" applyAlignment="1" applyProtection="1">
      <alignment vertical="center"/>
      <protection/>
    </xf>
    <xf numFmtId="0" fontId="4" fillId="16" borderId="0" xfId="0" applyFont="1" applyFill="1" applyAlignment="1" applyProtection="1">
      <alignment vertical="center"/>
      <protection/>
    </xf>
    <xf numFmtId="0" fontId="4" fillId="4" borderId="0" xfId="0" applyFont="1" applyFill="1" applyAlignment="1" applyProtection="1" quotePrefix="1">
      <alignment horizontal="right" vertical="center"/>
      <protection/>
    </xf>
    <xf numFmtId="1" fontId="4" fillId="4" borderId="12" xfId="0" applyNumberFormat="1" applyFont="1" applyFill="1" applyBorder="1" applyAlignment="1" applyProtection="1">
      <alignment horizontal="center" vertical="center"/>
      <protection/>
    </xf>
    <xf numFmtId="0" fontId="4" fillId="4" borderId="11" xfId="0" applyFont="1" applyFill="1" applyBorder="1" applyAlignment="1" applyProtection="1">
      <alignment horizontal="left" vertical="center"/>
      <protection/>
    </xf>
    <xf numFmtId="0" fontId="4" fillId="4" borderId="14" xfId="0" applyFont="1" applyFill="1" applyBorder="1" applyAlignment="1" applyProtection="1">
      <alignment horizontal="left" vertical="center"/>
      <protection/>
    </xf>
    <xf numFmtId="37" fontId="4" fillId="22" borderId="11" xfId="0" applyNumberFormat="1" applyFont="1" applyFill="1" applyBorder="1" applyAlignment="1" applyProtection="1">
      <alignment vertical="center"/>
      <protection locked="0"/>
    </xf>
    <xf numFmtId="37" fontId="4" fillId="22" borderId="10" xfId="0" applyNumberFormat="1" applyFont="1" applyFill="1" applyBorder="1" applyAlignment="1" applyProtection="1">
      <alignment vertical="center"/>
      <protection locked="0"/>
    </xf>
    <xf numFmtId="0" fontId="4" fillId="22" borderId="11" xfId="0" applyFont="1" applyFill="1" applyBorder="1" applyAlignment="1" applyProtection="1">
      <alignment horizontal="left" vertical="center"/>
      <protection locked="0"/>
    </xf>
    <xf numFmtId="0" fontId="4" fillId="4" borderId="11" xfId="0" applyFont="1" applyFill="1" applyBorder="1" applyAlignment="1" applyProtection="1">
      <alignment vertical="center"/>
      <protection/>
    </xf>
    <xf numFmtId="3" fontId="22" fillId="23" borderId="15" xfId="0" applyNumberFormat="1" applyFont="1" applyFill="1" applyBorder="1" applyAlignment="1" applyProtection="1">
      <alignment horizontal="center" vertical="center"/>
      <protection/>
    </xf>
    <xf numFmtId="37" fontId="5" fillId="4" borderId="11" xfId="0" applyNumberFormat="1" applyFont="1" applyFill="1" applyBorder="1" applyAlignment="1" applyProtection="1">
      <alignment horizontal="left" vertical="center"/>
      <protection/>
    </xf>
    <xf numFmtId="37" fontId="5" fillId="9" borderId="10" xfId="0" applyNumberFormat="1" applyFont="1" applyFill="1" applyBorder="1" applyAlignment="1" applyProtection="1">
      <alignment vertical="center"/>
      <protection/>
    </xf>
    <xf numFmtId="0" fontId="5" fillId="4" borderId="0" xfId="0" applyFont="1" applyFill="1" applyAlignment="1" applyProtection="1">
      <alignment horizontal="left" vertical="center"/>
      <protection/>
    </xf>
    <xf numFmtId="0" fontId="4" fillId="4" borderId="0" xfId="0" applyFont="1" applyFill="1" applyAlignment="1" applyProtection="1">
      <alignment horizontal="fill" vertical="center"/>
      <protection/>
    </xf>
    <xf numFmtId="0" fontId="4" fillId="4" borderId="12" xfId="0" applyNumberFormat="1" applyFont="1" applyFill="1" applyBorder="1" applyAlignment="1" applyProtection="1">
      <alignment horizontal="center" vertical="center"/>
      <protection/>
    </xf>
    <xf numFmtId="37" fontId="5" fillId="4" borderId="11" xfId="0" applyNumberFormat="1" applyFont="1" applyFill="1" applyBorder="1" applyAlignment="1" applyProtection="1">
      <alignment vertical="center"/>
      <protection/>
    </xf>
    <xf numFmtId="37" fontId="4" fillId="26" borderId="10" xfId="0" applyNumberFormat="1" applyFont="1" applyFill="1" applyBorder="1" applyAlignment="1" applyProtection="1">
      <alignment vertical="center"/>
      <protection/>
    </xf>
    <xf numFmtId="37" fontId="4" fillId="22" borderId="11" xfId="0" applyNumberFormat="1" applyFont="1" applyFill="1" applyBorder="1" applyAlignment="1" applyProtection="1">
      <alignment vertical="center"/>
      <protection/>
    </xf>
    <xf numFmtId="37" fontId="4" fillId="22" borderId="10" xfId="0" applyNumberFormat="1" applyFont="1" applyFill="1" applyBorder="1" applyAlignment="1" applyProtection="1">
      <alignment vertical="center"/>
      <protection/>
    </xf>
    <xf numFmtId="0" fontId="4" fillId="22" borderId="11" xfId="0" applyFont="1" applyFill="1" applyBorder="1" applyAlignment="1" applyProtection="1">
      <alignment vertical="center"/>
      <protection locked="0"/>
    </xf>
    <xf numFmtId="37" fontId="4" fillId="9" borderId="10" xfId="0" applyNumberFormat="1" applyFont="1" applyFill="1" applyBorder="1" applyAlignment="1" applyProtection="1">
      <alignment vertical="center"/>
      <protection/>
    </xf>
    <xf numFmtId="3" fontId="4" fillId="4" borderId="0" xfId="0" applyNumberFormat="1" applyFont="1" applyFill="1" applyAlignment="1" applyProtection="1">
      <alignment horizontal="center" vertical="center"/>
      <protection/>
    </xf>
    <xf numFmtId="0" fontId="22" fillId="0" borderId="0" xfId="0" applyFont="1" applyAlignment="1">
      <alignment vertical="center"/>
    </xf>
    <xf numFmtId="0" fontId="25" fillId="4" borderId="0" xfId="0" applyFont="1" applyFill="1" applyAlignment="1" applyProtection="1">
      <alignment horizontal="center" vertical="center"/>
      <protection/>
    </xf>
    <xf numFmtId="0" fontId="4" fillId="4" borderId="0" xfId="0" applyFont="1" applyFill="1" applyAlignment="1">
      <alignment horizontal="right" vertical="center"/>
    </xf>
    <xf numFmtId="166" fontId="4" fillId="4" borderId="0" xfId="0" applyNumberFormat="1" applyFont="1" applyFill="1" applyAlignment="1" applyProtection="1">
      <alignment vertical="center"/>
      <protection/>
    </xf>
    <xf numFmtId="37" fontId="4" fillId="4" borderId="0" xfId="0" applyNumberFormat="1" applyFont="1" applyFill="1" applyAlignment="1" applyProtection="1" quotePrefix="1">
      <alignment horizontal="right" vertical="center"/>
      <protection/>
    </xf>
    <xf numFmtId="3" fontId="4" fillId="4" borderId="10" xfId="42" applyNumberFormat="1" applyFont="1" applyFill="1" applyBorder="1" applyAlignment="1" applyProtection="1">
      <alignment horizontal="right" vertical="center"/>
      <protection/>
    </xf>
    <xf numFmtId="3" fontId="4" fillId="22" borderId="14" xfId="0" applyNumberFormat="1" applyFont="1" applyFill="1" applyBorder="1" applyAlignment="1" applyProtection="1">
      <alignment vertical="center"/>
      <protection locked="0"/>
    </xf>
    <xf numFmtId="3" fontId="4" fillId="4" borderId="10" xfId="0" applyNumberFormat="1" applyFont="1" applyFill="1" applyBorder="1" applyAlignment="1" applyProtection="1">
      <alignment horizontal="fill" vertical="center"/>
      <protection/>
    </xf>
    <xf numFmtId="3" fontId="4" fillId="22" borderId="10" xfId="0" applyNumberFormat="1" applyFont="1" applyFill="1" applyBorder="1" applyAlignment="1" applyProtection="1">
      <alignment horizontal="right" vertical="center"/>
      <protection locked="0"/>
    </xf>
    <xf numFmtId="3" fontId="4" fillId="4" borderId="10" xfId="0" applyNumberFormat="1" applyFont="1" applyFill="1" applyBorder="1" applyAlignment="1" applyProtection="1">
      <alignment horizontal="right" vertical="center"/>
      <protection/>
    </xf>
    <xf numFmtId="0" fontId="4" fillId="4" borderId="11" xfId="0" applyNumberFormat="1" applyFont="1" applyFill="1" applyBorder="1" applyAlignment="1" applyProtection="1">
      <alignment horizontal="left" vertical="center"/>
      <protection/>
    </xf>
    <xf numFmtId="0" fontId="4" fillId="22" borderId="11" xfId="0" applyNumberFormat="1" applyFont="1" applyFill="1" applyBorder="1" applyAlignment="1" applyProtection="1">
      <alignment horizontal="left" vertical="center"/>
      <protection locked="0"/>
    </xf>
    <xf numFmtId="3" fontId="4" fillId="22" borderId="10" xfId="0" applyNumberFormat="1" applyFont="1" applyFill="1" applyBorder="1" applyAlignment="1" applyProtection="1">
      <alignment horizontal="right" vertical="center"/>
      <protection locked="0"/>
    </xf>
    <xf numFmtId="0" fontId="4" fillId="22" borderId="21" xfId="0" applyNumberFormat="1" applyFont="1" applyFill="1" applyBorder="1" applyAlignment="1" applyProtection="1">
      <alignment horizontal="left" vertical="center"/>
      <protection locked="0"/>
    </xf>
    <xf numFmtId="3" fontId="22" fillId="23" borderId="10" xfId="0" applyNumberFormat="1" applyFont="1" applyFill="1" applyBorder="1" applyAlignment="1" applyProtection="1">
      <alignment horizontal="center" vertical="center"/>
      <protection/>
    </xf>
    <xf numFmtId="3" fontId="5" fillId="9" borderId="12" xfId="0" applyNumberFormat="1" applyFont="1" applyFill="1" applyBorder="1" applyAlignment="1" applyProtection="1">
      <alignment horizontal="right" vertical="center"/>
      <protection/>
    </xf>
    <xf numFmtId="3" fontId="5" fillId="9" borderId="10" xfId="0" applyNumberFormat="1" applyFont="1" applyFill="1" applyBorder="1" applyAlignment="1" applyProtection="1">
      <alignment horizontal="right" vertical="center"/>
      <protection/>
    </xf>
    <xf numFmtId="3" fontId="4" fillId="9" borderId="10" xfId="0" applyNumberFormat="1" applyFont="1" applyFill="1" applyBorder="1" applyAlignment="1" applyProtection="1">
      <alignment horizontal="right" vertical="center"/>
      <protection/>
    </xf>
    <xf numFmtId="0" fontId="22" fillId="0" borderId="0" xfId="0" applyFont="1" applyAlignment="1" applyProtection="1">
      <alignment vertical="center"/>
      <protection/>
    </xf>
    <xf numFmtId="3" fontId="4" fillId="26" borderId="10" xfId="0" applyNumberFormat="1" applyFont="1" applyFill="1" applyBorder="1" applyAlignment="1" applyProtection="1">
      <alignment vertical="center"/>
      <protection/>
    </xf>
    <xf numFmtId="0" fontId="4" fillId="22" borderId="0" xfId="0" applyFont="1" applyFill="1" applyAlignment="1" applyProtection="1">
      <alignment horizontal="left" vertical="center"/>
      <protection locked="0"/>
    </xf>
    <xf numFmtId="1" fontId="4" fillId="4" borderId="17" xfId="0" applyNumberFormat="1" applyFont="1" applyFill="1" applyBorder="1" applyAlignment="1" applyProtection="1">
      <alignment horizontal="center" vertical="center"/>
      <protection/>
    </xf>
    <xf numFmtId="0" fontId="4" fillId="22" borderId="10" xfId="0" applyFont="1" applyFill="1" applyBorder="1" applyAlignment="1" applyProtection="1">
      <alignment horizontal="left" vertical="center"/>
      <protection locked="0"/>
    </xf>
    <xf numFmtId="0" fontId="4" fillId="22" borderId="10" xfId="0" applyFont="1" applyFill="1" applyBorder="1" applyAlignment="1" applyProtection="1">
      <alignment horizontal="left" vertical="center"/>
      <protection locked="0"/>
    </xf>
    <xf numFmtId="37" fontId="4" fillId="9" borderId="17" xfId="0" applyNumberFormat="1" applyFont="1" applyFill="1" applyBorder="1" applyAlignment="1" applyProtection="1">
      <alignment vertical="center"/>
      <protection/>
    </xf>
    <xf numFmtId="0" fontId="4" fillId="4" borderId="0" xfId="0" applyNumberFormat="1" applyFont="1" applyFill="1" applyAlignment="1" applyProtection="1">
      <alignment vertical="center"/>
      <protection/>
    </xf>
    <xf numFmtId="37" fontId="5" fillId="26" borderId="23" xfId="0" applyNumberFormat="1" applyFont="1" applyFill="1" applyBorder="1" applyAlignment="1" applyProtection="1">
      <alignment vertical="center"/>
      <protection/>
    </xf>
    <xf numFmtId="0" fontId="22" fillId="16" borderId="0" xfId="0" applyFont="1" applyFill="1" applyAlignment="1">
      <alignment vertical="center"/>
    </xf>
    <xf numFmtId="37" fontId="4" fillId="16" borderId="0" xfId="0" applyNumberFormat="1" applyFont="1" applyFill="1" applyAlignment="1">
      <alignment vertical="center"/>
    </xf>
    <xf numFmtId="37" fontId="4" fillId="0" borderId="0" xfId="0" applyNumberFormat="1" applyFont="1" applyAlignment="1">
      <alignment vertical="center"/>
    </xf>
    <xf numFmtId="0" fontId="4" fillId="22" borderId="11" xfId="0" applyFont="1" applyFill="1" applyBorder="1" applyAlignment="1" applyProtection="1">
      <alignment horizontal="left" vertical="center"/>
      <protection/>
    </xf>
    <xf numFmtId="0" fontId="4" fillId="22" borderId="11" xfId="0" applyFont="1" applyFill="1" applyBorder="1" applyAlignment="1">
      <alignment vertical="center"/>
    </xf>
    <xf numFmtId="37" fontId="4" fillId="4" borderId="16" xfId="0" applyNumberFormat="1" applyFont="1" applyFill="1" applyBorder="1" applyAlignment="1" applyProtection="1">
      <alignment vertical="center"/>
      <protection/>
    </xf>
    <xf numFmtId="37" fontId="4" fillId="22" borderId="11" xfId="0" applyNumberFormat="1" applyFont="1" applyFill="1" applyBorder="1" applyAlignment="1" applyProtection="1">
      <alignment vertical="center"/>
      <protection locked="0"/>
    </xf>
    <xf numFmtId="3" fontId="5" fillId="9" borderId="10" xfId="0" applyNumberFormat="1" applyFont="1" applyFill="1" applyBorder="1" applyAlignment="1" applyProtection="1">
      <alignment vertical="center"/>
      <protection/>
    </xf>
    <xf numFmtId="10" fontId="4" fillId="4" borderId="0" xfId="0" applyNumberFormat="1" applyFont="1" applyFill="1" applyAlignment="1" applyProtection="1">
      <alignment horizontal="right" vertical="center"/>
      <protection/>
    </xf>
    <xf numFmtId="3" fontId="5" fillId="4" borderId="10" xfId="0" applyNumberFormat="1" applyFont="1" applyFill="1" applyBorder="1" applyAlignment="1" applyProtection="1">
      <alignment vertical="center"/>
      <protection/>
    </xf>
    <xf numFmtId="0" fontId="5" fillId="4" borderId="0" xfId="0" applyFont="1" applyFill="1" applyAlignment="1">
      <alignment horizontal="center" vertical="center"/>
    </xf>
    <xf numFmtId="0" fontId="27" fillId="4" borderId="0" xfId="0" applyFont="1" applyFill="1" applyAlignment="1">
      <alignment horizontal="center" vertical="center"/>
    </xf>
    <xf numFmtId="0" fontId="4" fillId="4" borderId="14" xfId="0" applyFont="1" applyFill="1" applyBorder="1" applyAlignment="1">
      <alignment horizontal="center" vertical="center"/>
    </xf>
    <xf numFmtId="0" fontId="4" fillId="4" borderId="16" xfId="0" applyFont="1" applyFill="1" applyBorder="1" applyAlignment="1">
      <alignment vertical="center"/>
    </xf>
    <xf numFmtId="0" fontId="21" fillId="4" borderId="17" xfId="0" applyFont="1" applyFill="1" applyBorder="1" applyAlignment="1">
      <alignment vertical="center"/>
    </xf>
    <xf numFmtId="0" fontId="21" fillId="4" borderId="14" xfId="0" applyFont="1" applyFill="1" applyBorder="1" applyAlignment="1">
      <alignment horizontal="center" vertical="center"/>
    </xf>
    <xf numFmtId="0" fontId="21" fillId="4" borderId="15" xfId="0" applyFont="1" applyFill="1" applyBorder="1" applyAlignment="1">
      <alignment vertical="center"/>
    </xf>
    <xf numFmtId="0" fontId="21" fillId="4" borderId="10" xfId="0" applyFont="1" applyFill="1" applyBorder="1" applyAlignment="1">
      <alignment horizontal="center" vertical="center"/>
    </xf>
    <xf numFmtId="0" fontId="4" fillId="4" borderId="14" xfId="0" applyFont="1" applyFill="1" applyBorder="1" applyAlignment="1">
      <alignment vertical="center"/>
    </xf>
    <xf numFmtId="0" fontId="4" fillId="4" borderId="10" xfId="0" applyFont="1" applyFill="1" applyBorder="1" applyAlignment="1">
      <alignment horizontal="center" vertical="center"/>
    </xf>
    <xf numFmtId="0" fontId="21" fillId="4" borderId="13" xfId="0" applyFont="1" applyFill="1" applyBorder="1" applyAlignment="1">
      <alignment vertical="center"/>
    </xf>
    <xf numFmtId="3" fontId="21" fillId="22" borderId="10" xfId="0" applyNumberFormat="1" applyFont="1" applyFill="1" applyBorder="1" applyAlignment="1" applyProtection="1">
      <alignment horizontal="center" vertical="center"/>
      <protection locked="0"/>
    </xf>
    <xf numFmtId="0" fontId="21" fillId="4" borderId="16" xfId="0" applyFont="1" applyFill="1" applyBorder="1" applyAlignment="1">
      <alignment vertical="center"/>
    </xf>
    <xf numFmtId="3" fontId="21" fillId="9" borderId="10" xfId="0" applyNumberFormat="1" applyFont="1" applyFill="1" applyBorder="1" applyAlignment="1">
      <alignment horizontal="center" vertical="center"/>
    </xf>
    <xf numFmtId="0" fontId="21" fillId="4" borderId="0" xfId="0" applyFont="1" applyFill="1" applyAlignment="1">
      <alignment vertical="center"/>
    </xf>
    <xf numFmtId="3" fontId="21" fillId="4" borderId="0" xfId="0" applyNumberFormat="1" applyFont="1" applyFill="1" applyAlignment="1">
      <alignment horizontal="center" vertical="center"/>
    </xf>
    <xf numFmtId="0" fontId="21" fillId="4" borderId="0" xfId="0" applyFont="1" applyFill="1" applyAlignment="1">
      <alignment horizontal="center" vertical="center"/>
    </xf>
    <xf numFmtId="0" fontId="21" fillId="22" borderId="10" xfId="0" applyFont="1" applyFill="1" applyBorder="1" applyAlignment="1" applyProtection="1">
      <alignment vertical="center"/>
      <protection locked="0"/>
    </xf>
    <xf numFmtId="0" fontId="21" fillId="22" borderId="15" xfId="0" applyFont="1" applyFill="1" applyBorder="1" applyAlignment="1" applyProtection="1">
      <alignment vertical="center"/>
      <protection locked="0"/>
    </xf>
    <xf numFmtId="0" fontId="21" fillId="22" borderId="0" xfId="0" applyFont="1" applyFill="1" applyAlignment="1" applyProtection="1">
      <alignment vertical="center"/>
      <protection locked="0"/>
    </xf>
    <xf numFmtId="0" fontId="21" fillId="22" borderId="14" xfId="0" applyFont="1" applyFill="1" applyBorder="1" applyAlignment="1" applyProtection="1">
      <alignment vertical="center"/>
      <protection locked="0"/>
    </xf>
    <xf numFmtId="0" fontId="21" fillId="22" borderId="12" xfId="0" applyFont="1" applyFill="1" applyBorder="1" applyAlignment="1" applyProtection="1">
      <alignment vertical="center"/>
      <protection locked="0"/>
    </xf>
    <xf numFmtId="0" fontId="21" fillId="22" borderId="22" xfId="0" applyFont="1" applyFill="1" applyBorder="1" applyAlignment="1" applyProtection="1">
      <alignment vertical="center"/>
      <protection locked="0"/>
    </xf>
    <xf numFmtId="3" fontId="23" fillId="26" borderId="10" xfId="0" applyNumberFormat="1" applyFont="1" applyFill="1" applyBorder="1" applyAlignment="1">
      <alignment horizontal="center" vertical="center"/>
    </xf>
    <xf numFmtId="3" fontId="28" fillId="26" borderId="0" xfId="0" applyNumberFormat="1" applyFont="1" applyFill="1" applyAlignment="1">
      <alignment horizontal="center" vertical="center"/>
    </xf>
    <xf numFmtId="3" fontId="4" fillId="0" borderId="0" xfId="0" applyNumberFormat="1" applyFont="1" applyAlignment="1">
      <alignment vertical="center"/>
    </xf>
    <xf numFmtId="0" fontId="4" fillId="0" borderId="0" xfId="0" applyFont="1" applyAlignment="1">
      <alignment horizontal="centerContinuous" vertical="center"/>
    </xf>
    <xf numFmtId="0" fontId="4" fillId="4" borderId="17" xfId="0" applyFont="1" applyFill="1" applyBorder="1" applyAlignment="1" applyProtection="1">
      <alignment horizontal="centerContinuous" vertical="center"/>
      <protection/>
    </xf>
    <xf numFmtId="1" fontId="4" fillId="4" borderId="11" xfId="0" applyNumberFormat="1" applyFont="1" applyFill="1" applyBorder="1" applyAlignment="1" applyProtection="1">
      <alignment horizontal="centerContinuous" vertical="center"/>
      <protection/>
    </xf>
    <xf numFmtId="0" fontId="4" fillId="4" borderId="12" xfId="0" applyFont="1" applyFill="1" applyBorder="1" applyAlignment="1">
      <alignment horizontal="center" vertical="center"/>
    </xf>
    <xf numFmtId="164" fontId="4" fillId="4" borderId="10" xfId="0" applyNumberFormat="1" applyFont="1" applyFill="1" applyBorder="1" applyAlignment="1" applyProtection="1">
      <alignment vertical="center"/>
      <protection/>
    </xf>
    <xf numFmtId="37" fontId="4" fillId="4" borderId="10" xfId="0" applyNumberFormat="1" applyFont="1" applyFill="1" applyBorder="1" applyAlignment="1" applyProtection="1">
      <alignment vertical="center"/>
      <protection locked="0"/>
    </xf>
    <xf numFmtId="1" fontId="4" fillId="4" borderId="0" xfId="0" applyNumberFormat="1" applyFont="1" applyFill="1" applyAlignment="1" applyProtection="1">
      <alignment vertical="center"/>
      <protection/>
    </xf>
    <xf numFmtId="1" fontId="6" fillId="4" borderId="0" xfId="0" applyNumberFormat="1" applyFont="1" applyFill="1" applyAlignment="1" applyProtection="1">
      <alignment horizontal="center" vertical="center"/>
      <protection/>
    </xf>
    <xf numFmtId="37" fontId="4" fillId="0" borderId="0" xfId="0" applyNumberFormat="1" applyFont="1" applyBorder="1" applyAlignment="1" applyProtection="1">
      <alignment horizontal="fill" vertical="center"/>
      <protection locked="0"/>
    </xf>
    <xf numFmtId="0" fontId="4" fillId="0" borderId="0" xfId="0" applyFont="1" applyAlignment="1" applyProtection="1">
      <alignment horizontal="centerContinuous" vertical="center"/>
      <protection locked="0"/>
    </xf>
    <xf numFmtId="0" fontId="4" fillId="0" borderId="0" xfId="0" applyFont="1" applyFill="1" applyAlignment="1" applyProtection="1">
      <alignment vertical="center"/>
      <protection locked="0"/>
    </xf>
    <xf numFmtId="0" fontId="4" fillId="4" borderId="17" xfId="0" applyFont="1" applyFill="1" applyBorder="1" applyAlignment="1" applyProtection="1">
      <alignment horizontal="center" vertical="center" wrapText="1"/>
      <protection/>
    </xf>
    <xf numFmtId="0" fontId="4" fillId="4" borderId="15" xfId="0" applyFont="1" applyFill="1" applyBorder="1" applyAlignment="1" applyProtection="1">
      <alignment horizontal="center" vertical="center" wrapText="1"/>
      <protection/>
    </xf>
    <xf numFmtId="0" fontId="4" fillId="4" borderId="10" xfId="0" applyFont="1" applyFill="1" applyBorder="1" applyAlignment="1" applyProtection="1">
      <alignment horizontal="center" vertical="center" wrapText="1"/>
      <protection/>
    </xf>
    <xf numFmtId="3" fontId="4" fillId="22" borderId="10" xfId="0" applyNumberFormat="1" applyFont="1" applyFill="1" applyBorder="1" applyAlignment="1" applyProtection="1">
      <alignment horizontal="center" vertical="center"/>
      <protection locked="0"/>
    </xf>
    <xf numFmtId="184" fontId="4" fillId="4" borderId="10" xfId="0" applyNumberFormat="1" applyFont="1" applyFill="1" applyBorder="1" applyAlignment="1" applyProtection="1">
      <alignment horizontal="center" vertical="center"/>
      <protection/>
    </xf>
    <xf numFmtId="3" fontId="4" fillId="22" borderId="17" xfId="0" applyNumberFormat="1" applyFont="1" applyFill="1" applyBorder="1" applyAlignment="1" applyProtection="1">
      <alignment horizontal="center" vertical="center"/>
      <protection locked="0"/>
    </xf>
    <xf numFmtId="3" fontId="4" fillId="4" borderId="23" xfId="0" applyNumberFormat="1" applyFont="1" applyFill="1" applyBorder="1" applyAlignment="1" applyProtection="1">
      <alignment horizontal="center" vertical="center"/>
      <protection/>
    </xf>
    <xf numFmtId="184" fontId="4" fillId="4" borderId="23" xfId="0" applyNumberFormat="1" applyFont="1" applyFill="1" applyBorder="1" applyAlignment="1" applyProtection="1">
      <alignment horizontal="center" vertical="center"/>
      <protection/>
    </xf>
    <xf numFmtId="184" fontId="4" fillId="4" borderId="16" xfId="0" applyNumberFormat="1" applyFont="1" applyFill="1" applyBorder="1" applyAlignment="1" applyProtection="1">
      <alignment horizontal="center" vertical="center"/>
      <protection/>
    </xf>
    <xf numFmtId="184" fontId="4" fillId="4" borderId="0" xfId="0" applyNumberFormat="1" applyFont="1" applyFill="1" applyBorder="1" applyAlignment="1" applyProtection="1">
      <alignment horizontal="center" vertical="center"/>
      <protection/>
    </xf>
    <xf numFmtId="3" fontId="4" fillId="4" borderId="16" xfId="0" applyNumberFormat="1" applyFont="1" applyFill="1" applyBorder="1" applyAlignment="1">
      <alignment horizontal="center" vertical="center"/>
    </xf>
    <xf numFmtId="184" fontId="4" fillId="4" borderId="16" xfId="0" applyNumberFormat="1" applyFont="1" applyFill="1" applyBorder="1" applyAlignment="1">
      <alignment horizontal="center" vertical="center"/>
    </xf>
    <xf numFmtId="0" fontId="6" fillId="0" borderId="0" xfId="0" applyFont="1" applyAlignment="1">
      <alignment vertical="center"/>
    </xf>
    <xf numFmtId="0" fontId="5" fillId="0" borderId="0" xfId="0" applyFont="1" applyAlignment="1">
      <alignment vertical="center" wrapText="1"/>
    </xf>
    <xf numFmtId="0" fontId="33" fillId="0" borderId="0" xfId="0" applyFont="1" applyAlignment="1">
      <alignment vertical="center"/>
    </xf>
    <xf numFmtId="0" fontId="4" fillId="0" borderId="0" xfId="147" applyFont="1" applyAlignment="1">
      <alignment vertical="center" wrapText="1"/>
      <protection/>
    </xf>
    <xf numFmtId="0" fontId="33" fillId="0" borderId="0" xfId="0" applyFont="1" applyAlignment="1">
      <alignment/>
    </xf>
    <xf numFmtId="0" fontId="36" fillId="0" borderId="0" xfId="0" applyFont="1" applyAlignment="1">
      <alignment horizontal="center"/>
    </xf>
    <xf numFmtId="0" fontId="5" fillId="0" borderId="0" xfId="0" applyFont="1" applyAlignment="1">
      <alignment wrapText="1"/>
    </xf>
    <xf numFmtId="0" fontId="32" fillId="0" borderId="0" xfId="0" applyFont="1" applyAlignment="1">
      <alignment wrapText="1"/>
    </xf>
    <xf numFmtId="0" fontId="4" fillId="0" borderId="0" xfId="353" applyFont="1" applyAlignment="1">
      <alignment vertical="center"/>
      <protection/>
    </xf>
    <xf numFmtId="0" fontId="0" fillId="0" borderId="0" xfId="0" applyAlignment="1">
      <alignment/>
    </xf>
    <xf numFmtId="0" fontId="11" fillId="0" borderId="0" xfId="367">
      <alignment/>
      <protection/>
    </xf>
    <xf numFmtId="0" fontId="4" fillId="0" borderId="0" xfId="367" applyFont="1" applyAlignment="1">
      <alignment horizontal="left" vertical="center"/>
      <protection/>
    </xf>
    <xf numFmtId="0" fontId="11" fillId="0" borderId="0" xfId="367" applyNumberFormat="1" applyFont="1" applyAlignment="1">
      <alignment horizontal="left" vertical="center"/>
      <protection/>
    </xf>
    <xf numFmtId="49" fontId="4" fillId="22" borderId="0" xfId="367" applyNumberFormat="1" applyFont="1" applyFill="1" applyAlignment="1" applyProtection="1">
      <alignment horizontal="left" vertical="center"/>
      <protection locked="0"/>
    </xf>
    <xf numFmtId="185" fontId="21" fillId="0" borderId="0" xfId="367" applyNumberFormat="1" applyFont="1" applyAlignment="1">
      <alignment horizontal="left" vertical="center"/>
      <protection/>
    </xf>
    <xf numFmtId="49" fontId="4" fillId="0" borderId="0" xfId="367" applyNumberFormat="1" applyFont="1" applyAlignment="1">
      <alignment horizontal="left" vertical="center"/>
      <protection/>
    </xf>
    <xf numFmtId="0" fontId="21" fillId="0" borderId="0" xfId="367" applyFont="1" applyAlignment="1">
      <alignment horizontal="left" vertical="center"/>
      <protection/>
    </xf>
    <xf numFmtId="186" fontId="21" fillId="0" borderId="0" xfId="367" applyNumberFormat="1" applyFont="1" applyAlignment="1">
      <alignment horizontal="left" vertical="center"/>
      <protection/>
    </xf>
    <xf numFmtId="0" fontId="4" fillId="22" borderId="0" xfId="367" applyFont="1" applyFill="1" applyAlignment="1" applyProtection="1">
      <alignment horizontal="left" vertical="center"/>
      <protection locked="0"/>
    </xf>
    <xf numFmtId="0" fontId="11" fillId="22" borderId="0" xfId="367" applyFill="1" applyAlignment="1" applyProtection="1">
      <alignment horizontal="left" vertical="center"/>
      <protection locked="0"/>
    </xf>
    <xf numFmtId="0" fontId="1" fillId="0" borderId="0" xfId="0" applyFont="1" applyAlignment="1">
      <alignment/>
    </xf>
    <xf numFmtId="0" fontId="0" fillId="0" borderId="0" xfId="0" applyFont="1" applyAlignment="1">
      <alignment/>
    </xf>
    <xf numFmtId="0" fontId="29" fillId="0" borderId="0" xfId="0" applyFont="1" applyAlignment="1">
      <alignment horizontal="center"/>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1" fillId="0" borderId="0" xfId="0" applyFont="1" applyAlignment="1">
      <alignment horizontal="center"/>
    </xf>
    <xf numFmtId="0" fontId="6" fillId="0" borderId="0" xfId="121" applyFont="1" applyAlignment="1">
      <alignment vertical="center"/>
      <protection/>
    </xf>
    <xf numFmtId="0" fontId="0" fillId="0" borderId="0" xfId="203" applyFont="1">
      <alignment/>
      <protection/>
    </xf>
    <xf numFmtId="0" fontId="0" fillId="0" borderId="0" xfId="203" applyFont="1" applyFill="1">
      <alignment/>
      <protection/>
    </xf>
    <xf numFmtId="0" fontId="4" fillId="0" borderId="0" xfId="126" applyFont="1" applyAlignment="1">
      <alignment vertical="center"/>
      <protection/>
    </xf>
    <xf numFmtId="0" fontId="4" fillId="0" borderId="0" xfId="376" applyFont="1" applyAlignment="1">
      <alignment vertical="center" wrapText="1"/>
      <protection/>
    </xf>
    <xf numFmtId="0" fontId="4" fillId="0" borderId="0" xfId="70" applyFont="1" applyAlignment="1">
      <alignment vertical="center" wrapText="1"/>
      <protection/>
    </xf>
    <xf numFmtId="0" fontId="4" fillId="0" borderId="0" xfId="78" applyFont="1" applyAlignment="1">
      <alignment vertical="center" wrapText="1"/>
      <protection/>
    </xf>
    <xf numFmtId="0" fontId="4" fillId="4" borderId="0" xfId="0" applyFont="1" applyFill="1" applyAlignment="1">
      <alignment/>
    </xf>
    <xf numFmtId="0" fontId="6" fillId="0" borderId="0" xfId="120" applyFont="1" applyAlignment="1">
      <alignment vertical="center"/>
      <protection/>
    </xf>
    <xf numFmtId="0" fontId="41" fillId="4" borderId="0" xfId="0" applyFont="1" applyFill="1" applyAlignment="1" applyProtection="1">
      <alignment horizontal="right" vertical="center"/>
      <protection locked="0"/>
    </xf>
    <xf numFmtId="0" fontId="8" fillId="4" borderId="0" xfId="0" applyFont="1" applyFill="1" applyAlignment="1" applyProtection="1">
      <alignment horizontal="left" vertical="center"/>
      <protection locked="0"/>
    </xf>
    <xf numFmtId="14" fontId="4" fillId="22" borderId="10" xfId="0" applyNumberFormat="1" applyFont="1" applyFill="1" applyBorder="1" applyAlignment="1" applyProtection="1">
      <alignment horizontal="center" vertical="center"/>
      <protection locked="0"/>
    </xf>
    <xf numFmtId="3" fontId="21" fillId="9" borderId="12" xfId="0" applyNumberFormat="1" applyFont="1" applyFill="1" applyBorder="1" applyAlignment="1">
      <alignment horizontal="center" vertical="center"/>
    </xf>
    <xf numFmtId="3" fontId="4" fillId="9" borderId="11" xfId="0" applyNumberFormat="1" applyFont="1" applyFill="1" applyBorder="1" applyAlignment="1" applyProtection="1">
      <alignment vertical="center"/>
      <protection/>
    </xf>
    <xf numFmtId="3" fontId="22" fillId="23" borderId="11" xfId="0" applyNumberFormat="1" applyFont="1" applyFill="1" applyBorder="1" applyAlignment="1" applyProtection="1">
      <alignment horizontal="center" vertical="center"/>
      <protection/>
    </xf>
    <xf numFmtId="3" fontId="4" fillId="4" borderId="11" xfId="0" applyNumberFormat="1" applyFont="1" applyFill="1" applyBorder="1" applyAlignment="1" applyProtection="1">
      <alignment vertical="center"/>
      <protection/>
    </xf>
    <xf numFmtId="0" fontId="4" fillId="4" borderId="13" xfId="0" applyNumberFormat="1" applyFont="1" applyFill="1" applyBorder="1" applyAlignment="1" applyProtection="1">
      <alignment horizontal="center" vertical="center"/>
      <protection/>
    </xf>
    <xf numFmtId="3" fontId="4" fillId="4" borderId="11" xfId="42" applyNumberFormat="1" applyFont="1" applyFill="1" applyBorder="1" applyAlignment="1" applyProtection="1">
      <alignment horizontal="right" vertical="center"/>
      <protection/>
    </xf>
    <xf numFmtId="3" fontId="5" fillId="9" borderId="11" xfId="0" applyNumberFormat="1" applyFont="1" applyFill="1" applyBorder="1" applyAlignment="1" applyProtection="1">
      <alignment vertical="center"/>
      <protection/>
    </xf>
    <xf numFmtId="37" fontId="4" fillId="4" borderId="0" xfId="0" applyNumberFormat="1" applyFont="1" applyFill="1" applyBorder="1" applyAlignment="1" applyProtection="1">
      <alignment horizontal="fill" vertical="center"/>
      <protection/>
    </xf>
    <xf numFmtId="37" fontId="4" fillId="4" borderId="0" xfId="0" applyNumberFormat="1" applyFont="1" applyFill="1" applyAlignment="1" applyProtection="1">
      <alignment horizontal="left" vertical="center"/>
      <protection locked="0"/>
    </xf>
    <xf numFmtId="0" fontId="4" fillId="4" borderId="0" xfId="0" applyNumberFormat="1" applyFont="1" applyFill="1" applyAlignment="1" applyProtection="1">
      <alignment horizontal="center" vertical="center"/>
      <protection locked="0"/>
    </xf>
    <xf numFmtId="37" fontId="4" fillId="4" borderId="24" xfId="0" applyNumberFormat="1" applyFont="1" applyFill="1" applyBorder="1" applyAlignment="1" applyProtection="1">
      <alignment horizontal="center" vertical="center"/>
      <protection/>
    </xf>
    <xf numFmtId="0" fontId="4" fillId="4" borderId="0" xfId="0" applyNumberFormat="1" applyFont="1" applyFill="1" applyAlignment="1" applyProtection="1">
      <alignment horizontal="center" vertical="center"/>
      <protection/>
    </xf>
    <xf numFmtId="37" fontId="4" fillId="4" borderId="20" xfId="81" applyNumberFormat="1" applyFont="1" applyFill="1" applyBorder="1" applyAlignment="1" applyProtection="1">
      <alignment horizontal="center" vertical="center"/>
      <protection/>
    </xf>
    <xf numFmtId="37" fontId="4" fillId="4" borderId="12" xfId="81" applyNumberFormat="1" applyFont="1" applyFill="1" applyBorder="1" applyAlignment="1" applyProtection="1">
      <alignment horizontal="center" vertical="center"/>
      <protection/>
    </xf>
    <xf numFmtId="3" fontId="4" fillId="26" borderId="11" xfId="0" applyNumberFormat="1" applyFont="1" applyFill="1" applyBorder="1" applyAlignment="1" applyProtection="1">
      <alignment vertical="center"/>
      <protection/>
    </xf>
    <xf numFmtId="184" fontId="4" fillId="22" borderId="10" xfId="0" applyNumberFormat="1" applyFont="1" applyFill="1" applyBorder="1" applyAlignment="1" applyProtection="1">
      <alignment vertical="center"/>
      <protection locked="0"/>
    </xf>
    <xf numFmtId="184" fontId="4" fillId="4" borderId="0" xfId="0" applyNumberFormat="1" applyFont="1" applyFill="1" applyAlignment="1">
      <alignment horizontal="center" vertical="center"/>
    </xf>
    <xf numFmtId="14" fontId="4" fillId="22" borderId="10" xfId="0" applyNumberFormat="1" applyFont="1" applyFill="1" applyBorder="1" applyAlignment="1" applyProtection="1">
      <alignment vertical="center"/>
      <protection locked="0"/>
    </xf>
    <xf numFmtId="184" fontId="4" fillId="22" borderId="10" xfId="0" applyNumberFormat="1" applyFont="1" applyFill="1" applyBorder="1" applyAlignment="1" applyProtection="1">
      <alignment vertical="center"/>
      <protection locked="0"/>
    </xf>
    <xf numFmtId="0" fontId="14" fillId="0" borderId="0" xfId="0" applyFont="1" applyAlignment="1">
      <alignment wrapText="1"/>
    </xf>
    <xf numFmtId="3" fontId="22" fillId="23" borderId="17" xfId="0" applyNumberFormat="1" applyFont="1" applyFill="1" applyBorder="1" applyAlignment="1" applyProtection="1">
      <alignment horizontal="center" vertical="center"/>
      <protection/>
    </xf>
    <xf numFmtId="3" fontId="22" fillId="23" borderId="17" xfId="0" applyNumberFormat="1" applyFont="1" applyFill="1" applyBorder="1" applyAlignment="1" applyProtection="1">
      <alignment horizontal="center"/>
      <protection/>
    </xf>
    <xf numFmtId="0" fontId="25" fillId="4" borderId="10" xfId="0" applyFont="1" applyFill="1" applyBorder="1" applyAlignment="1" applyProtection="1">
      <alignment horizontal="center"/>
      <protection/>
    </xf>
    <xf numFmtId="4" fontId="4" fillId="22" borderId="11" xfId="0" applyNumberFormat="1" applyFont="1" applyFill="1" applyBorder="1" applyAlignment="1" applyProtection="1">
      <alignment vertical="center"/>
      <protection locked="0"/>
    </xf>
    <xf numFmtId="49" fontId="4" fillId="22" borderId="10" xfId="0" applyNumberFormat="1" applyFont="1" applyFill="1" applyBorder="1" applyAlignment="1" applyProtection="1">
      <alignment vertical="center"/>
      <protection locked="0"/>
    </xf>
    <xf numFmtId="0" fontId="4" fillId="4" borderId="0" xfId="84" applyFont="1" applyFill="1" applyAlignment="1" applyProtection="1">
      <alignment horizontal="right" vertical="center"/>
      <protection/>
    </xf>
    <xf numFmtId="37" fontId="5" fillId="4" borderId="0" xfId="0" applyNumberFormat="1" applyFont="1" applyFill="1" applyAlignment="1" applyProtection="1">
      <alignment/>
      <protection/>
    </xf>
    <xf numFmtId="0" fontId="5" fillId="4" borderId="19" xfId="0" applyFont="1" applyFill="1" applyBorder="1" applyAlignment="1" applyProtection="1">
      <alignment vertical="center"/>
      <protection/>
    </xf>
    <xf numFmtId="37" fontId="5" fillId="4" borderId="0" xfId="0" applyNumberFormat="1" applyFont="1" applyFill="1" applyAlignment="1" applyProtection="1">
      <alignment vertical="center"/>
      <protection/>
    </xf>
    <xf numFmtId="0" fontId="25" fillId="4" borderId="10" xfId="0" applyFont="1" applyFill="1" applyBorder="1" applyAlignment="1" applyProtection="1">
      <alignment horizontal="center" vertical="center"/>
      <protection/>
    </xf>
    <xf numFmtId="3" fontId="4" fillId="4" borderId="10" xfId="0" applyNumberFormat="1" applyFont="1" applyFill="1" applyBorder="1" applyAlignment="1" applyProtection="1">
      <alignment horizontal="center"/>
      <protection/>
    </xf>
    <xf numFmtId="0" fontId="5" fillId="4" borderId="16" xfId="0" applyFont="1" applyFill="1" applyBorder="1" applyAlignment="1" applyProtection="1">
      <alignment vertical="center"/>
      <protection/>
    </xf>
    <xf numFmtId="3" fontId="4" fillId="9" borderId="11" xfId="0" applyNumberFormat="1" applyFont="1" applyFill="1" applyBorder="1" applyAlignment="1" applyProtection="1">
      <alignment horizontal="right" vertical="center"/>
      <protection/>
    </xf>
    <xf numFmtId="3" fontId="5" fillId="9" borderId="11" xfId="0" applyNumberFormat="1" applyFont="1" applyFill="1" applyBorder="1" applyAlignment="1" applyProtection="1">
      <alignment horizontal="right" vertical="center"/>
      <protection/>
    </xf>
    <xf numFmtId="3" fontId="4" fillId="22" borderId="11" xfId="0" applyNumberFormat="1" applyFont="1" applyFill="1" applyBorder="1" applyAlignment="1" applyProtection="1">
      <alignment horizontal="right" vertical="center"/>
      <protection locked="0"/>
    </xf>
    <xf numFmtId="3" fontId="4" fillId="4" borderId="11" xfId="0" applyNumberFormat="1" applyFont="1" applyFill="1" applyBorder="1" applyAlignment="1" applyProtection="1">
      <alignment horizontal="right" vertical="center"/>
      <protection/>
    </xf>
    <xf numFmtId="3" fontId="4" fillId="22" borderId="11" xfId="0" applyNumberFormat="1" applyFont="1" applyFill="1" applyBorder="1" applyAlignment="1" applyProtection="1">
      <alignment vertical="center"/>
      <protection locked="0"/>
    </xf>
    <xf numFmtId="3" fontId="5" fillId="4" borderId="11" xfId="0" applyNumberFormat="1" applyFont="1" applyFill="1" applyBorder="1" applyAlignment="1" applyProtection="1">
      <alignment vertical="center"/>
      <protection/>
    </xf>
    <xf numFmtId="37" fontId="5" fillId="4" borderId="0" xfId="0" applyNumberFormat="1" applyFont="1" applyFill="1" applyBorder="1" applyAlignment="1" applyProtection="1">
      <alignment vertical="center"/>
      <protection/>
    </xf>
    <xf numFmtId="3" fontId="25" fillId="4" borderId="10" xfId="0" applyNumberFormat="1" applyFont="1" applyFill="1" applyBorder="1" applyAlignment="1" applyProtection="1">
      <alignment horizontal="center" vertical="center"/>
      <protection/>
    </xf>
    <xf numFmtId="0" fontId="5" fillId="4" borderId="0" xfId="72" applyFont="1" applyFill="1" applyAlignment="1" applyProtection="1">
      <alignment vertical="center"/>
      <protection/>
    </xf>
    <xf numFmtId="0" fontId="50" fillId="0" borderId="0" xfId="0" applyFont="1" applyAlignment="1" applyProtection="1">
      <alignment vertical="center"/>
      <protection/>
    </xf>
    <xf numFmtId="37" fontId="4" fillId="4" borderId="16" xfId="0" applyNumberFormat="1" applyFont="1" applyFill="1" applyBorder="1" applyAlignment="1" applyProtection="1">
      <alignment horizontal="center" vertical="center"/>
      <protection locked="0"/>
    </xf>
    <xf numFmtId="0" fontId="26" fillId="4" borderId="0" xfId="0" applyFont="1" applyFill="1" applyAlignment="1" applyProtection="1">
      <alignment horizontal="center" vertical="center"/>
      <protection/>
    </xf>
    <xf numFmtId="0" fontId="47" fillId="0" borderId="0" xfId="0" applyFont="1" applyAlignment="1">
      <alignment/>
    </xf>
    <xf numFmtId="0" fontId="47" fillId="0" borderId="0" xfId="0" applyFont="1" applyBorder="1" applyAlignment="1">
      <alignment/>
    </xf>
    <xf numFmtId="0" fontId="47" fillId="0" borderId="0" xfId="0" applyFont="1" applyBorder="1" applyAlignment="1">
      <alignment horizontal="centerContinuous"/>
    </xf>
    <xf numFmtId="37" fontId="4" fillId="4" borderId="17" xfId="72" applyNumberFormat="1" applyFont="1" applyFill="1" applyBorder="1" applyAlignment="1" applyProtection="1">
      <alignment horizontal="center"/>
      <protection/>
    </xf>
    <xf numFmtId="37" fontId="4" fillId="4" borderId="12" xfId="72" applyNumberFormat="1" applyFont="1" applyFill="1" applyBorder="1" applyAlignment="1" applyProtection="1">
      <alignment horizontal="center"/>
      <protection/>
    </xf>
    <xf numFmtId="0" fontId="50" fillId="0" borderId="0" xfId="0" applyFont="1" applyAlignment="1">
      <alignment vertical="center"/>
    </xf>
    <xf numFmtId="0" fontId="0" fillId="0" borderId="0" xfId="72">
      <alignment/>
      <protection/>
    </xf>
    <xf numFmtId="0" fontId="4" fillId="4" borderId="0" xfId="72" applyFont="1" applyFill="1" applyBorder="1" applyAlignment="1" applyProtection="1">
      <alignment vertical="center"/>
      <protection/>
    </xf>
    <xf numFmtId="189" fontId="17" fillId="22" borderId="10" xfId="72" applyNumberFormat="1" applyFont="1" applyFill="1" applyBorder="1" applyAlignment="1" applyProtection="1">
      <alignment horizontal="center" vertical="center"/>
      <protection locked="0"/>
    </xf>
    <xf numFmtId="0" fontId="4" fillId="4" borderId="28" xfId="72" applyFont="1" applyFill="1" applyBorder="1" applyAlignment="1" applyProtection="1">
      <alignment vertical="center"/>
      <protection/>
    </xf>
    <xf numFmtId="0" fontId="4" fillId="4" borderId="22" xfId="72" applyFont="1" applyFill="1" applyBorder="1" applyAlignment="1" applyProtection="1">
      <alignment vertical="center"/>
      <protection/>
    </xf>
    <xf numFmtId="189" fontId="17" fillId="4" borderId="28" xfId="72" applyNumberFormat="1" applyFont="1" applyFill="1" applyBorder="1" applyAlignment="1" applyProtection="1">
      <alignment horizontal="center" vertical="center"/>
      <protection/>
    </xf>
    <xf numFmtId="0" fontId="17" fillId="4" borderId="0" xfId="72" applyFont="1" applyFill="1" applyBorder="1" applyAlignment="1" applyProtection="1">
      <alignment horizontal="left" vertical="center"/>
      <protection/>
    </xf>
    <xf numFmtId="0" fontId="17" fillId="4" borderId="22" xfId="72" applyFont="1" applyFill="1" applyBorder="1" applyAlignment="1" applyProtection="1">
      <alignment vertical="center"/>
      <protection/>
    </xf>
    <xf numFmtId="0" fontId="17" fillId="4" borderId="0" xfId="72" applyFont="1" applyFill="1" applyBorder="1" applyAlignment="1" applyProtection="1">
      <alignment vertical="center"/>
      <protection/>
    </xf>
    <xf numFmtId="189" fontId="17" fillId="4" borderId="13" xfId="72" applyNumberFormat="1" applyFont="1" applyFill="1" applyBorder="1" applyAlignment="1" applyProtection="1">
      <alignment horizontal="center" vertical="center"/>
      <protection/>
    </xf>
    <xf numFmtId="189" fontId="17" fillId="4" borderId="28" xfId="72" applyNumberFormat="1" applyFont="1" applyFill="1" applyBorder="1" applyAlignment="1" applyProtection="1">
      <alignment vertical="center"/>
      <protection/>
    </xf>
    <xf numFmtId="0" fontId="45" fillId="26" borderId="16" xfId="72" applyFont="1" applyFill="1" applyBorder="1" applyAlignment="1" applyProtection="1">
      <alignment vertical="center"/>
      <protection/>
    </xf>
    <xf numFmtId="0" fontId="17" fillId="26" borderId="19" xfId="72" applyFont="1" applyFill="1" applyBorder="1" applyAlignment="1" applyProtection="1">
      <alignment vertical="center"/>
      <protection/>
    </xf>
    <xf numFmtId="0" fontId="4" fillId="26" borderId="19" xfId="72" applyFont="1" applyFill="1" applyBorder="1" applyAlignment="1" applyProtection="1">
      <alignment vertical="center"/>
      <protection/>
    </xf>
    <xf numFmtId="0" fontId="17" fillId="4" borderId="28" xfId="72" applyFont="1" applyFill="1" applyBorder="1" applyAlignment="1" applyProtection="1">
      <alignment horizontal="left" vertical="center"/>
      <protection/>
    </xf>
    <xf numFmtId="189" fontId="45" fillId="26" borderId="13" xfId="72" applyNumberFormat="1" applyFont="1" applyFill="1" applyBorder="1" applyAlignment="1" applyProtection="1">
      <alignment horizontal="center" vertical="center"/>
      <protection/>
    </xf>
    <xf numFmtId="0" fontId="4" fillId="0" borderId="0" xfId="72" applyFont="1" applyFill="1" applyBorder="1" applyAlignment="1" applyProtection="1">
      <alignment vertical="center"/>
      <protection/>
    </xf>
    <xf numFmtId="0" fontId="43" fillId="4" borderId="18" xfId="72" applyFont="1" applyFill="1" applyBorder="1" applyAlignment="1" applyProtection="1">
      <alignment horizontal="center" vertical="center"/>
      <protection/>
    </xf>
    <xf numFmtId="0" fontId="0" fillId="4" borderId="14" xfId="72" applyFill="1" applyBorder="1" applyAlignment="1" applyProtection="1">
      <alignment vertical="center"/>
      <protection/>
    </xf>
    <xf numFmtId="0" fontId="17" fillId="4" borderId="18" xfId="72" applyFont="1" applyFill="1" applyBorder="1" applyAlignment="1" applyProtection="1">
      <alignment horizontal="left" vertical="center"/>
      <protection/>
    </xf>
    <xf numFmtId="184" fontId="43" fillId="4" borderId="11" xfId="72" applyNumberFormat="1" applyFont="1" applyFill="1" applyBorder="1" applyAlignment="1" applyProtection="1">
      <alignment horizontal="center" vertical="center"/>
      <protection/>
    </xf>
    <xf numFmtId="0" fontId="17" fillId="4" borderId="28" xfId="72" applyFont="1" applyFill="1" applyBorder="1" applyAlignment="1" applyProtection="1">
      <alignment vertical="center"/>
      <protection/>
    </xf>
    <xf numFmtId="189" fontId="17" fillId="4" borderId="22" xfId="72" applyNumberFormat="1" applyFont="1" applyFill="1" applyBorder="1" applyAlignment="1" applyProtection="1">
      <alignment horizontal="center" vertical="center"/>
      <protection/>
    </xf>
    <xf numFmtId="0" fontId="45" fillId="26" borderId="13" xfId="72" applyFont="1" applyFill="1" applyBorder="1" applyAlignment="1" applyProtection="1">
      <alignment vertical="center"/>
      <protection/>
    </xf>
    <xf numFmtId="0" fontId="4" fillId="26" borderId="16" xfId="72" applyFont="1" applyFill="1" applyBorder="1" applyAlignment="1" applyProtection="1">
      <alignment vertical="center"/>
      <protection/>
    </xf>
    <xf numFmtId="0" fontId="17" fillId="26" borderId="16" xfId="72" applyFont="1" applyFill="1" applyBorder="1" applyAlignment="1" applyProtection="1">
      <alignment vertical="center"/>
      <protection/>
    </xf>
    <xf numFmtId="0" fontId="45" fillId="4" borderId="19" xfId="72" applyFont="1" applyFill="1" applyBorder="1" applyAlignment="1" applyProtection="1">
      <alignment horizontal="center" vertical="center"/>
      <protection/>
    </xf>
    <xf numFmtId="189" fontId="45" fillId="26" borderId="19" xfId="72" applyNumberFormat="1" applyFont="1" applyFill="1" applyBorder="1" applyAlignment="1" applyProtection="1">
      <alignment horizontal="center" vertical="center"/>
      <protection/>
    </xf>
    <xf numFmtId="189" fontId="21" fillId="4" borderId="28" xfId="72" applyNumberFormat="1" applyFont="1" applyFill="1" applyBorder="1" applyAlignment="1" applyProtection="1">
      <alignment horizontal="center" vertical="center"/>
      <protection/>
    </xf>
    <xf numFmtId="0" fontId="21" fillId="4" borderId="0" xfId="72" applyFont="1" applyFill="1" applyBorder="1" applyAlignment="1" applyProtection="1">
      <alignment horizontal="left" vertical="center"/>
      <protection/>
    </xf>
    <xf numFmtId="0" fontId="21" fillId="4" borderId="0" xfId="72" applyFont="1" applyFill="1" applyBorder="1" applyAlignment="1" applyProtection="1">
      <alignment vertical="center"/>
      <protection/>
    </xf>
    <xf numFmtId="189" fontId="21" fillId="4" borderId="13" xfId="72" applyNumberFormat="1" applyFont="1" applyFill="1" applyBorder="1" applyAlignment="1" applyProtection="1">
      <alignment horizontal="center" vertical="center"/>
      <protection/>
    </xf>
    <xf numFmtId="189" fontId="21" fillId="4" borderId="28" xfId="72" applyNumberFormat="1" applyFont="1" applyFill="1" applyBorder="1" applyAlignment="1" applyProtection="1">
      <alignment vertical="center"/>
      <protection/>
    </xf>
    <xf numFmtId="189" fontId="21" fillId="26" borderId="13" xfId="72" applyNumberFormat="1" applyFont="1" applyFill="1" applyBorder="1" applyAlignment="1" applyProtection="1">
      <alignment horizontal="center" vertical="center"/>
      <protection/>
    </xf>
    <xf numFmtId="0" fontId="21" fillId="26" borderId="16" xfId="72" applyFont="1" applyFill="1" applyBorder="1" applyAlignment="1" applyProtection="1">
      <alignment vertical="center"/>
      <protection/>
    </xf>
    <xf numFmtId="0" fontId="4" fillId="0" borderId="0" xfId="72" applyFont="1">
      <alignment/>
      <protection/>
    </xf>
    <xf numFmtId="0" fontId="48" fillId="0" borderId="0" xfId="72" applyFont="1" applyAlignment="1">
      <alignment horizontal="center"/>
      <protection/>
    </xf>
    <xf numFmtId="0" fontId="4" fillId="0" borderId="0" xfId="72" applyFont="1" applyAlignment="1">
      <alignment wrapText="1"/>
      <protection/>
    </xf>
    <xf numFmtId="0" fontId="49" fillId="0" borderId="0" xfId="63" applyFont="1" applyAlignment="1" applyProtection="1">
      <alignment/>
      <protection/>
    </xf>
    <xf numFmtId="0" fontId="4" fillId="0" borderId="0" xfId="84" applyFont="1" applyAlignment="1">
      <alignment vertical="center" wrapText="1"/>
      <protection/>
    </xf>
    <xf numFmtId="0" fontId="4" fillId="0" borderId="0" xfId="84" applyFont="1" applyAlignment="1">
      <alignment vertical="center"/>
      <protection/>
    </xf>
    <xf numFmtId="1" fontId="8" fillId="4" borderId="17" xfId="0" applyNumberFormat="1" applyFont="1" applyFill="1" applyBorder="1" applyAlignment="1" applyProtection="1">
      <alignment horizontal="center" vertical="center"/>
      <protection/>
    </xf>
    <xf numFmtId="37" fontId="8" fillId="4" borderId="17" xfId="0" applyNumberFormat="1" applyFont="1" applyFill="1" applyBorder="1" applyAlignment="1" applyProtection="1">
      <alignment horizontal="center" vertical="center"/>
      <protection/>
    </xf>
    <xf numFmtId="1" fontId="8" fillId="4" borderId="17" xfId="0" applyNumberFormat="1" applyFont="1" applyFill="1" applyBorder="1" applyAlignment="1" applyProtection="1">
      <alignment horizontal="center"/>
      <protection/>
    </xf>
    <xf numFmtId="37" fontId="8" fillId="4" borderId="17" xfId="0" applyNumberFormat="1" applyFont="1" applyFill="1" applyBorder="1" applyAlignment="1" applyProtection="1">
      <alignment horizontal="center"/>
      <protection/>
    </xf>
    <xf numFmtId="1" fontId="8" fillId="4" borderId="21" xfId="0" applyNumberFormat="1" applyFont="1" applyFill="1" applyBorder="1" applyAlignment="1" applyProtection="1">
      <alignment horizontal="center" vertical="center"/>
      <protection/>
    </xf>
    <xf numFmtId="37" fontId="8" fillId="4" borderId="21" xfId="0" applyNumberFormat="1" applyFont="1" applyFill="1" applyBorder="1" applyAlignment="1" applyProtection="1">
      <alignment horizontal="center" vertical="center"/>
      <protection/>
    </xf>
    <xf numFmtId="0" fontId="17" fillId="4" borderId="28" xfId="81" applyFont="1" applyFill="1" applyBorder="1" applyProtection="1">
      <alignment/>
      <protection/>
    </xf>
    <xf numFmtId="0" fontId="4" fillId="4" borderId="0" xfId="81" applyFont="1" applyFill="1" applyBorder="1" applyProtection="1">
      <alignment/>
      <protection/>
    </xf>
    <xf numFmtId="189" fontId="4" fillId="4" borderId="22" xfId="81" applyNumberFormat="1" applyFont="1" applyFill="1" applyBorder="1" applyAlignment="1" applyProtection="1">
      <alignment horizontal="center"/>
      <protection/>
    </xf>
    <xf numFmtId="0" fontId="4" fillId="4" borderId="13" xfId="81" applyFont="1" applyFill="1" applyBorder="1" applyProtection="1">
      <alignment/>
      <protection/>
    </xf>
    <xf numFmtId="0" fontId="4" fillId="4" borderId="16" xfId="81" applyFont="1" applyFill="1" applyBorder="1" applyProtection="1">
      <alignment/>
      <protection/>
    </xf>
    <xf numFmtId="189" fontId="4" fillId="26" borderId="19" xfId="81" applyNumberFormat="1" applyFont="1" applyFill="1" applyBorder="1" applyAlignment="1" applyProtection="1">
      <alignment horizontal="center"/>
      <protection/>
    </xf>
    <xf numFmtId="0" fontId="4" fillId="0" borderId="0" xfId="81" applyFont="1" applyFill="1" applyBorder="1" applyProtection="1">
      <alignment/>
      <protection/>
    </xf>
    <xf numFmtId="0" fontId="4" fillId="4" borderId="28" xfId="81" applyFont="1" applyFill="1" applyBorder="1" applyProtection="1">
      <alignment/>
      <protection/>
    </xf>
    <xf numFmtId="0" fontId="4" fillId="4" borderId="22" xfId="81" applyFont="1" applyFill="1" applyBorder="1" applyProtection="1">
      <alignment/>
      <protection/>
    </xf>
    <xf numFmtId="183" fontId="4" fillId="4" borderId="22" xfId="81" applyNumberFormat="1" applyFont="1" applyFill="1" applyBorder="1" applyAlignment="1" applyProtection="1">
      <alignment horizontal="center"/>
      <protection/>
    </xf>
    <xf numFmtId="0" fontId="4" fillId="26" borderId="28" xfId="81" applyFont="1" applyFill="1" applyBorder="1" applyProtection="1">
      <alignment/>
      <protection/>
    </xf>
    <xf numFmtId="0" fontId="4" fillId="26" borderId="0" xfId="81" applyFont="1" applyFill="1" applyBorder="1" applyProtection="1">
      <alignment/>
      <protection/>
    </xf>
    <xf numFmtId="0" fontId="4" fillId="26" borderId="13" xfId="81" applyFont="1" applyFill="1" applyBorder="1" applyProtection="1">
      <alignment/>
      <protection/>
    </xf>
    <xf numFmtId="0" fontId="4" fillId="26" borderId="16" xfId="81" applyFont="1" applyFill="1" applyBorder="1" applyProtection="1">
      <alignment/>
      <protection/>
    </xf>
    <xf numFmtId="0" fontId="4" fillId="0" borderId="0" xfId="81" applyFont="1" applyProtection="1">
      <alignment/>
      <protection/>
    </xf>
    <xf numFmtId="189" fontId="4" fillId="4" borderId="19" xfId="81" applyNumberFormat="1" applyFont="1" applyFill="1" applyBorder="1" applyAlignment="1" applyProtection="1">
      <alignment horizontal="center"/>
      <protection/>
    </xf>
    <xf numFmtId="184" fontId="4" fillId="22" borderId="22" xfId="81" applyNumberFormat="1" applyFont="1" applyFill="1" applyBorder="1" applyAlignment="1" applyProtection="1">
      <alignment horizontal="center"/>
      <protection locked="0"/>
    </xf>
    <xf numFmtId="191" fontId="4" fillId="4" borderId="10" xfId="0" applyNumberFormat="1" applyFont="1" applyFill="1" applyBorder="1" applyAlignment="1" applyProtection="1">
      <alignment vertical="center"/>
      <protection/>
    </xf>
    <xf numFmtId="0" fontId="46" fillId="4" borderId="0" xfId="0" applyFont="1" applyFill="1" applyAlignment="1">
      <alignment horizontal="center"/>
    </xf>
    <xf numFmtId="0" fontId="46" fillId="4" borderId="0" xfId="0" applyFont="1" applyFill="1" applyAlignment="1">
      <alignment/>
    </xf>
    <xf numFmtId="0" fontId="46" fillId="4" borderId="29" xfId="0" applyFont="1" applyFill="1" applyBorder="1" applyAlignment="1">
      <alignment/>
    </xf>
    <xf numFmtId="0" fontId="56" fillId="0" borderId="0" xfId="0" applyFont="1" applyBorder="1" applyAlignment="1">
      <alignment/>
    </xf>
    <xf numFmtId="0" fontId="46" fillId="0" borderId="0" xfId="0" applyFont="1" applyBorder="1" applyAlignment="1">
      <alignment horizontal="centerContinuous"/>
    </xf>
    <xf numFmtId="0" fontId="46" fillId="4" borderId="0" xfId="0" applyFont="1" applyFill="1" applyAlignment="1">
      <alignment horizontal="center" wrapText="1"/>
    </xf>
    <xf numFmtId="0" fontId="46" fillId="4" borderId="29" xfId="0" applyFont="1" applyFill="1" applyBorder="1" applyAlignment="1">
      <alignment/>
    </xf>
    <xf numFmtId="0" fontId="46" fillId="4" borderId="30" xfId="0" applyFont="1" applyFill="1" applyBorder="1" applyAlignment="1">
      <alignment horizontal="centerContinuous" vertical="center"/>
    </xf>
    <xf numFmtId="189" fontId="46" fillId="4" borderId="0" xfId="0" applyNumberFormat="1" applyFont="1" applyFill="1" applyBorder="1" applyAlignment="1">
      <alignment horizontal="centerContinuous" vertical="center"/>
    </xf>
    <xf numFmtId="0" fontId="46" fillId="4" borderId="0" xfId="0" applyFont="1" applyFill="1" applyBorder="1" applyAlignment="1">
      <alignment horizontal="centerContinuous" vertical="center"/>
    </xf>
    <xf numFmtId="184" fontId="46" fillId="4" borderId="0" xfId="0" applyNumberFormat="1" applyFont="1" applyFill="1" applyBorder="1" applyAlignment="1" applyProtection="1">
      <alignment horizontal="centerContinuous" vertical="center"/>
      <protection locked="0"/>
    </xf>
    <xf numFmtId="190" fontId="46" fillId="4" borderId="0" xfId="0" applyNumberFormat="1" applyFont="1" applyFill="1" applyBorder="1" applyAlignment="1">
      <alignment horizontal="centerContinuous" vertical="center"/>
    </xf>
    <xf numFmtId="0" fontId="46" fillId="4" borderId="31" xfId="0" applyFont="1" applyFill="1" applyBorder="1" applyAlignment="1">
      <alignment horizontal="centerContinuous" vertical="center"/>
    </xf>
    <xf numFmtId="0" fontId="46" fillId="4" borderId="30" xfId="0" applyFont="1" applyFill="1" applyBorder="1" applyAlignment="1">
      <alignment horizontal="centerContinuous"/>
    </xf>
    <xf numFmtId="189" fontId="46" fillId="4" borderId="0" xfId="0" applyNumberFormat="1" applyFont="1" applyFill="1" applyBorder="1" applyAlignment="1">
      <alignment horizontal="centerContinuous"/>
    </xf>
    <xf numFmtId="0" fontId="46" fillId="4" borderId="0" xfId="0" applyFont="1" applyFill="1" applyBorder="1" applyAlignment="1">
      <alignment horizontal="centerContinuous"/>
    </xf>
    <xf numFmtId="184" fontId="46" fillId="4" borderId="0" xfId="0" applyNumberFormat="1" applyFont="1" applyFill="1" applyBorder="1" applyAlignment="1" applyProtection="1">
      <alignment horizontal="centerContinuous"/>
      <protection locked="0"/>
    </xf>
    <xf numFmtId="190" fontId="46" fillId="4" borderId="0" xfId="0" applyNumberFormat="1" applyFont="1" applyFill="1" applyBorder="1" applyAlignment="1">
      <alignment horizontal="centerContinuous"/>
    </xf>
    <xf numFmtId="0" fontId="46" fillId="4" borderId="31" xfId="0" applyFont="1" applyFill="1" applyBorder="1" applyAlignment="1">
      <alignment horizontal="centerContinuous"/>
    </xf>
    <xf numFmtId="0" fontId="47" fillId="24" borderId="0" xfId="0" applyFont="1" applyFill="1" applyAlignment="1">
      <alignment/>
    </xf>
    <xf numFmtId="0" fontId="47" fillId="4" borderId="0" xfId="0" applyFont="1" applyFill="1" applyAlignment="1">
      <alignment/>
    </xf>
    <xf numFmtId="0" fontId="46" fillId="24" borderId="0" xfId="0" applyFont="1" applyFill="1" applyAlignment="1">
      <alignment horizontal="center" wrapText="1"/>
    </xf>
    <xf numFmtId="0" fontId="47" fillId="4" borderId="0" xfId="0" applyFont="1" applyFill="1" applyAlignment="1">
      <alignment horizontal="center"/>
    </xf>
    <xf numFmtId="189" fontId="47" fillId="4" borderId="0" xfId="0" applyNumberFormat="1" applyFont="1" applyFill="1" applyAlignment="1">
      <alignment horizontal="center"/>
    </xf>
    <xf numFmtId="0" fontId="47" fillId="4" borderId="32" xfId="0" applyFont="1" applyFill="1" applyBorder="1" applyAlignment="1">
      <alignment/>
    </xf>
    <xf numFmtId="0" fontId="47" fillId="4" borderId="33" xfId="0" applyFont="1" applyFill="1" applyBorder="1" applyAlignment="1">
      <alignment/>
    </xf>
    <xf numFmtId="189" fontId="47" fillId="4" borderId="34" xfId="0" applyNumberFormat="1" applyFont="1" applyFill="1" applyBorder="1" applyAlignment="1">
      <alignment/>
    </xf>
    <xf numFmtId="0" fontId="47" fillId="4" borderId="0" xfId="0" applyFont="1" applyFill="1" applyBorder="1" applyAlignment="1">
      <alignment/>
    </xf>
    <xf numFmtId="0" fontId="47" fillId="4" borderId="0" xfId="0" applyFont="1" applyFill="1" applyBorder="1" applyAlignment="1">
      <alignment horizontal="center"/>
    </xf>
    <xf numFmtId="189" fontId="47" fillId="4" borderId="16" xfId="0" applyNumberFormat="1" applyFont="1" applyFill="1" applyBorder="1" applyAlignment="1">
      <alignment horizontal="center"/>
    </xf>
    <xf numFmtId="0" fontId="47" fillId="4" borderId="31" xfId="0" applyFont="1" applyFill="1" applyBorder="1" applyAlignment="1">
      <alignment/>
    </xf>
    <xf numFmtId="0" fontId="47" fillId="4" borderId="35" xfId="0" applyFont="1" applyFill="1" applyBorder="1" applyAlignment="1">
      <alignment/>
    </xf>
    <xf numFmtId="0" fontId="47" fillId="4" borderId="36" xfId="0" applyFont="1" applyFill="1" applyBorder="1" applyAlignment="1">
      <alignment/>
    </xf>
    <xf numFmtId="0" fontId="47" fillId="4" borderId="37" xfId="0" applyFont="1" applyFill="1" applyBorder="1" applyAlignment="1">
      <alignment/>
    </xf>
    <xf numFmtId="189" fontId="47" fillId="4" borderId="0" xfId="0" applyNumberFormat="1" applyFont="1" applyFill="1" applyAlignment="1">
      <alignment/>
    </xf>
    <xf numFmtId="0" fontId="47" fillId="4" borderId="29" xfId="0" applyFont="1" applyFill="1" applyBorder="1" applyAlignment="1">
      <alignment/>
    </xf>
    <xf numFmtId="0" fontId="47" fillId="4" borderId="30" xfId="0" applyFont="1" applyFill="1" applyBorder="1" applyAlignment="1">
      <alignment/>
    </xf>
    <xf numFmtId="189" fontId="47" fillId="22" borderId="34" xfId="0" applyNumberFormat="1" applyFont="1" applyFill="1" applyBorder="1" applyAlignment="1" applyProtection="1">
      <alignment horizontal="center"/>
      <protection locked="0"/>
    </xf>
    <xf numFmtId="184" fontId="47" fillId="4" borderId="0" xfId="0" applyNumberFormat="1" applyFont="1" applyFill="1" applyBorder="1" applyAlignment="1">
      <alignment horizontal="center"/>
    </xf>
    <xf numFmtId="189" fontId="47" fillId="0" borderId="0" xfId="0" applyNumberFormat="1" applyFont="1" applyAlignment="1">
      <alignment/>
    </xf>
    <xf numFmtId="0" fontId="47" fillId="24" borderId="0" xfId="0" applyFont="1" applyFill="1" applyBorder="1" applyAlignment="1">
      <alignment/>
    </xf>
    <xf numFmtId="189" fontId="47" fillId="4" borderId="0" xfId="0" applyNumberFormat="1" applyFont="1" applyFill="1" applyBorder="1" applyAlignment="1">
      <alignment horizontal="center"/>
    </xf>
    <xf numFmtId="0" fontId="47" fillId="4" borderId="38" xfId="0" applyFont="1" applyFill="1" applyBorder="1" applyAlignment="1">
      <alignment/>
    </xf>
    <xf numFmtId="0" fontId="47" fillId="4" borderId="24" xfId="0" applyFont="1" applyFill="1" applyBorder="1" applyAlignment="1">
      <alignment/>
    </xf>
    <xf numFmtId="0" fontId="47" fillId="4" borderId="24" xfId="0" applyFont="1" applyFill="1" applyBorder="1" applyAlignment="1">
      <alignment horizontal="center"/>
    </xf>
    <xf numFmtId="0" fontId="47" fillId="4" borderId="39" xfId="0" applyFont="1" applyFill="1" applyBorder="1" applyAlignment="1">
      <alignment/>
    </xf>
    <xf numFmtId="190" fontId="47" fillId="4" borderId="0" xfId="0" applyNumberFormat="1" applyFont="1" applyFill="1" applyBorder="1" applyAlignment="1">
      <alignment horizontal="center"/>
    </xf>
    <xf numFmtId="5" fontId="47" fillId="4" borderId="36" xfId="0" applyNumberFormat="1" applyFont="1" applyFill="1" applyBorder="1" applyAlignment="1">
      <alignment horizontal="center"/>
    </xf>
    <xf numFmtId="0" fontId="47" fillId="4" borderId="36" xfId="0" applyFont="1" applyFill="1" applyBorder="1" applyAlignment="1">
      <alignment horizontal="center"/>
    </xf>
    <xf numFmtId="184" fontId="47" fillId="4" borderId="36" xfId="0" applyNumberFormat="1" applyFont="1" applyFill="1" applyBorder="1" applyAlignment="1">
      <alignment horizontal="center"/>
    </xf>
    <xf numFmtId="190" fontId="47" fillId="4" borderId="36" xfId="0" applyNumberFormat="1" applyFont="1" applyFill="1" applyBorder="1" applyAlignment="1">
      <alignment horizontal="center"/>
    </xf>
    <xf numFmtId="0" fontId="47" fillId="4" borderId="0" xfId="0" applyFont="1" applyFill="1" applyAlignment="1">
      <alignment horizontal="center" wrapText="1"/>
    </xf>
    <xf numFmtId="0" fontId="47" fillId="4" borderId="32" xfId="0" applyFont="1" applyFill="1" applyBorder="1" applyAlignment="1">
      <alignment/>
    </xf>
    <xf numFmtId="0" fontId="47" fillId="4" borderId="33" xfId="0" applyFont="1" applyFill="1" applyBorder="1" applyAlignment="1">
      <alignment/>
    </xf>
    <xf numFmtId="0" fontId="47" fillId="4" borderId="30" xfId="0" applyFont="1" applyFill="1" applyBorder="1" applyAlignment="1">
      <alignment/>
    </xf>
    <xf numFmtId="0" fontId="47" fillId="4" borderId="0" xfId="0" applyFont="1" applyFill="1" applyBorder="1" applyAlignment="1">
      <alignment/>
    </xf>
    <xf numFmtId="0" fontId="47" fillId="4" borderId="31" xfId="0" applyFont="1" applyFill="1" applyBorder="1" applyAlignment="1">
      <alignment/>
    </xf>
    <xf numFmtId="0" fontId="47" fillId="4" borderId="38" xfId="0" applyFont="1" applyFill="1" applyBorder="1" applyAlignment="1">
      <alignment/>
    </xf>
    <xf numFmtId="0" fontId="47" fillId="4" borderId="24" xfId="0" applyFont="1" applyFill="1" applyBorder="1" applyAlignment="1">
      <alignment/>
    </xf>
    <xf numFmtId="0" fontId="47" fillId="4" borderId="39" xfId="0" applyFont="1" applyFill="1" applyBorder="1" applyAlignment="1">
      <alignment/>
    </xf>
    <xf numFmtId="183" fontId="47" fillId="4" borderId="0" xfId="0" applyNumberFormat="1" applyFont="1" applyFill="1" applyBorder="1" applyAlignment="1">
      <alignment horizontal="center"/>
    </xf>
    <xf numFmtId="0" fontId="47" fillId="4" borderId="35" xfId="0" applyFont="1" applyFill="1" applyBorder="1" applyAlignment="1">
      <alignment/>
    </xf>
    <xf numFmtId="0" fontId="47" fillId="4" borderId="37" xfId="0" applyFont="1" applyFill="1" applyBorder="1" applyAlignment="1">
      <alignment/>
    </xf>
    <xf numFmtId="5" fontId="47" fillId="4" borderId="0" xfId="0" applyNumberFormat="1" applyFont="1" applyFill="1" applyBorder="1" applyAlignment="1">
      <alignment horizontal="center"/>
    </xf>
    <xf numFmtId="0" fontId="47" fillId="24" borderId="0" xfId="0" applyFont="1" applyFill="1" applyAlignment="1">
      <alignment/>
    </xf>
    <xf numFmtId="184" fontId="47" fillId="22" borderId="16" xfId="0" applyNumberFormat="1" applyFont="1" applyFill="1" applyBorder="1" applyAlignment="1" applyProtection="1">
      <alignment horizontal="center"/>
      <protection locked="0"/>
    </xf>
    <xf numFmtId="190" fontId="47" fillId="4" borderId="0" xfId="0" applyNumberFormat="1" applyFont="1" applyFill="1" applyBorder="1" applyAlignment="1">
      <alignment/>
    </xf>
    <xf numFmtId="189" fontId="47" fillId="4" borderId="36" xfId="0" applyNumberFormat="1" applyFont="1" applyFill="1" applyBorder="1" applyAlignment="1">
      <alignment horizontal="center"/>
    </xf>
    <xf numFmtId="184" fontId="47" fillId="4" borderId="36" xfId="0" applyNumberFormat="1" applyFont="1" applyFill="1" applyBorder="1" applyAlignment="1" applyProtection="1">
      <alignment horizontal="center"/>
      <protection locked="0"/>
    </xf>
    <xf numFmtId="190" fontId="47" fillId="4" borderId="36" xfId="0" applyNumberFormat="1" applyFont="1" applyFill="1" applyBorder="1" applyAlignment="1">
      <alignment/>
    </xf>
    <xf numFmtId="184" fontId="47" fillId="4" borderId="0" xfId="0" applyNumberFormat="1" applyFont="1" applyFill="1" applyBorder="1" applyAlignment="1" applyProtection="1">
      <alignment horizontal="center"/>
      <protection locked="0"/>
    </xf>
    <xf numFmtId="189" fontId="47" fillId="4" borderId="32" xfId="0" applyNumberFormat="1" applyFont="1" applyFill="1" applyBorder="1" applyAlignment="1">
      <alignment horizontal="center"/>
    </xf>
    <xf numFmtId="0" fontId="47" fillId="4" borderId="32" xfId="0" applyFont="1" applyFill="1" applyBorder="1" applyAlignment="1">
      <alignment horizontal="center"/>
    </xf>
    <xf numFmtId="184" fontId="47" fillId="4" borderId="32" xfId="0" applyNumberFormat="1" applyFont="1" applyFill="1" applyBorder="1" applyAlignment="1" applyProtection="1">
      <alignment horizontal="center"/>
      <protection locked="0"/>
    </xf>
    <xf numFmtId="190" fontId="47" fillId="4" borderId="32" xfId="0" applyNumberFormat="1" applyFont="1" applyFill="1" applyBorder="1" applyAlignment="1">
      <alignment/>
    </xf>
    <xf numFmtId="189" fontId="47" fillId="22" borderId="16" xfId="0" applyNumberFormat="1" applyFont="1" applyFill="1" applyBorder="1" applyAlignment="1" applyProtection="1">
      <alignment horizontal="center"/>
      <protection locked="0"/>
    </xf>
    <xf numFmtId="189" fontId="47" fillId="4" borderId="0" xfId="0" applyNumberFormat="1" applyFont="1" applyFill="1" applyBorder="1" applyAlignment="1" applyProtection="1">
      <alignment horizontal="center"/>
      <protection locked="0"/>
    </xf>
    <xf numFmtId="0" fontId="47" fillId="18" borderId="0" xfId="0" applyFont="1" applyFill="1" applyAlignment="1">
      <alignment/>
    </xf>
    <xf numFmtId="189" fontId="4" fillId="26" borderId="22" xfId="81" applyNumberFormat="1" applyFont="1" applyFill="1" applyBorder="1" applyAlignment="1" applyProtection="1">
      <alignment horizontal="center"/>
      <protection/>
    </xf>
    <xf numFmtId="37" fontId="4" fillId="9" borderId="12" xfId="0" applyNumberFormat="1" applyFont="1" applyFill="1" applyBorder="1" applyAlignment="1" applyProtection="1">
      <alignment vertical="center"/>
      <protection/>
    </xf>
    <xf numFmtId="164" fontId="4" fillId="9" borderId="12" xfId="0" applyNumberFormat="1" applyFont="1" applyFill="1" applyBorder="1" applyAlignment="1" applyProtection="1">
      <alignment vertical="center"/>
      <protection/>
    </xf>
    <xf numFmtId="37" fontId="4" fillId="4" borderId="40" xfId="0" applyNumberFormat="1" applyFont="1" applyFill="1" applyBorder="1" applyAlignment="1" applyProtection="1">
      <alignment vertical="center"/>
      <protection/>
    </xf>
    <xf numFmtId="0" fontId="4" fillId="4" borderId="40" xfId="0" applyFont="1" applyFill="1" applyBorder="1" applyAlignment="1" applyProtection="1">
      <alignment vertical="center"/>
      <protection/>
    </xf>
    <xf numFmtId="0" fontId="4" fillId="4" borderId="40" xfId="0" applyFont="1" applyFill="1" applyBorder="1" applyAlignment="1" applyProtection="1">
      <alignment vertical="center"/>
      <protection locked="0"/>
    </xf>
    <xf numFmtId="37" fontId="4" fillId="4" borderId="12" xfId="0" applyNumberFormat="1" applyFont="1" applyFill="1" applyBorder="1" applyAlignment="1" applyProtection="1">
      <alignment vertical="center"/>
      <protection/>
    </xf>
    <xf numFmtId="37" fontId="4" fillId="4" borderId="12" xfId="0" applyNumberFormat="1" applyFont="1" applyFill="1" applyBorder="1" applyAlignment="1" applyProtection="1">
      <alignment horizontal="fill" vertical="center"/>
      <protection/>
    </xf>
    <xf numFmtId="0" fontId="4" fillId="26" borderId="13" xfId="0" applyFont="1" applyFill="1" applyBorder="1" applyAlignment="1">
      <alignment vertical="center"/>
    </xf>
    <xf numFmtId="0" fontId="4" fillId="26" borderId="16" xfId="0" applyFont="1" applyFill="1" applyBorder="1" applyAlignment="1">
      <alignment vertical="center"/>
    </xf>
    <xf numFmtId="189" fontId="4" fillId="26" borderId="19" xfId="0" applyNumberFormat="1" applyFont="1" applyFill="1" applyBorder="1" applyAlignment="1">
      <alignment horizontal="center" vertical="center"/>
    </xf>
    <xf numFmtId="182" fontId="4" fillId="16" borderId="0" xfId="0" applyNumberFormat="1" applyFont="1" applyFill="1" applyBorder="1" applyAlignment="1" applyProtection="1" quotePrefix="1">
      <alignment vertical="center"/>
      <protection locked="0"/>
    </xf>
    <xf numFmtId="1" fontId="4" fillId="22" borderId="11" xfId="0" applyNumberFormat="1" applyFont="1" applyFill="1" applyBorder="1" applyAlignment="1" applyProtection="1">
      <alignment vertical="center"/>
      <protection locked="0"/>
    </xf>
    <xf numFmtId="1" fontId="4" fillId="4" borderId="10" xfId="0" applyNumberFormat="1" applyFont="1" applyFill="1" applyBorder="1" applyAlignment="1" applyProtection="1">
      <alignment vertical="center"/>
      <protection/>
    </xf>
    <xf numFmtId="37" fontId="4" fillId="4" borderId="10" xfId="0" applyNumberFormat="1" applyFont="1" applyFill="1" applyBorder="1" applyAlignment="1" applyProtection="1">
      <alignment/>
      <protection locked="0"/>
    </xf>
    <xf numFmtId="183" fontId="4" fillId="22" borderId="10" xfId="0" applyNumberFormat="1" applyFont="1" applyFill="1" applyBorder="1" applyAlignment="1" applyProtection="1">
      <alignment/>
      <protection locked="0"/>
    </xf>
    <xf numFmtId="3" fontId="4" fillId="22" borderId="10" xfId="0" applyNumberFormat="1" applyFont="1" applyFill="1" applyBorder="1" applyAlignment="1" applyProtection="1">
      <alignment/>
      <protection locked="0"/>
    </xf>
    <xf numFmtId="37" fontId="4" fillId="4" borderId="0" xfId="0" applyNumberFormat="1" applyFont="1" applyFill="1" applyAlignment="1" applyProtection="1">
      <alignment horizontal="center" vertical="center" wrapText="1"/>
      <protection/>
    </xf>
    <xf numFmtId="0" fontId="0" fillId="4" borderId="0" xfId="0" applyFill="1" applyBorder="1" applyAlignment="1">
      <alignment horizontal="center" vertical="center" wrapText="1"/>
    </xf>
    <xf numFmtId="37" fontId="4" fillId="24" borderId="0" xfId="0" applyNumberFormat="1" applyFont="1" applyFill="1" applyAlignment="1" applyProtection="1">
      <alignment horizontal="center" vertical="center" wrapText="1"/>
      <protection/>
    </xf>
    <xf numFmtId="0" fontId="0" fillId="24" borderId="16" xfId="0" applyFill="1" applyBorder="1" applyAlignment="1">
      <alignment horizontal="center" vertical="center" wrapText="1"/>
    </xf>
    <xf numFmtId="37" fontId="18" fillId="4" borderId="0" xfId="0" applyNumberFormat="1" applyFont="1" applyFill="1" applyAlignment="1" applyProtection="1">
      <alignment horizontal="center" vertical="center"/>
      <protection/>
    </xf>
    <xf numFmtId="0" fontId="1" fillId="0" borderId="0" xfId="0" applyFont="1" applyAlignment="1">
      <alignment horizontal="center" vertical="center"/>
    </xf>
    <xf numFmtId="37" fontId="25" fillId="4" borderId="0" xfId="0" applyNumberFormat="1" applyFont="1" applyFill="1" applyAlignment="1" applyProtection="1">
      <alignment horizontal="center" vertical="center"/>
      <protection/>
    </xf>
    <xf numFmtId="0" fontId="29" fillId="0" borderId="0" xfId="0" applyFont="1" applyAlignment="1">
      <alignment horizontal="center" vertical="center"/>
    </xf>
    <xf numFmtId="0" fontId="5" fillId="24" borderId="0" xfId="0" applyFont="1" applyFill="1" applyBorder="1" applyAlignment="1">
      <alignment horizontal="center" vertical="center"/>
    </xf>
    <xf numFmtId="0" fontId="1" fillId="24" borderId="0" xfId="0" applyFont="1" applyFill="1" applyBorder="1" applyAlignment="1">
      <alignment horizontal="center" vertical="center"/>
    </xf>
    <xf numFmtId="0" fontId="4" fillId="24" borderId="17" xfId="0" applyFont="1" applyFill="1" applyBorder="1" applyAlignment="1">
      <alignment horizontal="center" vertical="center" wrapText="1"/>
    </xf>
    <xf numFmtId="0" fontId="0" fillId="0" borderId="20" xfId="0" applyBorder="1" applyAlignment="1">
      <alignment horizontal="center" vertical="center" wrapText="1"/>
    </xf>
    <xf numFmtId="0" fontId="0" fillId="0" borderId="12" xfId="0" applyBorder="1" applyAlignment="1">
      <alignment horizontal="center" vertical="center" wrapText="1"/>
    </xf>
    <xf numFmtId="0" fontId="22" fillId="4" borderId="0" xfId="0" applyFont="1" applyFill="1" applyBorder="1" applyAlignment="1">
      <alignment vertical="center"/>
    </xf>
    <xf numFmtId="0" fontId="24" fillId="0" borderId="0" xfId="0" applyFont="1" applyAlignment="1">
      <alignment vertical="center"/>
    </xf>
    <xf numFmtId="0" fontId="4" fillId="0" borderId="0" xfId="367" applyFont="1" applyAlignment="1">
      <alignment horizontal="left" vertical="center" wrapText="1"/>
      <protection/>
    </xf>
    <xf numFmtId="0" fontId="11" fillId="0" borderId="0" xfId="367" applyAlignment="1">
      <alignment horizontal="left" vertical="center" wrapText="1"/>
      <protection/>
    </xf>
    <xf numFmtId="0" fontId="18" fillId="0" borderId="0" xfId="367" applyFont="1" applyAlignment="1">
      <alignment horizontal="left" vertical="center"/>
      <protection/>
    </xf>
    <xf numFmtId="37" fontId="4" fillId="0" borderId="0" xfId="0" applyNumberFormat="1" applyFont="1" applyAlignment="1" applyProtection="1">
      <alignment horizontal="center" vertical="center"/>
      <protection locked="0"/>
    </xf>
    <xf numFmtId="37" fontId="5" fillId="4" borderId="0" xfId="0" applyNumberFormat="1" applyFont="1" applyFill="1" applyAlignment="1" applyProtection="1">
      <alignment horizontal="center" vertical="center"/>
      <protection/>
    </xf>
    <xf numFmtId="37" fontId="4" fillId="4" borderId="17" xfId="0" applyNumberFormat="1" applyFont="1" applyFill="1" applyBorder="1" applyAlignment="1" applyProtection="1">
      <alignment horizontal="center" vertical="center" wrapText="1"/>
      <protection/>
    </xf>
    <xf numFmtId="0" fontId="1" fillId="0" borderId="0" xfId="0" applyFont="1" applyAlignment="1">
      <alignment horizontal="center" vertical="center"/>
    </xf>
    <xf numFmtId="37" fontId="4" fillId="4" borderId="0" xfId="0" applyNumberFormat="1" applyFont="1" applyFill="1" applyAlignment="1" applyProtection="1">
      <alignment horizontal="center" vertical="center"/>
      <protection/>
    </xf>
    <xf numFmtId="0" fontId="0" fillId="0" borderId="0" xfId="0" applyAlignment="1">
      <alignment horizontal="center" vertical="center"/>
    </xf>
    <xf numFmtId="0" fontId="17" fillId="24" borderId="24" xfId="0" applyFont="1" applyFill="1" applyBorder="1" applyAlignment="1" applyProtection="1">
      <alignment horizontal="center" vertical="center" wrapText="1"/>
      <protection/>
    </xf>
    <xf numFmtId="0" fontId="0" fillId="0" borderId="0" xfId="0" applyAlignment="1">
      <alignment vertical="center" wrapText="1"/>
    </xf>
    <xf numFmtId="37" fontId="4" fillId="4" borderId="11" xfId="0" applyNumberFormat="1" applyFont="1" applyFill="1" applyBorder="1" applyAlignment="1" applyProtection="1">
      <alignment horizontal="fill" vertical="center"/>
      <protection/>
    </xf>
    <xf numFmtId="0" fontId="0" fillId="0" borderId="14" xfId="0" applyBorder="1" applyAlignment="1">
      <alignment vertical="center"/>
    </xf>
    <xf numFmtId="0" fontId="0" fillId="0" borderId="0" xfId="0" applyAlignment="1">
      <alignment vertical="center"/>
    </xf>
    <xf numFmtId="0" fontId="7" fillId="4" borderId="0" xfId="0" applyFont="1" applyFill="1" applyAlignment="1" applyProtection="1">
      <alignment horizontal="center" vertical="center"/>
      <protection/>
    </xf>
    <xf numFmtId="0" fontId="5" fillId="4" borderId="0" xfId="0" applyFont="1" applyFill="1" applyAlignment="1" applyProtection="1">
      <alignment horizontal="center" vertical="center"/>
      <protection/>
    </xf>
    <xf numFmtId="37" fontId="4" fillId="4" borderId="21" xfId="0" applyNumberFormat="1" applyFont="1" applyFill="1" applyBorder="1" applyAlignment="1" applyProtection="1">
      <alignment horizontal="center" vertical="center" wrapText="1"/>
      <protection/>
    </xf>
    <xf numFmtId="37" fontId="4" fillId="4" borderId="11" xfId="0" applyNumberFormat="1" applyFont="1" applyFill="1" applyBorder="1" applyAlignment="1" applyProtection="1">
      <alignment horizontal="center" vertical="center"/>
      <protection/>
    </xf>
    <xf numFmtId="37" fontId="4" fillId="4" borderId="18" xfId="0" applyNumberFormat="1" applyFont="1" applyFill="1" applyBorder="1" applyAlignment="1" applyProtection="1">
      <alignment horizontal="center" vertical="center"/>
      <protection/>
    </xf>
    <xf numFmtId="37" fontId="4" fillId="4" borderId="14" xfId="0" applyNumberFormat="1" applyFont="1" applyFill="1" applyBorder="1" applyAlignment="1" applyProtection="1">
      <alignment horizontal="center" vertical="center"/>
      <protection/>
    </xf>
    <xf numFmtId="0" fontId="4" fillId="4" borderId="13" xfId="0" applyFont="1" applyFill="1" applyBorder="1" applyAlignment="1" applyProtection="1">
      <alignment horizontal="center" vertical="center"/>
      <protection/>
    </xf>
    <xf numFmtId="0" fontId="0" fillId="0" borderId="19" xfId="0" applyBorder="1" applyAlignment="1" applyProtection="1">
      <alignment vertical="center"/>
      <protection/>
    </xf>
    <xf numFmtId="1" fontId="4" fillId="4" borderId="13" xfId="0" applyNumberFormat="1" applyFont="1" applyFill="1" applyBorder="1" applyAlignment="1" applyProtection="1">
      <alignment horizontal="center" vertical="center"/>
      <protection/>
    </xf>
    <xf numFmtId="0" fontId="0" fillId="0" borderId="19" xfId="0" applyBorder="1" applyAlignment="1" applyProtection="1">
      <alignment horizontal="center" vertical="center"/>
      <protection/>
    </xf>
    <xf numFmtId="0" fontId="43" fillId="4" borderId="21" xfId="72" applyFont="1" applyFill="1" applyBorder="1" applyAlignment="1" applyProtection="1">
      <alignment horizontal="center" vertical="center"/>
      <protection/>
    </xf>
    <xf numFmtId="0" fontId="43" fillId="4" borderId="24" xfId="72" applyFont="1" applyFill="1" applyBorder="1" applyAlignment="1" applyProtection="1">
      <alignment horizontal="center" vertical="center"/>
      <protection/>
    </xf>
    <xf numFmtId="0" fontId="0" fillId="0" borderId="15" xfId="72" applyBorder="1" applyAlignment="1" applyProtection="1">
      <alignment vertical="center"/>
      <protection/>
    </xf>
    <xf numFmtId="0" fontId="44" fillId="0" borderId="24" xfId="72" applyFont="1" applyBorder="1" applyAlignment="1" applyProtection="1">
      <alignment horizontal="center" vertical="center"/>
      <protection/>
    </xf>
    <xf numFmtId="0" fontId="4" fillId="4" borderId="0" xfId="0" applyFont="1" applyFill="1" applyAlignment="1" applyProtection="1">
      <alignment horizontal="center" vertical="center"/>
      <protection/>
    </xf>
    <xf numFmtId="0" fontId="4" fillId="4" borderId="0" xfId="0" applyNumberFormat="1" applyFont="1" applyFill="1" applyBorder="1" applyAlignment="1" applyProtection="1">
      <alignment horizontal="right" vertical="center"/>
      <protection/>
    </xf>
    <xf numFmtId="0" fontId="0" fillId="0" borderId="0" xfId="0" applyAlignment="1">
      <alignment horizontal="right" vertical="center"/>
    </xf>
    <xf numFmtId="3" fontId="4" fillId="4" borderId="24" xfId="84" applyNumberFormat="1" applyFont="1" applyFill="1" applyBorder="1" applyAlignment="1" applyProtection="1">
      <alignment horizontal="right" vertical="center"/>
      <protection/>
    </xf>
    <xf numFmtId="0" fontId="0" fillId="0" borderId="15" xfId="84" applyBorder="1" applyAlignment="1">
      <alignment horizontal="right" vertical="center"/>
      <protection/>
    </xf>
    <xf numFmtId="0" fontId="4" fillId="4" borderId="0" xfId="84" applyFont="1" applyFill="1" applyAlignment="1" applyProtection="1">
      <alignment horizontal="right" vertical="center"/>
      <protection/>
    </xf>
    <xf numFmtId="0" fontId="4" fillId="0" borderId="22" xfId="84" applyFont="1" applyBorder="1" applyAlignment="1">
      <alignment horizontal="right" vertical="center"/>
      <protection/>
    </xf>
    <xf numFmtId="0" fontId="42" fillId="4" borderId="21" xfId="72" applyFont="1" applyFill="1" applyBorder="1" applyAlignment="1" applyProtection="1">
      <alignment horizontal="center" vertical="center"/>
      <protection/>
    </xf>
    <xf numFmtId="0" fontId="29" fillId="0" borderId="24" xfId="72" applyFont="1" applyBorder="1" applyAlignment="1" applyProtection="1">
      <alignment horizontal="center" vertical="center"/>
      <protection/>
    </xf>
    <xf numFmtId="0" fontId="29" fillId="0" borderId="15" xfId="72" applyFont="1" applyBorder="1" applyAlignment="1" applyProtection="1">
      <alignment horizontal="center" vertical="center"/>
      <protection/>
    </xf>
    <xf numFmtId="0" fontId="4" fillId="16" borderId="0" xfId="0" applyFont="1" applyFill="1" applyAlignment="1" applyProtection="1">
      <alignment horizontal="center" vertical="center"/>
      <protection/>
    </xf>
    <xf numFmtId="0" fontId="0" fillId="16" borderId="0" xfId="0" applyFill="1" applyAlignment="1">
      <alignment vertical="center"/>
    </xf>
    <xf numFmtId="0" fontId="4" fillId="4" borderId="11" xfId="0" applyFont="1" applyFill="1" applyBorder="1" applyAlignment="1">
      <alignment horizontal="center" vertical="center"/>
    </xf>
    <xf numFmtId="0" fontId="4" fillId="4" borderId="14" xfId="0" applyFont="1" applyFill="1" applyBorder="1" applyAlignment="1">
      <alignment horizontal="center" vertical="center"/>
    </xf>
    <xf numFmtId="0" fontId="18" fillId="4" borderId="21" xfId="81" applyFont="1" applyFill="1" applyBorder="1" applyAlignment="1" applyProtection="1">
      <alignment horizontal="center"/>
      <protection/>
    </xf>
    <xf numFmtId="0" fontId="18" fillId="4" borderId="24" xfId="81" applyFont="1" applyFill="1" applyBorder="1" applyAlignment="1" applyProtection="1">
      <alignment horizontal="center"/>
      <protection/>
    </xf>
    <xf numFmtId="0" fontId="18" fillId="4" borderId="15" xfId="81" applyFont="1" applyFill="1" applyBorder="1" applyAlignment="1" applyProtection="1">
      <alignment horizontal="center"/>
      <protection/>
    </xf>
    <xf numFmtId="37" fontId="4" fillId="4" borderId="16" xfId="0" applyNumberFormat="1" applyFont="1" applyFill="1" applyBorder="1" applyAlignment="1" applyProtection="1">
      <alignment horizontal="center" vertical="center"/>
      <protection locked="0"/>
    </xf>
    <xf numFmtId="0" fontId="0" fillId="0" borderId="16" xfId="0" applyBorder="1" applyAlignment="1" applyProtection="1">
      <alignment vertical="center"/>
      <protection locked="0"/>
    </xf>
    <xf numFmtId="0" fontId="0" fillId="0" borderId="24" xfId="0" applyBorder="1" applyAlignment="1">
      <alignment horizontal="center"/>
    </xf>
    <xf numFmtId="0" fontId="0" fillId="0" borderId="15" xfId="0" applyBorder="1" applyAlignment="1">
      <alignment horizontal="center"/>
    </xf>
    <xf numFmtId="0" fontId="4" fillId="4" borderId="0" xfId="0" applyFont="1" applyFill="1" applyAlignment="1">
      <alignment horizontal="right" vertical="center"/>
    </xf>
    <xf numFmtId="0" fontId="0" fillId="0" borderId="0" xfId="0" applyAlignment="1" applyProtection="1">
      <alignment vertical="center"/>
      <protection/>
    </xf>
    <xf numFmtId="0" fontId="4" fillId="4" borderId="0" xfId="0" applyFont="1" applyFill="1" applyAlignment="1" applyProtection="1">
      <alignment horizontal="right" vertical="center"/>
      <protection/>
    </xf>
    <xf numFmtId="0" fontId="13" fillId="0" borderId="0" xfId="0" applyFont="1" applyAlignment="1">
      <alignment horizontal="center" vertical="top"/>
    </xf>
    <xf numFmtId="0" fontId="14" fillId="0" borderId="0" xfId="0" applyFont="1" applyAlignment="1">
      <alignment horizontal="center" vertical="top"/>
    </xf>
    <xf numFmtId="0" fontId="8" fillId="0" borderId="0" xfId="0" applyFont="1" applyAlignment="1">
      <alignment horizontal="left" wrapText="1"/>
    </xf>
    <xf numFmtId="0" fontId="8" fillId="0" borderId="0" xfId="0" applyFont="1" applyAlignment="1">
      <alignment vertical="top" wrapText="1"/>
    </xf>
    <xf numFmtId="0" fontId="8" fillId="0" borderId="0" xfId="0" applyFont="1" applyAlignment="1">
      <alignment horizontal="center"/>
    </xf>
    <xf numFmtId="0" fontId="47" fillId="4" borderId="30" xfId="0" applyFont="1" applyFill="1" applyBorder="1" applyAlignment="1">
      <alignment vertical="top" wrapText="1"/>
    </xf>
    <xf numFmtId="0" fontId="47" fillId="0" borderId="0" xfId="0" applyFont="1" applyAlignment="1">
      <alignment vertical="top" wrapText="1"/>
    </xf>
    <xf numFmtId="0" fontId="47" fillId="0" borderId="31" xfId="0" applyFont="1" applyBorder="1" applyAlignment="1">
      <alignment vertical="top" wrapText="1"/>
    </xf>
    <xf numFmtId="189" fontId="47" fillId="4" borderId="0" xfId="0" applyNumberFormat="1" applyFont="1" applyFill="1" applyBorder="1" applyAlignment="1">
      <alignment horizontal="center"/>
    </xf>
    <xf numFmtId="190" fontId="47" fillId="4" borderId="0" xfId="0" applyNumberFormat="1" applyFont="1" applyFill="1" applyBorder="1" applyAlignment="1">
      <alignment horizontal="center"/>
    </xf>
    <xf numFmtId="0" fontId="47" fillId="0" borderId="31" xfId="0" applyFont="1" applyBorder="1" applyAlignment="1">
      <alignment horizontal="center"/>
    </xf>
    <xf numFmtId="0" fontId="46" fillId="4" borderId="32" xfId="0" applyFont="1" applyFill="1" applyBorder="1" applyAlignment="1">
      <alignment horizontal="center" vertical="center"/>
    </xf>
    <xf numFmtId="0" fontId="47" fillId="0" borderId="32" xfId="0" applyFont="1" applyBorder="1" applyAlignment="1">
      <alignment horizontal="center" vertical="center"/>
    </xf>
    <xf numFmtId="0" fontId="46" fillId="4" borderId="0" xfId="0" applyFont="1" applyFill="1" applyBorder="1" applyAlignment="1">
      <alignment horizontal="center" wrapText="1"/>
    </xf>
    <xf numFmtId="0" fontId="47" fillId="0" borderId="0" xfId="0" applyFont="1" applyAlignment="1">
      <alignment horizontal="center" wrapText="1"/>
    </xf>
    <xf numFmtId="0" fontId="46" fillId="0" borderId="0" xfId="0" applyFont="1" applyAlignment="1">
      <alignment horizontal="center" wrapText="1"/>
    </xf>
    <xf numFmtId="189" fontId="47" fillId="22" borderId="16" xfId="0" applyNumberFormat="1" applyFont="1" applyFill="1" applyBorder="1" applyAlignment="1" applyProtection="1">
      <alignment horizontal="center"/>
      <protection locked="0"/>
    </xf>
    <xf numFmtId="0" fontId="46" fillId="4" borderId="0" xfId="0" applyFont="1" applyFill="1" applyAlignment="1">
      <alignment horizontal="center" wrapText="1"/>
    </xf>
    <xf numFmtId="183" fontId="47" fillId="22" borderId="16" xfId="0" applyNumberFormat="1" applyFont="1" applyFill="1" applyBorder="1" applyAlignment="1" applyProtection="1">
      <alignment horizontal="center"/>
      <protection locked="0"/>
    </xf>
    <xf numFmtId="189" fontId="47" fillId="0" borderId="31" xfId="0" applyNumberFormat="1" applyFont="1" applyBorder="1" applyAlignment="1">
      <alignment horizontal="center"/>
    </xf>
    <xf numFmtId="0" fontId="47" fillId="4" borderId="0" xfId="0" applyFont="1" applyFill="1" applyAlignment="1">
      <alignment wrapText="1"/>
    </xf>
    <xf numFmtId="0" fontId="47" fillId="4" borderId="0" xfId="0" applyFont="1" applyFill="1" applyBorder="1" applyAlignment="1">
      <alignment horizontal="center"/>
    </xf>
    <xf numFmtId="0" fontId="47" fillId="4" borderId="24" xfId="0" applyFont="1" applyFill="1" applyBorder="1" applyAlignment="1">
      <alignment horizontal="center"/>
    </xf>
    <xf numFmtId="0" fontId="47" fillId="0" borderId="0" xfId="0" applyFont="1" applyAlignment="1">
      <alignment wrapText="1"/>
    </xf>
    <xf numFmtId="5" fontId="47" fillId="4" borderId="16" xfId="0" applyNumberFormat="1" applyFont="1" applyFill="1" applyBorder="1" applyAlignment="1">
      <alignment horizontal="center"/>
    </xf>
    <xf numFmtId="0" fontId="47" fillId="4" borderId="0" xfId="0" applyFont="1" applyFill="1" applyBorder="1" applyAlignment="1">
      <alignment wrapText="1"/>
    </xf>
    <xf numFmtId="0" fontId="46" fillId="4" borderId="0" xfId="0" applyFont="1" applyFill="1" applyAlignment="1">
      <alignment horizontal="center"/>
    </xf>
    <xf numFmtId="189" fontId="47" fillId="4" borderId="0" xfId="0" applyNumberFormat="1" applyFont="1" applyFill="1" applyAlignment="1">
      <alignment horizontal="center"/>
    </xf>
    <xf numFmtId="0" fontId="47" fillId="4" borderId="0" xfId="0" applyFont="1" applyFill="1" applyBorder="1" applyAlignment="1">
      <alignment/>
    </xf>
    <xf numFmtId="0" fontId="47" fillId="0" borderId="0" xfId="0" applyFont="1" applyBorder="1" applyAlignment="1">
      <alignment/>
    </xf>
    <xf numFmtId="0" fontId="46" fillId="4" borderId="0" xfId="0" applyFont="1" applyFill="1" applyAlignment="1">
      <alignment horizontal="center" vertical="center"/>
    </xf>
    <xf numFmtId="0" fontId="46" fillId="0" borderId="0" xfId="0" applyFont="1" applyAlignment="1">
      <alignment horizontal="center" vertical="center"/>
    </xf>
    <xf numFmtId="0" fontId="47" fillId="4" borderId="36" xfId="0" applyFont="1" applyFill="1" applyBorder="1" applyAlignment="1">
      <alignment/>
    </xf>
    <xf numFmtId="0" fontId="47" fillId="4" borderId="37" xfId="0" applyFont="1" applyFill="1" applyBorder="1" applyAlignment="1">
      <alignment/>
    </xf>
    <xf numFmtId="189" fontId="47" fillId="4" borderId="0" xfId="0" applyNumberFormat="1" applyFont="1" applyFill="1" applyAlignment="1">
      <alignment/>
    </xf>
  </cellXfs>
  <cellStyles count="37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urrency" xfId="48"/>
    <cellStyle name="Currency [0]" xfId="49"/>
    <cellStyle name="Explanatory Text" xfId="50"/>
    <cellStyle name="Followed Hyperlink" xfId="51"/>
    <cellStyle name="Good" xfId="52"/>
    <cellStyle name="Heading 1" xfId="53"/>
    <cellStyle name="Heading 2" xfId="54"/>
    <cellStyle name="Heading 3" xfId="55"/>
    <cellStyle name="Heading 4" xfId="56"/>
    <cellStyle name="Hyperlink" xfId="57"/>
    <cellStyle name="Hyperlink 2" xfId="58"/>
    <cellStyle name="Hyperlink 3" xfId="59"/>
    <cellStyle name="Hyperlink 4" xfId="60"/>
    <cellStyle name="Hyperlink 5" xfId="61"/>
    <cellStyle name="Hyperlink 6" xfId="62"/>
    <cellStyle name="Hyperlink 7" xfId="63"/>
    <cellStyle name="Hyperlink 7 2" xfId="64"/>
    <cellStyle name="Input" xfId="65"/>
    <cellStyle name="Linked Cell" xfId="66"/>
    <cellStyle name="Neutral" xfId="67"/>
    <cellStyle name="Normal 10" xfId="68"/>
    <cellStyle name="Normal 10 2" xfId="69"/>
    <cellStyle name="Normal 10 3" xfId="70"/>
    <cellStyle name="Normal 10 4" xfId="71"/>
    <cellStyle name="Normal 10 5" xfId="72"/>
    <cellStyle name="Normal 10 6" xfId="73"/>
    <cellStyle name="Normal 10_2012 MR CO BUDGET" xfId="74"/>
    <cellStyle name="Normal 11" xfId="75"/>
    <cellStyle name="Normal 11 2" xfId="76"/>
    <cellStyle name="Normal 11 3" xfId="77"/>
    <cellStyle name="Normal 11 4" xfId="78"/>
    <cellStyle name="Normal 11_2012 MR CO BUDGET" xfId="79"/>
    <cellStyle name="Normal 12" xfId="80"/>
    <cellStyle name="Normal 12 10" xfId="81"/>
    <cellStyle name="Normal 12 11" xfId="82"/>
    <cellStyle name="Normal 12 12" xfId="83"/>
    <cellStyle name="Normal 12 2" xfId="84"/>
    <cellStyle name="Normal 12 2 2" xfId="85"/>
    <cellStyle name="Normal 12 3" xfId="86"/>
    <cellStyle name="Normal 12 4" xfId="87"/>
    <cellStyle name="Normal 12 5" xfId="88"/>
    <cellStyle name="Normal 12 6" xfId="89"/>
    <cellStyle name="Normal 12 7" xfId="90"/>
    <cellStyle name="Normal 12 8" xfId="91"/>
    <cellStyle name="Normal 12 9" xfId="92"/>
    <cellStyle name="Normal 12_2012 MR CO BUDGET" xfId="93"/>
    <cellStyle name="Normal 13" xfId="94"/>
    <cellStyle name="Normal 13 10" xfId="95"/>
    <cellStyle name="Normal 13 11" xfId="96"/>
    <cellStyle name="Normal 13 12" xfId="97"/>
    <cellStyle name="Normal 13 2" xfId="98"/>
    <cellStyle name="Normal 13 2 2" xfId="99"/>
    <cellStyle name="Normal 13 3" xfId="100"/>
    <cellStyle name="Normal 13 4" xfId="101"/>
    <cellStyle name="Normal 13 5" xfId="102"/>
    <cellStyle name="Normal 13 6" xfId="103"/>
    <cellStyle name="Normal 13 7" xfId="104"/>
    <cellStyle name="Normal 13 8" xfId="105"/>
    <cellStyle name="Normal 13 9" xfId="106"/>
    <cellStyle name="Normal 13_2012 MR CO BUDGET" xfId="107"/>
    <cellStyle name="Normal 14" xfId="108"/>
    <cellStyle name="Normal 14 2" xfId="109"/>
    <cellStyle name="Normal 14 3" xfId="110"/>
    <cellStyle name="Normal 14 4" xfId="111"/>
    <cellStyle name="Normal 14 5" xfId="112"/>
    <cellStyle name="Normal 14 6" xfId="113"/>
    <cellStyle name="Normal 14_2012 MR CO BUDGET" xfId="114"/>
    <cellStyle name="Normal 15" xfId="115"/>
    <cellStyle name="Normal 15 2" xfId="116"/>
    <cellStyle name="Normal 15 3" xfId="117"/>
    <cellStyle name="Normal 15 4" xfId="118"/>
    <cellStyle name="Normal 15_2012 MR CO BUDGET" xfId="119"/>
    <cellStyle name="Normal 16" xfId="120"/>
    <cellStyle name="Normal 16 2" xfId="121"/>
    <cellStyle name="Normal 16 3" xfId="122"/>
    <cellStyle name="Normal 16 4" xfId="123"/>
    <cellStyle name="Normal 16_2012 MR CO BUDGET" xfId="124"/>
    <cellStyle name="Normal 17" xfId="125"/>
    <cellStyle name="Normal 17 2" xfId="126"/>
    <cellStyle name="Normal 17 3" xfId="127"/>
    <cellStyle name="Normal 17 4" xfId="128"/>
    <cellStyle name="Normal 17_2012 MR CO BUDGET" xfId="129"/>
    <cellStyle name="Normal 18" xfId="130"/>
    <cellStyle name="Normal 18 2" xfId="131"/>
    <cellStyle name="Normal 18 2 2" xfId="132"/>
    <cellStyle name="Normal 18 2 3" xfId="133"/>
    <cellStyle name="Normal 18 3" xfId="134"/>
    <cellStyle name="Normal 18 4" xfId="135"/>
    <cellStyle name="Normal 18 5" xfId="136"/>
    <cellStyle name="Normal 18 6" xfId="137"/>
    <cellStyle name="Normal 18 7" xfId="138"/>
    <cellStyle name="Normal 19" xfId="139"/>
    <cellStyle name="Normal 19 2" xfId="140"/>
    <cellStyle name="Normal 19 2 2" xfId="141"/>
    <cellStyle name="Normal 19 2 3" xfId="142"/>
    <cellStyle name="Normal 19 3" xfId="143"/>
    <cellStyle name="Normal 19 4" xfId="144"/>
    <cellStyle name="Normal 19 5" xfId="145"/>
    <cellStyle name="Normal 19 6" xfId="146"/>
    <cellStyle name="Normal 2" xfId="147"/>
    <cellStyle name="Normal 2 10" xfId="148"/>
    <cellStyle name="Normal 2 10 10" xfId="149"/>
    <cellStyle name="Normal 2 10 2" xfId="150"/>
    <cellStyle name="Normal 2 10 2 2" xfId="151"/>
    <cellStyle name="Normal 2 10 3" xfId="152"/>
    <cellStyle name="Normal 2 10 3 2" xfId="153"/>
    <cellStyle name="Normal 2 10 4" xfId="154"/>
    <cellStyle name="Normal 2 10 4 2" xfId="155"/>
    <cellStyle name="Normal 2 10 5" xfId="156"/>
    <cellStyle name="Normal 2 10 5 2" xfId="157"/>
    <cellStyle name="Normal 2 10 6" xfId="158"/>
    <cellStyle name="Normal 2 10 6 2" xfId="159"/>
    <cellStyle name="Normal 2 10 7" xfId="160"/>
    <cellStyle name="Normal 2 10 7 2" xfId="161"/>
    <cellStyle name="Normal 2 10 8" xfId="162"/>
    <cellStyle name="Normal 2 10 8 2" xfId="163"/>
    <cellStyle name="Normal 2 10 9" xfId="164"/>
    <cellStyle name="Normal 2 11" xfId="165"/>
    <cellStyle name="Normal 2 11 10" xfId="166"/>
    <cellStyle name="Normal 2 11 2" xfId="167"/>
    <cellStyle name="Normal 2 11 2 2" xfId="168"/>
    <cellStyle name="Normal 2 11 3" xfId="169"/>
    <cellStyle name="Normal 2 11 3 2" xfId="170"/>
    <cellStyle name="Normal 2 11 4" xfId="171"/>
    <cellStyle name="Normal 2 11 4 2" xfId="172"/>
    <cellStyle name="Normal 2 11 5" xfId="173"/>
    <cellStyle name="Normal 2 11 5 2" xfId="174"/>
    <cellStyle name="Normal 2 11 6" xfId="175"/>
    <cellStyle name="Normal 2 11 6 2" xfId="176"/>
    <cellStyle name="Normal 2 11 7" xfId="177"/>
    <cellStyle name="Normal 2 11 7 2" xfId="178"/>
    <cellStyle name="Normal 2 11 8" xfId="179"/>
    <cellStyle name="Normal 2 11 8 2" xfId="180"/>
    <cellStyle name="Normal 2 11 9" xfId="181"/>
    <cellStyle name="Normal 2 12" xfId="182"/>
    <cellStyle name="Normal 2 13" xfId="183"/>
    <cellStyle name="Normal 2 14" xfId="184"/>
    <cellStyle name="Normal 2 15" xfId="185"/>
    <cellStyle name="Normal 2 2" xfId="186"/>
    <cellStyle name="Normal 2 2 10" xfId="187"/>
    <cellStyle name="Normal 2 2 10 2" xfId="188"/>
    <cellStyle name="Normal 2 2 11" xfId="189"/>
    <cellStyle name="Normal 2 2 11 2" xfId="190"/>
    <cellStyle name="Normal 2 2 12" xfId="191"/>
    <cellStyle name="Normal 2 2 12 2" xfId="192"/>
    <cellStyle name="Normal 2 2 13" xfId="193"/>
    <cellStyle name="Normal 2 2 13 2" xfId="194"/>
    <cellStyle name="Normal 2 2 14" xfId="195"/>
    <cellStyle name="Normal 2 2 14 2" xfId="196"/>
    <cellStyle name="Normal 2 2 15" xfId="197"/>
    <cellStyle name="Normal 2 2 15 2" xfId="198"/>
    <cellStyle name="Normal 2 2 16" xfId="199"/>
    <cellStyle name="Normal 2 2 17" xfId="200"/>
    <cellStyle name="Normal 2 2 18" xfId="201"/>
    <cellStyle name="Normal 2 2 19" xfId="202"/>
    <cellStyle name="Normal 2 2 2" xfId="203"/>
    <cellStyle name="Normal 2 2 2 2" xfId="204"/>
    <cellStyle name="Normal 2 2 2 2 2" xfId="205"/>
    <cellStyle name="Normal 2 2 2 3" xfId="206"/>
    <cellStyle name="Normal 2 2 2 3 2" xfId="207"/>
    <cellStyle name="Normal 2 2 2 4" xfId="208"/>
    <cellStyle name="Normal 2 2 2 4 2" xfId="209"/>
    <cellStyle name="Normal 2 2 2 5" xfId="210"/>
    <cellStyle name="Normal 2 2 2 5 2" xfId="211"/>
    <cellStyle name="Normal 2 2 2 6" xfId="212"/>
    <cellStyle name="Normal 2 2 2 6 2" xfId="213"/>
    <cellStyle name="Normal 2 2 2 7" xfId="214"/>
    <cellStyle name="Normal 2 2 2 8" xfId="215"/>
    <cellStyle name="Normal 2 2 20" xfId="216"/>
    <cellStyle name="Normal 2 2 21" xfId="217"/>
    <cellStyle name="Normal 2 2 3" xfId="218"/>
    <cellStyle name="Normal 2 2 3 2" xfId="219"/>
    <cellStyle name="Normal 2 2 4" xfId="220"/>
    <cellStyle name="Normal 2 2 4 2" xfId="221"/>
    <cellStyle name="Normal 2 2 5" xfId="222"/>
    <cellStyle name="Normal 2 2 5 2" xfId="223"/>
    <cellStyle name="Normal 2 2 6" xfId="224"/>
    <cellStyle name="Normal 2 2 6 2" xfId="225"/>
    <cellStyle name="Normal 2 2 7" xfId="226"/>
    <cellStyle name="Normal 2 2 7 2" xfId="227"/>
    <cellStyle name="Normal 2 2 8" xfId="228"/>
    <cellStyle name="Normal 2 2 8 2" xfId="229"/>
    <cellStyle name="Normal 2 2 9" xfId="230"/>
    <cellStyle name="Normal 2 2 9 2" xfId="231"/>
    <cellStyle name="Normal 2 3" xfId="232"/>
    <cellStyle name="Normal 2 3 10" xfId="233"/>
    <cellStyle name="Normal 2 3 11" xfId="234"/>
    <cellStyle name="Normal 2 3 12" xfId="235"/>
    <cellStyle name="Normal 2 3 13" xfId="236"/>
    <cellStyle name="Normal 2 3 14" xfId="237"/>
    <cellStyle name="Normal 2 3 2" xfId="238"/>
    <cellStyle name="Normal 2 3 2 2" xfId="239"/>
    <cellStyle name="Normal 2 3 3" xfId="240"/>
    <cellStyle name="Normal 2 3 3 2" xfId="241"/>
    <cellStyle name="Normal 2 3 4" xfId="242"/>
    <cellStyle name="Normal 2 3 5" xfId="243"/>
    <cellStyle name="Normal 2 3 6" xfId="244"/>
    <cellStyle name="Normal 2 3 7" xfId="245"/>
    <cellStyle name="Normal 2 3 8" xfId="246"/>
    <cellStyle name="Normal 2 3 9" xfId="247"/>
    <cellStyle name="Normal 2 4" xfId="248"/>
    <cellStyle name="Normal 2 4 10" xfId="249"/>
    <cellStyle name="Normal 2 4 11" xfId="250"/>
    <cellStyle name="Normal 2 4 2" xfId="251"/>
    <cellStyle name="Normal 2 4 2 2" xfId="252"/>
    <cellStyle name="Normal 2 4 3" xfId="253"/>
    <cellStyle name="Normal 2 4 3 2" xfId="254"/>
    <cellStyle name="Normal 2 4 4" xfId="255"/>
    <cellStyle name="Normal 2 4 5" xfId="256"/>
    <cellStyle name="Normal 2 4 6" xfId="257"/>
    <cellStyle name="Normal 2 4 7" xfId="258"/>
    <cellStyle name="Normal 2 4 8" xfId="259"/>
    <cellStyle name="Normal 2 4 9" xfId="260"/>
    <cellStyle name="Normal 2 5" xfId="261"/>
    <cellStyle name="Normal 2 5 10" xfId="262"/>
    <cellStyle name="Normal 2 5 11" xfId="263"/>
    <cellStyle name="Normal 2 5 2" xfId="264"/>
    <cellStyle name="Normal 2 5 2 2" xfId="265"/>
    <cellStyle name="Normal 2 5 3" xfId="266"/>
    <cellStyle name="Normal 2 5 3 2" xfId="267"/>
    <cellStyle name="Normal 2 5 4" xfId="268"/>
    <cellStyle name="Normal 2 5 5" xfId="269"/>
    <cellStyle name="Normal 2 5 6" xfId="270"/>
    <cellStyle name="Normal 2 5 7" xfId="271"/>
    <cellStyle name="Normal 2 5 8" xfId="272"/>
    <cellStyle name="Normal 2 5 9" xfId="273"/>
    <cellStyle name="Normal 2 6" xfId="274"/>
    <cellStyle name="Normal 2 6 10" xfId="275"/>
    <cellStyle name="Normal 2 6 11" xfId="276"/>
    <cellStyle name="Normal 2 6 2" xfId="277"/>
    <cellStyle name="Normal 2 6 2 2" xfId="278"/>
    <cellStyle name="Normal 2 6 3" xfId="279"/>
    <cellStyle name="Normal 2 6 3 2" xfId="280"/>
    <cellStyle name="Normal 2 6 4" xfId="281"/>
    <cellStyle name="Normal 2 6 5" xfId="282"/>
    <cellStyle name="Normal 2 6 6" xfId="283"/>
    <cellStyle name="Normal 2 6 7" xfId="284"/>
    <cellStyle name="Normal 2 6 8" xfId="285"/>
    <cellStyle name="Normal 2 6 9" xfId="286"/>
    <cellStyle name="Normal 2 7" xfId="287"/>
    <cellStyle name="Normal 2 7 10" xfId="288"/>
    <cellStyle name="Normal 2 7 2" xfId="289"/>
    <cellStyle name="Normal 2 7 2 2" xfId="290"/>
    <cellStyle name="Normal 2 7 3" xfId="291"/>
    <cellStyle name="Normal 2 7 3 2" xfId="292"/>
    <cellStyle name="Normal 2 7 4" xfId="293"/>
    <cellStyle name="Normal 2 7 4 2" xfId="294"/>
    <cellStyle name="Normal 2 7 5" xfId="295"/>
    <cellStyle name="Normal 2 7 5 2" xfId="296"/>
    <cellStyle name="Normal 2 7 6" xfId="297"/>
    <cellStyle name="Normal 2 7 6 2" xfId="298"/>
    <cellStyle name="Normal 2 7 7" xfId="299"/>
    <cellStyle name="Normal 2 7 7 2" xfId="300"/>
    <cellStyle name="Normal 2 7 8" xfId="301"/>
    <cellStyle name="Normal 2 7 8 2" xfId="302"/>
    <cellStyle name="Normal 2 7 9" xfId="303"/>
    <cellStyle name="Normal 2 8" xfId="304"/>
    <cellStyle name="Normal 2 8 10" xfId="305"/>
    <cellStyle name="Normal 2 8 2" xfId="306"/>
    <cellStyle name="Normal 2 8 2 2" xfId="307"/>
    <cellStyle name="Normal 2 8 3" xfId="308"/>
    <cellStyle name="Normal 2 8 3 2" xfId="309"/>
    <cellStyle name="Normal 2 8 4" xfId="310"/>
    <cellStyle name="Normal 2 8 4 2" xfId="311"/>
    <cellStyle name="Normal 2 8 5" xfId="312"/>
    <cellStyle name="Normal 2 8 5 2" xfId="313"/>
    <cellStyle name="Normal 2 8 6" xfId="314"/>
    <cellStyle name="Normal 2 8 6 2" xfId="315"/>
    <cellStyle name="Normal 2 8 7" xfId="316"/>
    <cellStyle name="Normal 2 8 7 2" xfId="317"/>
    <cellStyle name="Normal 2 8 8" xfId="318"/>
    <cellStyle name="Normal 2 8 8 2" xfId="319"/>
    <cellStyle name="Normal 2 8 9" xfId="320"/>
    <cellStyle name="Normal 2 9" xfId="321"/>
    <cellStyle name="Normal 2 9 10" xfId="322"/>
    <cellStyle name="Normal 2 9 2" xfId="323"/>
    <cellStyle name="Normal 2 9 2 2" xfId="324"/>
    <cellStyle name="Normal 2 9 3" xfId="325"/>
    <cellStyle name="Normal 2 9 3 2" xfId="326"/>
    <cellStyle name="Normal 2 9 4" xfId="327"/>
    <cellStyle name="Normal 2 9 4 2" xfId="328"/>
    <cellStyle name="Normal 2 9 5" xfId="329"/>
    <cellStyle name="Normal 2 9 5 2" xfId="330"/>
    <cellStyle name="Normal 2 9 6" xfId="331"/>
    <cellStyle name="Normal 2 9 6 2" xfId="332"/>
    <cellStyle name="Normal 2 9 7" xfId="333"/>
    <cellStyle name="Normal 2 9 7 2" xfId="334"/>
    <cellStyle name="Normal 2 9 8" xfId="335"/>
    <cellStyle name="Normal 2 9 8 2" xfId="336"/>
    <cellStyle name="Normal 2 9 9" xfId="337"/>
    <cellStyle name="Normal 20" xfId="338"/>
    <cellStyle name="Normal 20 2" xfId="339"/>
    <cellStyle name="Normal 20 3" xfId="340"/>
    <cellStyle name="Normal 22" xfId="341"/>
    <cellStyle name="Normal 22 2" xfId="342"/>
    <cellStyle name="Normal 22 3" xfId="343"/>
    <cellStyle name="Normal 23" xfId="344"/>
    <cellStyle name="Normal 23 2" xfId="345"/>
    <cellStyle name="Normal 23 3" xfId="346"/>
    <cellStyle name="Normal 24" xfId="347"/>
    <cellStyle name="Normal 24 2" xfId="348"/>
    <cellStyle name="Normal 24 3" xfId="349"/>
    <cellStyle name="Normal 25" xfId="350"/>
    <cellStyle name="Normal 25 2" xfId="351"/>
    <cellStyle name="Normal 25 3" xfId="352"/>
    <cellStyle name="Normal 3" xfId="353"/>
    <cellStyle name="Normal 3 2" xfId="354"/>
    <cellStyle name="Normal 3 3" xfId="355"/>
    <cellStyle name="Normal 3 4" xfId="356"/>
    <cellStyle name="Normal 3 5" xfId="357"/>
    <cellStyle name="Normal 3 6" xfId="358"/>
    <cellStyle name="Normal 3 7" xfId="359"/>
    <cellStyle name="Normal 4" xfId="360"/>
    <cellStyle name="Normal 4 2" xfId="361"/>
    <cellStyle name="Normal 5" xfId="362"/>
    <cellStyle name="Normal 5 2" xfId="363"/>
    <cellStyle name="Normal 5 3" xfId="364"/>
    <cellStyle name="Normal 6" xfId="365"/>
    <cellStyle name="Normal 6 2" xfId="366"/>
    <cellStyle name="Normal 7" xfId="367"/>
    <cellStyle name="Normal 7 2" xfId="368"/>
    <cellStyle name="Normal 7 3" xfId="369"/>
    <cellStyle name="Normal 7 4" xfId="370"/>
    <cellStyle name="Normal 7_2012 MR CO BUDGET" xfId="371"/>
    <cellStyle name="Normal 8" xfId="372"/>
    <cellStyle name="Normal 8 2" xfId="373"/>
    <cellStyle name="Normal 9" xfId="374"/>
    <cellStyle name="Normal 9 2" xfId="375"/>
    <cellStyle name="Normal 9 3" xfId="376"/>
    <cellStyle name="Normal 9 4" xfId="377"/>
    <cellStyle name="Normal 9_2012 MR CO BUDGET" xfId="378"/>
    <cellStyle name="Normal_debt" xfId="379"/>
    <cellStyle name="Normal_lpform" xfId="380"/>
    <cellStyle name="Normal_Township 07" xfId="381"/>
    <cellStyle name="Note" xfId="382"/>
    <cellStyle name="Output" xfId="383"/>
    <cellStyle name="Percent" xfId="384"/>
    <cellStyle name="Title" xfId="385"/>
    <cellStyle name="Total" xfId="386"/>
    <cellStyle name="Warning Text" xfId="387"/>
  </cellStyles>
  <dxfs count="352">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val="0"/>
        <i val="0"/>
        <color indexed="10"/>
      </font>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strike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
      <font>
        <b val="0"/>
        <i val="0"/>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styles" Target="styles.xml" /><Relationship Id="rId52" Type="http://schemas.openxmlformats.org/officeDocument/2006/relationships/sharedStrings" Target="sharedStrings.xml" /><Relationship Id="rId53" Type="http://schemas.openxmlformats.org/officeDocument/2006/relationships/externalLink" Target="externalLinks/externalLink1.xml" /><Relationship Id="rId5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18</xdr:col>
      <xdr:colOff>114300</xdr:colOff>
      <xdr:row>104</xdr:row>
      <xdr:rowOff>57150</xdr:rowOff>
    </xdr:to>
    <xdr:pic>
      <xdr:nvPicPr>
        <xdr:cNvPr id="1" name="Picture 1"/>
        <xdr:cNvPicPr preferRelativeResize="1">
          <a:picLocks noChangeAspect="1"/>
        </xdr:cNvPicPr>
      </xdr:nvPicPr>
      <xdr:blipFill>
        <a:blip r:embed="rId1"/>
        <a:stretch>
          <a:fillRect/>
        </a:stretch>
      </xdr:blipFill>
      <xdr:spPr>
        <a:xfrm>
          <a:off x="847725" y="0"/>
          <a:ext cx="18040350" cy="209454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21</xdr:col>
      <xdr:colOff>238125</xdr:colOff>
      <xdr:row>109</xdr:row>
      <xdr:rowOff>180975</xdr:rowOff>
    </xdr:to>
    <xdr:pic>
      <xdr:nvPicPr>
        <xdr:cNvPr id="1" name="Picture 1"/>
        <xdr:cNvPicPr preferRelativeResize="1">
          <a:picLocks noChangeAspect="1"/>
        </xdr:cNvPicPr>
      </xdr:nvPicPr>
      <xdr:blipFill>
        <a:blip r:embed="rId1"/>
        <a:stretch>
          <a:fillRect/>
        </a:stretch>
      </xdr:blipFill>
      <xdr:spPr>
        <a:xfrm>
          <a:off x="0" y="0"/>
          <a:ext cx="17840325" cy="209454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ww.da.ks.gov/Budgets\Cem-FD-WS-IMP-LIB\2012%20Spec%20Dist%20Budgets\2012%20Cemetery%20&amp;%20FD%20Dis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on"/>
      <sheetName val="input"/>
      <sheetName val="cert2"/>
      <sheetName val="cert3"/>
      <sheetName val="Bur Cem"/>
      <sheetName val="Bur Comp"/>
      <sheetName val="Sheet3"/>
      <sheetName val="Bur Res"/>
      <sheetName val="CG Cem"/>
      <sheetName val="CG Comp"/>
      <sheetName val="CC Cem"/>
      <sheetName val="CC Comp"/>
      <sheetName val="Cmisky Cem"/>
      <sheetName val="CmiskyComp"/>
      <sheetName val="Del Cem"/>
      <sheetName val="Del Comp"/>
      <sheetName val="DV Cem"/>
      <sheetName val="DVComp"/>
      <sheetName val="DK Cem"/>
      <sheetName val="DK Comp"/>
      <sheetName val="Dunlap Cem"/>
      <sheetName val="Dunlap Comp"/>
      <sheetName val="DM Cem"/>
      <sheetName val="DM Comp"/>
      <sheetName val="FM Cem"/>
      <sheetName val="FM Comp"/>
      <sheetName val="High Cem"/>
      <sheetName val="High Comp"/>
      <sheetName val="MV Cem"/>
      <sheetName val="MV Comp"/>
      <sheetName val="PH Cem"/>
      <sheetName val="PH Comp"/>
      <sheetName val="WC Cem"/>
      <sheetName val="WC Comp"/>
      <sheetName val="Wilsey Cem"/>
      <sheetName val="Wilsey Comp"/>
      <sheetName val="Sheet16"/>
      <sheetName val="comp16"/>
      <sheetName val="FD1"/>
      <sheetName val="FD1Comp"/>
      <sheetName val="FD3"/>
      <sheetName val="FD3Comp"/>
      <sheetName val="FD4"/>
      <sheetName val="FD4Comp"/>
      <sheetName val="FD5"/>
      <sheetName val="FD5Comp"/>
      <sheetName val="FD6jt"/>
      <sheetName val="FD6jtComp"/>
      <sheetName val="FD7"/>
      <sheetName val="FD7Comp"/>
      <sheetName val="FD8"/>
      <sheetName val="FD8Comp"/>
      <sheetName val="FD9jt"/>
      <sheetName val="FD9jtComp"/>
      <sheetName val="FD10"/>
      <sheetName val="FD10Comp"/>
      <sheetName val="FD11"/>
      <sheetName val="Sheet1"/>
      <sheetName val="FD11Comp"/>
      <sheetName val="Sheet2"/>
      <sheetName val="FD12"/>
      <sheetName val="FD12Comp"/>
      <sheetName val="FD13"/>
      <sheetName val="FD13Equip"/>
      <sheetName val="FD13Comp"/>
      <sheetName val="FD14"/>
      <sheetName val="FD14Comp"/>
      <sheetName val="sum2"/>
      <sheetName val="sum3"/>
      <sheetName val="addtl tax levy"/>
      <sheetName val="addtl no tax levy"/>
      <sheetName val="resolution"/>
      <sheetName val="legend"/>
    </sheetNames>
    <sheetDataSet>
      <sheetData sheetId="2">
        <row r="10">
          <cell r="A10" t="str">
            <v>Burdick Cemetery</v>
          </cell>
        </row>
        <row r="11">
          <cell r="A11" t="str">
            <v>Cedar Grove Cemetery</v>
          </cell>
        </row>
        <row r="12">
          <cell r="A12" t="str">
            <v>Clarks Creek Cemetery</v>
          </cell>
        </row>
        <row r="13">
          <cell r="A13" t="str">
            <v>Comiskey Cemetery</v>
          </cell>
        </row>
        <row r="14">
          <cell r="A14" t="str">
            <v>Delavan Cemetery</v>
          </cell>
        </row>
        <row r="15">
          <cell r="A15" t="str">
            <v>Diamond Valley Cemetery</v>
          </cell>
        </row>
        <row r="16">
          <cell r="A16" t="str">
            <v>Downing-Kelso Cemetery</v>
          </cell>
        </row>
        <row r="17">
          <cell r="A17" t="str">
            <v>Dunlap Cemetery</v>
          </cell>
        </row>
        <row r="18">
          <cell r="A18" t="str">
            <v>Dwight-Morris Cemetery</v>
          </cell>
        </row>
        <row r="19">
          <cell r="A19" t="str">
            <v>Four Mile Cemetery</v>
          </cell>
        </row>
        <row r="20">
          <cell r="A20" t="str">
            <v>Highland Cemetery</v>
          </cell>
        </row>
        <row r="21">
          <cell r="A21" t="str">
            <v>Mitchell Valley Cemetery</v>
          </cell>
        </row>
        <row r="22">
          <cell r="A22" t="str">
            <v>Parker-Highland Cemetery</v>
          </cell>
        </row>
        <row r="23">
          <cell r="A23" t="str">
            <v>White City Cemetery</v>
          </cell>
        </row>
        <row r="24">
          <cell r="A24" t="str">
            <v>Wilsey Cemetery</v>
          </cell>
        </row>
        <row r="26">
          <cell r="A26" t="str">
            <v>Fire District No. 1</v>
          </cell>
        </row>
        <row r="27">
          <cell r="A27" t="str">
            <v>Fire District No. 3</v>
          </cell>
        </row>
        <row r="28">
          <cell r="A28" t="str">
            <v>Fire District No. 4</v>
          </cell>
        </row>
        <row r="29">
          <cell r="A29" t="str">
            <v>Fire District No. 5</v>
          </cell>
        </row>
        <row r="30">
          <cell r="A30" t="str">
            <v>Fire District No. 6jt</v>
          </cell>
        </row>
        <row r="31">
          <cell r="A31" t="str">
            <v>Fire District No. 7</v>
          </cell>
        </row>
        <row r="32">
          <cell r="A32" t="str">
            <v>Fire District No. 8</v>
          </cell>
        </row>
        <row r="33">
          <cell r="A33" t="str">
            <v>Fire District No. 9jt</v>
          </cell>
        </row>
        <row r="34">
          <cell r="A34" t="str">
            <v>Fire District No. 10</v>
          </cell>
        </row>
        <row r="35">
          <cell r="A35" t="str">
            <v>Fire District No. 11</v>
          </cell>
        </row>
        <row r="36">
          <cell r="A36" t="str">
            <v>Fire District No. 12</v>
          </cell>
        </row>
        <row r="37">
          <cell r="A37" t="str">
            <v>Fire District No. 13</v>
          </cell>
        </row>
        <row r="38">
          <cell r="A38" t="str">
            <v>Fire District No. 14</v>
          </cell>
        </row>
      </sheetData>
      <sheetData sheetId="4">
        <row r="35">
          <cell r="D35">
            <v>2900</v>
          </cell>
          <cell r="E35">
            <v>4000</v>
          </cell>
          <cell r="F35">
            <v>4500</v>
          </cell>
        </row>
        <row r="41">
          <cell r="F41">
            <v>3193</v>
          </cell>
        </row>
      </sheetData>
      <sheetData sheetId="8">
        <row r="35">
          <cell r="D35">
            <v>1300</v>
          </cell>
          <cell r="E35">
            <v>1500</v>
          </cell>
          <cell r="F35">
            <v>6240</v>
          </cell>
        </row>
        <row r="41">
          <cell r="F41">
            <v>1597</v>
          </cell>
        </row>
      </sheetData>
      <sheetData sheetId="10">
        <row r="35">
          <cell r="D35">
            <v>700</v>
          </cell>
          <cell r="E35">
            <v>1000</v>
          </cell>
          <cell r="F35">
            <v>15390</v>
          </cell>
        </row>
        <row r="41">
          <cell r="F41">
            <v>1684</v>
          </cell>
        </row>
      </sheetData>
      <sheetData sheetId="12">
        <row r="35">
          <cell r="D35">
            <v>4290</v>
          </cell>
          <cell r="E35">
            <v>6000</v>
          </cell>
          <cell r="F35">
            <v>34000</v>
          </cell>
        </row>
        <row r="41">
          <cell r="F41">
            <v>498</v>
          </cell>
        </row>
      </sheetData>
      <sheetData sheetId="14">
        <row r="35">
          <cell r="D35">
            <v>5713</v>
          </cell>
          <cell r="E35">
            <v>6250</v>
          </cell>
          <cell r="F35">
            <v>10775</v>
          </cell>
        </row>
        <row r="41">
          <cell r="F41">
            <v>5921</v>
          </cell>
        </row>
      </sheetData>
      <sheetData sheetId="16">
        <row r="35">
          <cell r="D35">
            <v>1250</v>
          </cell>
          <cell r="E35">
            <v>2000</v>
          </cell>
          <cell r="F35">
            <v>3200</v>
          </cell>
        </row>
        <row r="41">
          <cell r="F41">
            <v>1796</v>
          </cell>
        </row>
      </sheetData>
      <sheetData sheetId="18">
        <row r="35">
          <cell r="D35">
            <v>1240</v>
          </cell>
          <cell r="E35">
            <v>1500</v>
          </cell>
          <cell r="F35">
            <v>2445</v>
          </cell>
        </row>
        <row r="41">
          <cell r="F41">
            <v>1124</v>
          </cell>
        </row>
      </sheetData>
      <sheetData sheetId="20">
        <row r="35">
          <cell r="D35">
            <v>8014</v>
          </cell>
          <cell r="E35">
            <v>6000</v>
          </cell>
          <cell r="F35">
            <v>7665</v>
          </cell>
        </row>
        <row r="41">
          <cell r="F41">
            <v>5224</v>
          </cell>
        </row>
      </sheetData>
      <sheetData sheetId="22">
        <row r="35">
          <cell r="D35">
            <v>14972</v>
          </cell>
          <cell r="E35">
            <v>15000</v>
          </cell>
          <cell r="F35">
            <v>23005</v>
          </cell>
        </row>
        <row r="41">
          <cell r="F41">
            <v>8196</v>
          </cell>
        </row>
      </sheetData>
      <sheetData sheetId="24">
        <row r="35">
          <cell r="D35">
            <v>2783</v>
          </cell>
          <cell r="E35">
            <v>3200</v>
          </cell>
          <cell r="F35">
            <v>7584</v>
          </cell>
        </row>
        <row r="41">
          <cell r="F41">
            <v>4119</v>
          </cell>
        </row>
      </sheetData>
      <sheetData sheetId="26">
        <row r="35">
          <cell r="D35">
            <v>1000</v>
          </cell>
          <cell r="E35">
            <v>1500</v>
          </cell>
          <cell r="F35">
            <v>3400</v>
          </cell>
        </row>
        <row r="41">
          <cell r="F41">
            <v>946</v>
          </cell>
        </row>
      </sheetData>
      <sheetData sheetId="28">
        <row r="35">
          <cell r="D35">
            <v>1247</v>
          </cell>
          <cell r="E35">
            <v>2000</v>
          </cell>
          <cell r="F35">
            <v>4635</v>
          </cell>
        </row>
        <row r="41">
          <cell r="F41">
            <v>1097</v>
          </cell>
        </row>
      </sheetData>
      <sheetData sheetId="30">
        <row r="35">
          <cell r="D35">
            <v>4000</v>
          </cell>
          <cell r="E35">
            <v>5500</v>
          </cell>
          <cell r="F35">
            <v>10790</v>
          </cell>
        </row>
        <row r="41">
          <cell r="F41">
            <v>3547</v>
          </cell>
        </row>
      </sheetData>
      <sheetData sheetId="32">
        <row r="35">
          <cell r="D35">
            <v>7324</v>
          </cell>
          <cell r="E35">
            <v>10000</v>
          </cell>
          <cell r="F35">
            <v>33345</v>
          </cell>
        </row>
        <row r="41">
          <cell r="F41">
            <v>12444</v>
          </cell>
        </row>
      </sheetData>
      <sheetData sheetId="34">
        <row r="35">
          <cell r="D35">
            <v>7200</v>
          </cell>
          <cell r="E35">
            <v>8000</v>
          </cell>
          <cell r="F35">
            <v>22510</v>
          </cell>
        </row>
        <row r="41">
          <cell r="F41">
            <v>5861</v>
          </cell>
        </row>
      </sheetData>
      <sheetData sheetId="38">
        <row r="35">
          <cell r="D35">
            <v>3140</v>
          </cell>
          <cell r="E35">
            <v>3400</v>
          </cell>
          <cell r="F35">
            <v>4200</v>
          </cell>
        </row>
        <row r="41">
          <cell r="F41">
            <v>2629</v>
          </cell>
        </row>
      </sheetData>
      <sheetData sheetId="40">
        <row r="35">
          <cell r="D35">
            <v>60</v>
          </cell>
          <cell r="E35">
            <v>65</v>
          </cell>
          <cell r="F35">
            <v>130</v>
          </cell>
        </row>
        <row r="41">
          <cell r="F41">
            <v>49</v>
          </cell>
        </row>
      </sheetData>
      <sheetData sheetId="42">
        <row r="35">
          <cell r="D35">
            <v>6527</v>
          </cell>
          <cell r="E35">
            <v>10000</v>
          </cell>
          <cell r="F35">
            <v>18195</v>
          </cell>
        </row>
        <row r="41">
          <cell r="F41">
            <v>5630</v>
          </cell>
        </row>
      </sheetData>
      <sheetData sheetId="44">
        <row r="35">
          <cell r="D35">
            <v>7534</v>
          </cell>
          <cell r="E35">
            <v>9000</v>
          </cell>
          <cell r="F35">
            <v>13175</v>
          </cell>
        </row>
        <row r="41">
          <cell r="F41">
            <v>9384</v>
          </cell>
        </row>
      </sheetData>
      <sheetData sheetId="46">
        <row r="35">
          <cell r="D35">
            <v>13884</v>
          </cell>
          <cell r="E35">
            <v>15600</v>
          </cell>
          <cell r="F35">
            <v>152015</v>
          </cell>
        </row>
        <row r="41">
          <cell r="F41">
            <v>21055</v>
          </cell>
        </row>
      </sheetData>
      <sheetData sheetId="48">
        <row r="35">
          <cell r="D35">
            <v>8344</v>
          </cell>
          <cell r="E35">
            <v>9000</v>
          </cell>
          <cell r="F35">
            <v>9300</v>
          </cell>
        </row>
        <row r="41">
          <cell r="F41">
            <v>5751</v>
          </cell>
        </row>
      </sheetData>
      <sheetData sheetId="50">
        <row r="35">
          <cell r="D35">
            <v>12000</v>
          </cell>
          <cell r="E35">
            <v>13280</v>
          </cell>
          <cell r="F35">
            <v>14300</v>
          </cell>
        </row>
        <row r="41">
          <cell r="F41">
            <v>10600</v>
          </cell>
        </row>
      </sheetData>
      <sheetData sheetId="52">
        <row r="35">
          <cell r="D35">
            <v>38134</v>
          </cell>
          <cell r="E35">
            <v>39000</v>
          </cell>
          <cell r="F35">
            <v>48835</v>
          </cell>
        </row>
        <row r="41">
          <cell r="F41">
            <v>36416</v>
          </cell>
        </row>
      </sheetData>
      <sheetData sheetId="54">
        <row r="35">
          <cell r="D35">
            <v>1492</v>
          </cell>
          <cell r="E35">
            <v>1700</v>
          </cell>
          <cell r="F35">
            <v>1800</v>
          </cell>
        </row>
        <row r="41">
          <cell r="F41">
            <v>1412</v>
          </cell>
        </row>
      </sheetData>
      <sheetData sheetId="56">
        <row r="35">
          <cell r="D35">
            <v>3680</v>
          </cell>
          <cell r="E35">
            <v>4020</v>
          </cell>
          <cell r="F35">
            <v>4235</v>
          </cell>
        </row>
        <row r="41">
          <cell r="F41">
            <v>3635</v>
          </cell>
        </row>
      </sheetData>
      <sheetData sheetId="60">
        <row r="35">
          <cell r="D35">
            <v>12100</v>
          </cell>
          <cell r="E35">
            <v>13200</v>
          </cell>
          <cell r="F35">
            <v>15750</v>
          </cell>
        </row>
        <row r="41">
          <cell r="F41">
            <v>10700</v>
          </cell>
        </row>
      </sheetData>
      <sheetData sheetId="62">
        <row r="35">
          <cell r="D35">
            <v>19636</v>
          </cell>
          <cell r="E35">
            <v>20000</v>
          </cell>
          <cell r="F35">
            <v>20540</v>
          </cell>
        </row>
        <row r="41">
          <cell r="F41">
            <v>17854</v>
          </cell>
        </row>
      </sheetData>
      <sheetData sheetId="65">
        <row r="35">
          <cell r="D35">
            <v>7855</v>
          </cell>
          <cell r="E35">
            <v>7900</v>
          </cell>
          <cell r="F35">
            <v>8165</v>
          </cell>
        </row>
        <row r="41">
          <cell r="F41">
            <v>6543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8.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9.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50.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105"/>
  <sheetViews>
    <sheetView zoomScale="75" zoomScaleNormal="75" zoomScalePageLayoutView="0" workbookViewId="0" topLeftCell="A1">
      <selection activeCell="A1" sqref="A1"/>
    </sheetView>
  </sheetViews>
  <sheetFormatPr defaultColWidth="8.796875" defaultRowHeight="15"/>
  <cols>
    <col min="1" max="1" width="79.3984375" style="53" customWidth="1"/>
    <col min="2" max="16384" width="8.8984375" style="53" customWidth="1"/>
  </cols>
  <sheetData>
    <row r="1" ht="15.75">
      <c r="A1" s="52" t="s">
        <v>605</v>
      </c>
    </row>
    <row r="3" ht="34.5" customHeight="1">
      <c r="A3" s="54" t="s">
        <v>272</v>
      </c>
    </row>
    <row r="4" ht="15.75">
      <c r="A4" s="55"/>
    </row>
    <row r="5" ht="52.5" customHeight="1">
      <c r="A5" s="56" t="s">
        <v>606</v>
      </c>
    </row>
    <row r="6" ht="15.75">
      <c r="A6" s="56"/>
    </row>
    <row r="7" ht="31.5">
      <c r="A7" s="56" t="s">
        <v>409</v>
      </c>
    </row>
    <row r="8" ht="15.75">
      <c r="A8" s="56"/>
    </row>
    <row r="9" ht="54" customHeight="1">
      <c r="A9" s="56" t="s">
        <v>414</v>
      </c>
    </row>
    <row r="10" ht="15.75">
      <c r="A10" s="56"/>
    </row>
    <row r="11" ht="15.75">
      <c r="A11" s="56" t="s">
        <v>602</v>
      </c>
    </row>
    <row r="13" ht="118.5" customHeight="1">
      <c r="A13" s="56" t="s">
        <v>979</v>
      </c>
    </row>
    <row r="14" ht="15.75">
      <c r="A14" s="56"/>
    </row>
    <row r="15" ht="83.25" customHeight="1">
      <c r="A15" s="56" t="s">
        <v>986</v>
      </c>
    </row>
    <row r="17" ht="15.75">
      <c r="A17" s="52" t="s">
        <v>190</v>
      </c>
    </row>
    <row r="18" ht="15.75">
      <c r="A18" s="52"/>
    </row>
    <row r="19" ht="15.75">
      <c r="A19" s="55" t="s">
        <v>985</v>
      </c>
    </row>
    <row r="21" ht="22.5" customHeight="1">
      <c r="A21" s="53" t="s">
        <v>177</v>
      </c>
    </row>
    <row r="22" ht="15.75" customHeight="1"/>
    <row r="23" ht="57.75" customHeight="1">
      <c r="A23" s="57" t="s">
        <v>413</v>
      </c>
    </row>
    <row r="24" ht="18.75" customHeight="1">
      <c r="A24" s="57"/>
    </row>
    <row r="26" ht="15.75">
      <c r="A26" s="52" t="s">
        <v>440</v>
      </c>
    </row>
    <row r="28" ht="34.5" customHeight="1">
      <c r="A28" s="56" t="s">
        <v>973</v>
      </c>
    </row>
    <row r="29" ht="9.75" customHeight="1">
      <c r="A29" s="56"/>
    </row>
    <row r="30" ht="15.75">
      <c r="A30" s="58" t="s">
        <v>273</v>
      </c>
    </row>
    <row r="31" ht="15.75">
      <c r="A31" s="56"/>
    </row>
    <row r="32" ht="17.25" customHeight="1">
      <c r="A32" s="59" t="s">
        <v>572</v>
      </c>
    </row>
    <row r="33" ht="17.25" customHeight="1">
      <c r="A33" s="60"/>
    </row>
    <row r="34" ht="87.75" customHeight="1">
      <c r="A34" s="61" t="s">
        <v>978</v>
      </c>
    </row>
    <row r="36" ht="15.75">
      <c r="A36" s="62" t="s">
        <v>274</v>
      </c>
    </row>
    <row r="38" ht="15.75">
      <c r="A38" s="63" t="s">
        <v>977</v>
      </c>
    </row>
    <row r="40" ht="15.75">
      <c r="A40" s="56" t="s">
        <v>441</v>
      </c>
    </row>
    <row r="42" ht="15.75">
      <c r="A42" s="52" t="s">
        <v>442</v>
      </c>
    </row>
    <row r="44" ht="70.5" customHeight="1">
      <c r="A44" s="56" t="s">
        <v>109</v>
      </c>
    </row>
    <row r="45" ht="52.5" customHeight="1">
      <c r="A45" s="64" t="s">
        <v>275</v>
      </c>
    </row>
    <row r="46" ht="15.75">
      <c r="A46" s="56"/>
    </row>
    <row r="47" ht="68.25" customHeight="1">
      <c r="A47" s="56" t="s">
        <v>110</v>
      </c>
    </row>
    <row r="48" ht="53.25" customHeight="1">
      <c r="A48" s="56" t="s">
        <v>276</v>
      </c>
    </row>
    <row r="49" ht="110.25" customHeight="1">
      <c r="A49" s="56" t="s">
        <v>410</v>
      </c>
    </row>
    <row r="50" ht="73.5" customHeight="1">
      <c r="A50" s="436" t="s">
        <v>111</v>
      </c>
    </row>
    <row r="51" ht="69.75" customHeight="1">
      <c r="A51" s="437" t="s">
        <v>157</v>
      </c>
    </row>
    <row r="52" ht="12" customHeight="1">
      <c r="A52" s="56"/>
    </row>
    <row r="53" ht="68.25" customHeight="1">
      <c r="A53" s="56" t="s">
        <v>158</v>
      </c>
    </row>
    <row r="54" ht="68.25" customHeight="1">
      <c r="A54" s="56" t="s">
        <v>159</v>
      </c>
    </row>
    <row r="55" ht="33.75" customHeight="1">
      <c r="A55" s="56" t="s">
        <v>160</v>
      </c>
    </row>
    <row r="56" ht="31.5">
      <c r="A56" s="56" t="s">
        <v>161</v>
      </c>
    </row>
    <row r="57" ht="15.75" customHeight="1"/>
    <row r="58" ht="68.25" customHeight="1">
      <c r="A58" s="56" t="s">
        <v>163</v>
      </c>
    </row>
    <row r="59" ht="118.5" customHeight="1">
      <c r="A59" s="56" t="s">
        <v>469</v>
      </c>
    </row>
    <row r="60" ht="31.5">
      <c r="A60" s="56" t="s">
        <v>470</v>
      </c>
    </row>
    <row r="61" ht="15.75">
      <c r="A61" s="56"/>
    </row>
    <row r="62" ht="70.5" customHeight="1">
      <c r="A62" s="56" t="s">
        <v>471</v>
      </c>
    </row>
    <row r="63" ht="15.75">
      <c r="A63" s="56"/>
    </row>
    <row r="64" ht="69" customHeight="1">
      <c r="A64" s="56" t="s">
        <v>472</v>
      </c>
    </row>
    <row r="65" ht="24.75" customHeight="1">
      <c r="A65" s="56" t="s">
        <v>198</v>
      </c>
    </row>
    <row r="66" ht="84.75" customHeight="1">
      <c r="A66" s="56" t="s">
        <v>199</v>
      </c>
    </row>
    <row r="67" ht="25.5" customHeight="1">
      <c r="A67" s="408" t="s">
        <v>197</v>
      </c>
    </row>
    <row r="68" ht="15.75">
      <c r="A68" s="56"/>
    </row>
    <row r="69" ht="60" customHeight="1">
      <c r="A69" s="56" t="s">
        <v>473</v>
      </c>
    </row>
    <row r="71" s="56" customFormat="1" ht="69" customHeight="1">
      <c r="A71" s="56" t="s">
        <v>474</v>
      </c>
    </row>
    <row r="73" ht="92.25" customHeight="1">
      <c r="A73" s="56" t="s">
        <v>475</v>
      </c>
    </row>
    <row r="74" ht="92.25" customHeight="1">
      <c r="A74" s="533" t="s">
        <v>112</v>
      </c>
    </row>
    <row r="75" ht="92.25" customHeight="1">
      <c r="A75" s="533" t="s">
        <v>1012</v>
      </c>
    </row>
    <row r="76" ht="72.75" customHeight="1">
      <c r="A76" s="56" t="s">
        <v>1013</v>
      </c>
    </row>
    <row r="77" ht="117" customHeight="1">
      <c r="A77" s="56" t="s">
        <v>1014</v>
      </c>
    </row>
    <row r="78" ht="140.25" customHeight="1">
      <c r="A78" s="56" t="s">
        <v>1015</v>
      </c>
    </row>
    <row r="79" ht="91.5" customHeight="1">
      <c r="A79" s="533" t="s">
        <v>1016</v>
      </c>
    </row>
    <row r="80" ht="132.75" customHeight="1">
      <c r="A80" s="56" t="s">
        <v>839</v>
      </c>
    </row>
    <row r="81" ht="37.5" customHeight="1">
      <c r="A81" s="56" t="s">
        <v>840</v>
      </c>
    </row>
    <row r="82" ht="87" customHeight="1">
      <c r="A82" s="56" t="s">
        <v>841</v>
      </c>
    </row>
    <row r="83" ht="36.75" customHeight="1">
      <c r="A83" s="56" t="s">
        <v>842</v>
      </c>
    </row>
    <row r="84" ht="125.25" customHeight="1">
      <c r="A84" s="65" t="s">
        <v>843</v>
      </c>
    </row>
    <row r="85" ht="117.75" customHeight="1">
      <c r="A85" s="65" t="s">
        <v>162</v>
      </c>
    </row>
    <row r="86" ht="73.5" customHeight="1">
      <c r="A86" s="56" t="s">
        <v>883</v>
      </c>
    </row>
    <row r="88" ht="138" customHeight="1">
      <c r="A88" s="56" t="s">
        <v>183</v>
      </c>
    </row>
    <row r="89" ht="130.5" customHeight="1">
      <c r="A89" s="56" t="s">
        <v>184</v>
      </c>
    </row>
    <row r="90" ht="53.25" customHeight="1">
      <c r="A90" s="56" t="s">
        <v>186</v>
      </c>
    </row>
    <row r="91" ht="19.5" customHeight="1">
      <c r="A91" s="56" t="s">
        <v>185</v>
      </c>
    </row>
    <row r="93" ht="52.5" customHeight="1">
      <c r="A93" s="56" t="s">
        <v>187</v>
      </c>
    </row>
    <row r="94" ht="24.75" customHeight="1">
      <c r="A94" s="438" t="s">
        <v>188</v>
      </c>
    </row>
    <row r="95" ht="85.5" customHeight="1">
      <c r="A95" s="533" t="s">
        <v>884</v>
      </c>
    </row>
    <row r="96" ht="90" customHeight="1">
      <c r="A96" s="533" t="s">
        <v>885</v>
      </c>
    </row>
    <row r="97" ht="36.75" customHeight="1">
      <c r="A97" s="56" t="s">
        <v>886</v>
      </c>
    </row>
    <row r="98" ht="52.5" customHeight="1">
      <c r="A98" s="56" t="s">
        <v>887</v>
      </c>
    </row>
    <row r="99" ht="56.25" customHeight="1">
      <c r="A99" s="56" t="s">
        <v>888</v>
      </c>
    </row>
    <row r="101" ht="66" customHeight="1">
      <c r="A101" s="56" t="s">
        <v>189</v>
      </c>
    </row>
    <row r="102" ht="17.25" customHeight="1"/>
    <row r="103" ht="64.5" customHeight="1">
      <c r="A103" s="533" t="s">
        <v>889</v>
      </c>
    </row>
    <row r="104" ht="106.5" customHeight="1">
      <c r="A104" s="533" t="s">
        <v>890</v>
      </c>
    </row>
    <row r="105" ht="117.75" customHeight="1">
      <c r="A105" s="533" t="s">
        <v>608</v>
      </c>
    </row>
  </sheetData>
  <sheetProtection sheet="1"/>
  <printOptions/>
  <pageMargins left="0.5" right="0.5" top="0.5" bottom="0.5" header="0.5" footer="0.5"/>
  <pageSetup blackAndWhite="1" fitToHeight="2" horizontalDpi="300" verticalDpi="300" orientation="portrait" scale="90" r:id="rId1"/>
  <rowBreaks count="3" manualBreakCount="3">
    <brk id="24" max="0" man="1"/>
    <brk id="57" max="0" man="1"/>
    <brk id="80" max="0" man="1"/>
  </rowBreaks>
</worksheet>
</file>

<file path=xl/worksheets/sheet10.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E12" sqref="E12"/>
    </sheetView>
  </sheetViews>
  <sheetFormatPr defaultColWidth="8.796875" defaultRowHeight="15"/>
  <cols>
    <col min="1" max="2" width="17.796875" style="126" customWidth="1"/>
    <col min="3" max="6" width="12.796875" style="126" customWidth="1"/>
    <col min="7" max="16384" width="8.8984375" style="126" customWidth="1"/>
  </cols>
  <sheetData>
    <row r="1" spans="1:6" ht="15.75">
      <c r="A1" s="205"/>
      <c r="B1" s="69"/>
      <c r="C1" s="69"/>
      <c r="D1" s="69"/>
      <c r="E1" s="109"/>
      <c r="F1" s="69">
        <f>inputPrYr!C5</f>
        <v>2012</v>
      </c>
    </row>
    <row r="2" spans="1:6" ht="15.75">
      <c r="A2" s="127" t="str">
        <f>inputPrYr!C3</f>
        <v>MORRIS COUNTY</v>
      </c>
      <c r="B2" s="127"/>
      <c r="C2" s="69"/>
      <c r="D2" s="69"/>
      <c r="E2" s="109"/>
      <c r="F2" s="69"/>
    </row>
    <row r="3" spans="1:6" ht="15.75">
      <c r="A3" s="205"/>
      <c r="B3" s="127"/>
      <c r="C3" s="69"/>
      <c r="D3" s="69"/>
      <c r="E3" s="109"/>
      <c r="F3" s="69"/>
    </row>
    <row r="4" spans="1:6" ht="15.75">
      <c r="A4" s="205"/>
      <c r="B4" s="69"/>
      <c r="C4" s="69"/>
      <c r="D4" s="69"/>
      <c r="E4" s="109"/>
      <c r="F4" s="69"/>
    </row>
    <row r="5" spans="1:6" ht="15" customHeight="1">
      <c r="A5" s="684" t="s">
        <v>574</v>
      </c>
      <c r="B5" s="684"/>
      <c r="C5" s="684"/>
      <c r="D5" s="684"/>
      <c r="E5" s="684"/>
      <c r="F5" s="684"/>
    </row>
    <row r="6" spans="1:6" ht="14.25" customHeight="1">
      <c r="A6" s="206"/>
      <c r="B6" s="241"/>
      <c r="C6" s="241"/>
      <c r="D6" s="241"/>
      <c r="E6" s="241"/>
      <c r="F6" s="241"/>
    </row>
    <row r="7" spans="1:6" ht="15" customHeight="1">
      <c r="A7" s="242" t="s">
        <v>201</v>
      </c>
      <c r="B7" s="242" t="s">
        <v>202</v>
      </c>
      <c r="C7" s="243" t="s">
        <v>480</v>
      </c>
      <c r="D7" s="243" t="s">
        <v>589</v>
      </c>
      <c r="E7" s="242" t="s">
        <v>590</v>
      </c>
      <c r="F7" s="242" t="s">
        <v>222</v>
      </c>
    </row>
    <row r="8" spans="1:6" ht="15" customHeight="1">
      <c r="A8" s="244" t="s">
        <v>203</v>
      </c>
      <c r="B8" s="244" t="s">
        <v>204</v>
      </c>
      <c r="C8" s="245" t="s">
        <v>221</v>
      </c>
      <c r="D8" s="245" t="s">
        <v>221</v>
      </c>
      <c r="E8" s="245" t="s">
        <v>221</v>
      </c>
      <c r="F8" s="245" t="s">
        <v>591</v>
      </c>
    </row>
    <row r="9" spans="1:6" s="203" customFormat="1" ht="15" customHeight="1" thickBot="1">
      <c r="A9" s="246" t="s">
        <v>219</v>
      </c>
      <c r="B9" s="247" t="s">
        <v>220</v>
      </c>
      <c r="C9" s="247">
        <f>F1-2</f>
        <v>2010</v>
      </c>
      <c r="D9" s="247">
        <f>F1-1</f>
        <v>2011</v>
      </c>
      <c r="E9" s="247">
        <f>F1</f>
        <v>2012</v>
      </c>
      <c r="F9" s="247" t="s">
        <v>444</v>
      </c>
    </row>
    <row r="10" spans="1:6" ht="15" customHeight="1" thickTop="1">
      <c r="A10" s="248" t="s">
        <v>307</v>
      </c>
      <c r="B10" s="248" t="s">
        <v>42</v>
      </c>
      <c r="C10" s="249">
        <v>218000</v>
      </c>
      <c r="D10" s="249">
        <v>300000</v>
      </c>
      <c r="E10" s="249">
        <v>400000</v>
      </c>
      <c r="F10" s="248" t="s">
        <v>306</v>
      </c>
    </row>
    <row r="11" spans="1:6" ht="15" customHeight="1">
      <c r="A11" s="93" t="s">
        <v>307</v>
      </c>
      <c r="B11" s="93" t="s">
        <v>43</v>
      </c>
      <c r="C11" s="250"/>
      <c r="D11" s="250"/>
      <c r="E11" s="250">
        <v>100000</v>
      </c>
      <c r="F11" s="248" t="s">
        <v>308</v>
      </c>
    </row>
    <row r="12" spans="1:6" ht="15" customHeight="1">
      <c r="A12" s="93" t="s">
        <v>309</v>
      </c>
      <c r="B12" s="93" t="s">
        <v>42</v>
      </c>
      <c r="C12" s="250">
        <v>35246</v>
      </c>
      <c r="D12" s="250">
        <v>38518</v>
      </c>
      <c r="E12" s="250">
        <v>40000</v>
      </c>
      <c r="F12" s="248" t="s">
        <v>306</v>
      </c>
    </row>
    <row r="13" spans="1:6" ht="15" customHeight="1">
      <c r="A13" s="93"/>
      <c r="B13" s="93"/>
      <c r="C13" s="250"/>
      <c r="D13" s="250"/>
      <c r="E13" s="250"/>
      <c r="F13" s="248"/>
    </row>
    <row r="14" spans="1:6" ht="15" customHeight="1">
      <c r="A14" s="93"/>
      <c r="B14" s="93"/>
      <c r="C14" s="250"/>
      <c r="D14" s="250"/>
      <c r="E14" s="250"/>
      <c r="F14" s="248"/>
    </row>
    <row r="15" spans="1:6" ht="15" customHeight="1">
      <c r="A15" s="93"/>
      <c r="B15" s="93"/>
      <c r="C15" s="250"/>
      <c r="D15" s="250"/>
      <c r="E15" s="250"/>
      <c r="F15" s="248"/>
    </row>
    <row r="16" spans="1:6" ht="15" customHeight="1">
      <c r="A16" s="93"/>
      <c r="B16" s="93"/>
      <c r="C16" s="250"/>
      <c r="D16" s="250"/>
      <c r="E16" s="250"/>
      <c r="F16" s="248"/>
    </row>
    <row r="17" spans="1:6" ht="15" customHeight="1">
      <c r="A17" s="93"/>
      <c r="B17" s="93"/>
      <c r="C17" s="250"/>
      <c r="D17" s="250"/>
      <c r="E17" s="250"/>
      <c r="F17" s="248"/>
    </row>
    <row r="18" spans="1:6" ht="15" customHeight="1">
      <c r="A18" s="93"/>
      <c r="B18" s="93"/>
      <c r="C18" s="250"/>
      <c r="D18" s="250"/>
      <c r="E18" s="250"/>
      <c r="F18" s="248"/>
    </row>
    <row r="19" spans="1:6" ht="15" customHeight="1">
      <c r="A19" s="93"/>
      <c r="B19" s="93"/>
      <c r="C19" s="250"/>
      <c r="D19" s="250"/>
      <c r="E19" s="250"/>
      <c r="F19" s="248"/>
    </row>
    <row r="20" spans="1:6" ht="15" customHeight="1">
      <c r="A20" s="93"/>
      <c r="B20" s="93"/>
      <c r="C20" s="250"/>
      <c r="D20" s="250"/>
      <c r="E20" s="250"/>
      <c r="F20" s="248"/>
    </row>
    <row r="21" spans="1:6" ht="15" customHeight="1">
      <c r="A21" s="93"/>
      <c r="B21" s="93"/>
      <c r="C21" s="250"/>
      <c r="D21" s="250"/>
      <c r="E21" s="250"/>
      <c r="F21" s="248"/>
    </row>
    <row r="22" spans="1:6" ht="15" customHeight="1">
      <c r="A22" s="93"/>
      <c r="B22" s="93"/>
      <c r="C22" s="250"/>
      <c r="D22" s="250"/>
      <c r="E22" s="250"/>
      <c r="F22" s="248"/>
    </row>
    <row r="23" spans="1:6" ht="15" customHeight="1">
      <c r="A23" s="93"/>
      <c r="B23" s="93"/>
      <c r="C23" s="250"/>
      <c r="D23" s="250"/>
      <c r="E23" s="250"/>
      <c r="F23" s="248"/>
    </row>
    <row r="24" spans="1:6" ht="15" customHeight="1">
      <c r="A24" s="93"/>
      <c r="B24" s="93"/>
      <c r="C24" s="250"/>
      <c r="D24" s="250"/>
      <c r="E24" s="250"/>
      <c r="F24" s="248"/>
    </row>
    <row r="25" spans="1:6" ht="15" customHeight="1">
      <c r="A25" s="93"/>
      <c r="B25" s="93"/>
      <c r="C25" s="250"/>
      <c r="D25" s="250"/>
      <c r="E25" s="250"/>
      <c r="F25" s="248"/>
    </row>
    <row r="26" spans="1:6" ht="15" customHeight="1">
      <c r="A26" s="93"/>
      <c r="B26" s="93"/>
      <c r="C26" s="250"/>
      <c r="D26" s="250"/>
      <c r="E26" s="250"/>
      <c r="F26" s="248"/>
    </row>
    <row r="27" spans="1:6" ht="15.75">
      <c r="A27" s="119"/>
      <c r="B27" s="251" t="s">
        <v>446</v>
      </c>
      <c r="C27" s="100">
        <f>SUM(C10:C26)</f>
        <v>253246</v>
      </c>
      <c r="D27" s="100">
        <f>SUM(D10:D26)</f>
        <v>338518</v>
      </c>
      <c r="E27" s="100">
        <f>SUM(E10:E26)</f>
        <v>540000</v>
      </c>
      <c r="F27" s="119"/>
    </row>
    <row r="28" spans="1:6" ht="15.75">
      <c r="A28" s="119"/>
      <c r="B28" s="252" t="s">
        <v>200</v>
      </c>
      <c r="C28" s="119"/>
      <c r="D28" s="93"/>
      <c r="E28" s="93"/>
      <c r="F28" s="119"/>
    </row>
    <row r="29" spans="1:6" ht="15.75">
      <c r="A29" s="119"/>
      <c r="B29" s="251" t="s">
        <v>223</v>
      </c>
      <c r="C29" s="100">
        <f>C27</f>
        <v>253246</v>
      </c>
      <c r="D29" s="100">
        <f>SUM(D27-D28)</f>
        <v>338518</v>
      </c>
      <c r="E29" s="100">
        <f>SUM(E27-E28)</f>
        <v>540000</v>
      </c>
      <c r="F29" s="119"/>
    </row>
    <row r="30" spans="1:6" ht="15.75">
      <c r="A30" s="119"/>
      <c r="B30" s="119"/>
      <c r="C30" s="119"/>
      <c r="D30" s="119"/>
      <c r="E30" s="119"/>
      <c r="F30" s="119"/>
    </row>
    <row r="31" spans="1:6" ht="15.75">
      <c r="A31" s="119"/>
      <c r="B31" s="119"/>
      <c r="C31" s="119"/>
      <c r="D31" s="119"/>
      <c r="E31" s="119"/>
      <c r="F31" s="119"/>
    </row>
    <row r="32" spans="1:6" ht="15.75">
      <c r="A32" s="441" t="s">
        <v>205</v>
      </c>
      <c r="B32" s="442" t="str">
        <f>CONCATENATE("Adjustments are required only if the transfer is being made in ",D9," and/or ",E9," from a non-budgeted fund.")</f>
        <v>Adjustments are required only if the transfer is being made in 2011 and/or 2012 from a non-budgeted fund.</v>
      </c>
      <c r="C32" s="119"/>
      <c r="D32" s="119"/>
      <c r="E32" s="119"/>
      <c r="F32" s="119"/>
    </row>
  </sheetData>
  <sheetProtection sheet="1" objects="1" scenarios="1"/>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County</oddHeader>
    <oddFooter>&amp;CPage No. 4</oddFooter>
  </headerFooter>
</worksheet>
</file>

<file path=xl/worksheets/sheet11.xml><?xml version="1.0" encoding="utf-8"?>
<worksheet xmlns="http://schemas.openxmlformats.org/spreadsheetml/2006/main" xmlns:r="http://schemas.openxmlformats.org/officeDocument/2006/relationships">
  <dimension ref="A1:G46"/>
  <sheetViews>
    <sheetView zoomScalePageLayoutView="0" workbookViewId="0" topLeftCell="A1">
      <selection activeCell="A1" sqref="A1"/>
    </sheetView>
  </sheetViews>
  <sheetFormatPr defaultColWidth="8.796875" defaultRowHeight="15"/>
  <cols>
    <col min="1" max="1" width="70.3984375" style="48" customWidth="1"/>
    <col min="2" max="16384" width="8.8984375" style="48" customWidth="1"/>
  </cols>
  <sheetData>
    <row r="1" spans="1:7" ht="30" customHeight="1">
      <c r="A1" s="410" t="s">
        <v>420</v>
      </c>
      <c r="B1" s="50"/>
      <c r="C1" s="50"/>
      <c r="D1" s="50"/>
      <c r="E1" s="50"/>
      <c r="F1" s="50"/>
      <c r="G1" s="50"/>
    </row>
    <row r="2" ht="15.75" customHeight="1">
      <c r="A2" s="1"/>
    </row>
    <row r="3" ht="54" customHeight="1">
      <c r="A3" s="463" t="s">
        <v>915</v>
      </c>
    </row>
    <row r="4" ht="15.75" customHeight="1">
      <c r="A4" s="1"/>
    </row>
    <row r="5" ht="52.5" customHeight="1">
      <c r="A5" s="463" t="s">
        <v>916</v>
      </c>
    </row>
    <row r="6" ht="15.75" customHeight="1">
      <c r="A6" s="1"/>
    </row>
    <row r="7" s="51" customFormat="1" ht="45.75" customHeight="1">
      <c r="A7" s="411" t="s">
        <v>891</v>
      </c>
    </row>
    <row r="8" ht="15.75" customHeight="1">
      <c r="A8" s="1"/>
    </row>
    <row r="9" ht="46.5" customHeight="1">
      <c r="A9" s="411" t="s">
        <v>892</v>
      </c>
    </row>
    <row r="10" ht="15.75" customHeight="1"/>
    <row r="11" ht="45.75" customHeight="1">
      <c r="A11" s="411" t="s">
        <v>893</v>
      </c>
    </row>
    <row r="12" ht="15.75" customHeight="1">
      <c r="A12" s="1"/>
    </row>
    <row r="13" ht="62.25" customHeight="1">
      <c r="A13" s="411" t="s">
        <v>894</v>
      </c>
    </row>
    <row r="14" ht="15.75" customHeight="1">
      <c r="A14" s="1"/>
    </row>
    <row r="15" ht="32.25" customHeight="1">
      <c r="A15" s="411" t="s">
        <v>895</v>
      </c>
    </row>
    <row r="16" ht="15.75" customHeight="1"/>
    <row r="17" ht="67.5" customHeight="1">
      <c r="A17" s="412" t="s">
        <v>917</v>
      </c>
    </row>
    <row r="18" ht="15.75" customHeight="1"/>
    <row r="19" ht="81" customHeight="1">
      <c r="A19" s="412" t="s">
        <v>896</v>
      </c>
    </row>
    <row r="20" ht="15.75" customHeight="1">
      <c r="A20" s="1"/>
    </row>
    <row r="21" ht="78" customHeight="1">
      <c r="A21" s="411" t="s">
        <v>897</v>
      </c>
    </row>
    <row r="22" ht="15.75" customHeight="1">
      <c r="A22" s="1"/>
    </row>
    <row r="23" ht="44.25" customHeight="1">
      <c r="A23" s="411" t="s">
        <v>898</v>
      </c>
    </row>
    <row r="24" ht="15.75" customHeight="1"/>
    <row r="25" ht="53.25" customHeight="1">
      <c r="A25" s="412" t="s">
        <v>899</v>
      </c>
    </row>
    <row r="26" ht="16.5" customHeight="1">
      <c r="A26" s="1"/>
    </row>
    <row r="27" ht="40.5" customHeight="1">
      <c r="A27" s="463" t="s">
        <v>918</v>
      </c>
    </row>
    <row r="28" ht="16.5" customHeight="1">
      <c r="A28" s="1"/>
    </row>
    <row r="29" ht="69.75" customHeight="1">
      <c r="A29" s="411" t="s">
        <v>900</v>
      </c>
    </row>
    <row r="30" ht="15.75" customHeight="1">
      <c r="A30" s="1"/>
    </row>
    <row r="31" ht="58.5" customHeight="1">
      <c r="A31" s="411" t="s">
        <v>901</v>
      </c>
    </row>
    <row r="33" ht="60.75" customHeight="1">
      <c r="A33" s="411" t="s">
        <v>902</v>
      </c>
    </row>
    <row r="34" ht="15.75">
      <c r="A34" s="1"/>
    </row>
    <row r="35" ht="82.5" customHeight="1">
      <c r="A35" s="411" t="s">
        <v>903</v>
      </c>
    </row>
    <row r="36" ht="15.75">
      <c r="A36" s="409"/>
    </row>
    <row r="37" ht="15.75">
      <c r="A37" s="409"/>
    </row>
    <row r="39" ht="15.75">
      <c r="A39" s="409"/>
    </row>
    <row r="40" ht="15.75">
      <c r="A40" s="409"/>
    </row>
    <row r="42" ht="15.75">
      <c r="A42" s="1"/>
    </row>
    <row r="43" ht="15.75">
      <c r="A43" s="409"/>
    </row>
    <row r="45" ht="15.75">
      <c r="A45" s="409"/>
    </row>
    <row r="46" ht="15.75">
      <c r="A46" s="409"/>
    </row>
  </sheetData>
  <sheetProtection sheet="1" objects="1" scenarios="1"/>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pageSetUpPr fitToPage="1"/>
  </sheetPr>
  <dimension ref="A1:AB52"/>
  <sheetViews>
    <sheetView zoomScale="75" zoomScaleNormal="75" zoomScalePageLayoutView="0" workbookViewId="0" topLeftCell="A22">
      <selection activeCell="A38" sqref="A38"/>
    </sheetView>
  </sheetViews>
  <sheetFormatPr defaultColWidth="8.796875" defaultRowHeight="15"/>
  <cols>
    <col min="1" max="1" width="20.796875" style="126" customWidth="1"/>
    <col min="2" max="2" width="9" style="126" customWidth="1"/>
    <col min="3" max="3" width="9.09765625" style="126" customWidth="1"/>
    <col min="4" max="4" width="8.796875" style="126" customWidth="1"/>
    <col min="5" max="5" width="12.796875" style="126" customWidth="1"/>
    <col min="6" max="6" width="13.69921875" style="126" customWidth="1"/>
    <col min="7" max="12" width="9.796875" style="126" customWidth="1"/>
    <col min="13" max="16384" width="8.8984375" style="126" customWidth="1"/>
  </cols>
  <sheetData>
    <row r="1" spans="1:12" ht="15.75">
      <c r="A1" s="205" t="str">
        <f>inputPrYr!$C$3</f>
        <v>MORRIS COUNTY</v>
      </c>
      <c r="B1" s="69"/>
      <c r="C1" s="69"/>
      <c r="D1" s="69"/>
      <c r="E1" s="69"/>
      <c r="F1" s="69"/>
      <c r="G1" s="69"/>
      <c r="H1" s="69"/>
      <c r="I1" s="69"/>
      <c r="J1" s="69"/>
      <c r="K1" s="69"/>
      <c r="L1" s="253">
        <f>inputPrYr!$C$5</f>
        <v>2012</v>
      </c>
    </row>
    <row r="2" spans="1:12" ht="15.75">
      <c r="A2" s="205"/>
      <c r="B2" s="69"/>
      <c r="C2" s="69"/>
      <c r="D2" s="69"/>
      <c r="E2" s="69"/>
      <c r="F2" s="69"/>
      <c r="G2" s="69"/>
      <c r="H2" s="69"/>
      <c r="I2" s="69"/>
      <c r="J2" s="69"/>
      <c r="K2" s="69"/>
      <c r="L2" s="109"/>
    </row>
    <row r="3" spans="1:12" ht="15.75">
      <c r="A3" s="254" t="s">
        <v>530</v>
      </c>
      <c r="B3" s="77"/>
      <c r="C3" s="77"/>
      <c r="D3" s="77"/>
      <c r="E3" s="77"/>
      <c r="F3" s="77"/>
      <c r="G3" s="77"/>
      <c r="H3" s="77"/>
      <c r="I3" s="77"/>
      <c r="J3" s="77"/>
      <c r="K3" s="77"/>
      <c r="L3" s="77"/>
    </row>
    <row r="4" spans="1:12" ht="15.75">
      <c r="A4" s="69"/>
      <c r="B4" s="255"/>
      <c r="C4" s="255"/>
      <c r="D4" s="255"/>
      <c r="E4" s="255"/>
      <c r="F4" s="255"/>
      <c r="G4" s="255"/>
      <c r="H4" s="255"/>
      <c r="I4" s="255"/>
      <c r="J4" s="255"/>
      <c r="K4" s="255"/>
      <c r="L4" s="255"/>
    </row>
    <row r="5" spans="1:12" ht="15.75">
      <c r="A5" s="69"/>
      <c r="B5" s="256" t="s">
        <v>496</v>
      </c>
      <c r="C5" s="256" t="s">
        <v>496</v>
      </c>
      <c r="D5" s="256" t="s">
        <v>511</v>
      </c>
      <c r="E5" s="256"/>
      <c r="F5" s="256" t="s">
        <v>236</v>
      </c>
      <c r="G5" s="69"/>
      <c r="H5" s="69"/>
      <c r="I5" s="257" t="s">
        <v>497</v>
      </c>
      <c r="J5" s="258"/>
      <c r="K5" s="257" t="s">
        <v>497</v>
      </c>
      <c r="L5" s="258"/>
    </row>
    <row r="6" spans="1:12" ht="15.75">
      <c r="A6" s="69"/>
      <c r="B6" s="259" t="s">
        <v>498</v>
      </c>
      <c r="C6" s="259" t="s">
        <v>237</v>
      </c>
      <c r="D6" s="259" t="s">
        <v>499</v>
      </c>
      <c r="E6" s="259" t="s">
        <v>466</v>
      </c>
      <c r="F6" s="259" t="s">
        <v>575</v>
      </c>
      <c r="G6" s="689" t="s">
        <v>500</v>
      </c>
      <c r="H6" s="690"/>
      <c r="I6" s="691">
        <f>L1-1</f>
        <v>2011</v>
      </c>
      <c r="J6" s="692"/>
      <c r="K6" s="691">
        <f>L1</f>
        <v>2012</v>
      </c>
      <c r="L6" s="692"/>
    </row>
    <row r="7" spans="1:12" ht="15.75">
      <c r="A7" s="261" t="s">
        <v>501</v>
      </c>
      <c r="B7" s="262" t="s">
        <v>502</v>
      </c>
      <c r="C7" s="262" t="s">
        <v>238</v>
      </c>
      <c r="D7" s="262" t="s">
        <v>867</v>
      </c>
      <c r="E7" s="262" t="s">
        <v>503</v>
      </c>
      <c r="F7" s="260" t="str">
        <f>CONCATENATE("Jan 1,",L1-1,"")</f>
        <v>Jan 1,2011</v>
      </c>
      <c r="G7" s="251" t="s">
        <v>511</v>
      </c>
      <c r="H7" s="251" t="s">
        <v>512</v>
      </c>
      <c r="I7" s="251" t="s">
        <v>511</v>
      </c>
      <c r="J7" s="251" t="s">
        <v>512</v>
      </c>
      <c r="K7" s="251" t="s">
        <v>511</v>
      </c>
      <c r="L7" s="251" t="s">
        <v>512</v>
      </c>
    </row>
    <row r="8" spans="1:12" ht="15.75">
      <c r="A8" s="261" t="s">
        <v>504</v>
      </c>
      <c r="B8" s="164"/>
      <c r="C8" s="164"/>
      <c r="D8" s="263"/>
      <c r="E8" s="264"/>
      <c r="F8" s="264"/>
      <c r="G8" s="164"/>
      <c r="H8" s="164"/>
      <c r="I8" s="264"/>
      <c r="J8" s="264"/>
      <c r="K8" s="264"/>
      <c r="L8" s="264"/>
    </row>
    <row r="9" spans="1:12" ht="15.75">
      <c r="A9" s="265"/>
      <c r="B9" s="443"/>
      <c r="C9" s="443"/>
      <c r="D9" s="266"/>
      <c r="E9" s="267"/>
      <c r="F9" s="268"/>
      <c r="G9" s="269"/>
      <c r="H9" s="269"/>
      <c r="I9" s="268"/>
      <c r="J9" s="268"/>
      <c r="K9" s="268"/>
      <c r="L9" s="268"/>
    </row>
    <row r="10" spans="1:12" ht="15.75">
      <c r="A10" s="265"/>
      <c r="B10" s="443"/>
      <c r="C10" s="443"/>
      <c r="D10" s="266"/>
      <c r="E10" s="267"/>
      <c r="F10" s="268"/>
      <c r="G10" s="269"/>
      <c r="H10" s="269"/>
      <c r="I10" s="268"/>
      <c r="J10" s="268"/>
      <c r="K10" s="268"/>
      <c r="L10" s="268"/>
    </row>
    <row r="11" spans="1:12" ht="15.75">
      <c r="A11" s="265"/>
      <c r="B11" s="443"/>
      <c r="C11" s="443"/>
      <c r="D11" s="266"/>
      <c r="E11" s="267"/>
      <c r="F11" s="268"/>
      <c r="G11" s="269"/>
      <c r="H11" s="269"/>
      <c r="I11" s="268"/>
      <c r="J11" s="268"/>
      <c r="K11" s="268"/>
      <c r="L11" s="268"/>
    </row>
    <row r="12" spans="1:12" ht="15.75">
      <c r="A12" s="265"/>
      <c r="B12" s="443"/>
      <c r="C12" s="443"/>
      <c r="D12" s="266"/>
      <c r="E12" s="267"/>
      <c r="F12" s="268"/>
      <c r="G12" s="269"/>
      <c r="H12" s="269"/>
      <c r="I12" s="268"/>
      <c r="J12" s="268"/>
      <c r="K12" s="268"/>
      <c r="L12" s="268"/>
    </row>
    <row r="13" spans="1:12" ht="15.75">
      <c r="A13" s="265"/>
      <c r="B13" s="443"/>
      <c r="C13" s="443"/>
      <c r="D13" s="266"/>
      <c r="E13" s="267"/>
      <c r="F13" s="268"/>
      <c r="G13" s="269"/>
      <c r="H13" s="269"/>
      <c r="I13" s="268"/>
      <c r="J13" s="268"/>
      <c r="K13" s="268"/>
      <c r="L13" s="268"/>
    </row>
    <row r="14" spans="1:12" ht="15.75">
      <c r="A14" s="265"/>
      <c r="B14" s="443"/>
      <c r="C14" s="443"/>
      <c r="D14" s="266"/>
      <c r="E14" s="267"/>
      <c r="F14" s="268"/>
      <c r="G14" s="269"/>
      <c r="H14" s="269"/>
      <c r="I14" s="268"/>
      <c r="J14" s="268"/>
      <c r="K14" s="268"/>
      <c r="L14" s="268"/>
    </row>
    <row r="15" spans="1:12" ht="15.75">
      <c r="A15" s="265"/>
      <c r="B15" s="443"/>
      <c r="C15" s="443"/>
      <c r="D15" s="266"/>
      <c r="E15" s="267"/>
      <c r="F15" s="268"/>
      <c r="G15" s="269"/>
      <c r="H15" s="269"/>
      <c r="I15" s="268"/>
      <c r="J15" s="268"/>
      <c r="K15" s="268"/>
      <c r="L15" s="268"/>
    </row>
    <row r="16" spans="1:12" ht="15.75">
      <c r="A16" s="265"/>
      <c r="B16" s="443"/>
      <c r="C16" s="443"/>
      <c r="D16" s="266"/>
      <c r="E16" s="267"/>
      <c r="F16" s="268"/>
      <c r="G16" s="269"/>
      <c r="H16" s="269"/>
      <c r="I16" s="268"/>
      <c r="J16" s="268"/>
      <c r="K16" s="268"/>
      <c r="L16" s="268"/>
    </row>
    <row r="17" spans="1:12" ht="15.75">
      <c r="A17" s="265"/>
      <c r="B17" s="443"/>
      <c r="C17" s="443"/>
      <c r="D17" s="266"/>
      <c r="E17" s="267"/>
      <c r="F17" s="268"/>
      <c r="G17" s="269"/>
      <c r="H17" s="269"/>
      <c r="I17" s="268"/>
      <c r="J17" s="268"/>
      <c r="K17" s="268"/>
      <c r="L17" s="268"/>
    </row>
    <row r="18" spans="1:12" ht="15.75">
      <c r="A18" s="265"/>
      <c r="B18" s="443"/>
      <c r="C18" s="443"/>
      <c r="D18" s="266"/>
      <c r="E18" s="267"/>
      <c r="F18" s="268"/>
      <c r="G18" s="269"/>
      <c r="H18" s="269"/>
      <c r="I18" s="268"/>
      <c r="J18" s="268"/>
      <c r="K18" s="268"/>
      <c r="L18" s="268"/>
    </row>
    <row r="19" spans="1:12" ht="15.75">
      <c r="A19" s="265"/>
      <c r="B19" s="443"/>
      <c r="C19" s="443"/>
      <c r="D19" s="266"/>
      <c r="E19" s="267"/>
      <c r="F19" s="268"/>
      <c r="G19" s="269"/>
      <c r="H19" s="269"/>
      <c r="I19" s="268"/>
      <c r="J19" s="268"/>
      <c r="K19" s="268"/>
      <c r="L19" s="268"/>
    </row>
    <row r="20" spans="1:12" ht="15.75">
      <c r="A20" s="265"/>
      <c r="B20" s="443"/>
      <c r="C20" s="443"/>
      <c r="D20" s="266"/>
      <c r="E20" s="267"/>
      <c r="F20" s="268"/>
      <c r="G20" s="269"/>
      <c r="H20" s="269"/>
      <c r="I20" s="268"/>
      <c r="J20" s="268"/>
      <c r="K20" s="268"/>
      <c r="L20" s="268"/>
    </row>
    <row r="21" spans="1:12" ht="15.75">
      <c r="A21" s="265"/>
      <c r="B21" s="443"/>
      <c r="C21" s="443"/>
      <c r="D21" s="266"/>
      <c r="E21" s="267"/>
      <c r="F21" s="268"/>
      <c r="G21" s="269"/>
      <c r="H21" s="269"/>
      <c r="I21" s="268"/>
      <c r="J21" s="268"/>
      <c r="K21" s="268"/>
      <c r="L21" s="268"/>
    </row>
    <row r="22" spans="1:12" ht="15.75">
      <c r="A22" s="270" t="s">
        <v>505</v>
      </c>
      <c r="B22" s="271"/>
      <c r="C22" s="271"/>
      <c r="D22" s="272"/>
      <c r="E22" s="273"/>
      <c r="F22" s="274">
        <f>SUM(F9:F21)</f>
        <v>0</v>
      </c>
      <c r="G22" s="275"/>
      <c r="H22" s="275"/>
      <c r="I22" s="274">
        <f>SUM(I9:I21)</f>
        <v>0</v>
      </c>
      <c r="J22" s="274">
        <f>SUM(J9:J21)</f>
        <v>0</v>
      </c>
      <c r="K22" s="274">
        <f>SUM(K9:K21)</f>
        <v>0</v>
      </c>
      <c r="L22" s="274">
        <f>SUM(L9:L21)</f>
        <v>0</v>
      </c>
    </row>
    <row r="23" spans="1:12" ht="15.75">
      <c r="A23" s="251" t="s">
        <v>506</v>
      </c>
      <c r="B23" s="276"/>
      <c r="C23" s="276"/>
      <c r="D23" s="277"/>
      <c r="E23" s="278"/>
      <c r="F23" s="278"/>
      <c r="G23" s="279"/>
      <c r="H23" s="279"/>
      <c r="I23" s="278"/>
      <c r="J23" s="278"/>
      <c r="K23" s="278"/>
      <c r="L23" s="278"/>
    </row>
    <row r="24" spans="1:12" ht="15.75">
      <c r="A24" s="265"/>
      <c r="B24" s="443"/>
      <c r="C24" s="443"/>
      <c r="D24" s="266"/>
      <c r="E24" s="267"/>
      <c r="F24" s="268"/>
      <c r="G24" s="269"/>
      <c r="H24" s="269"/>
      <c r="I24" s="268"/>
      <c r="J24" s="268"/>
      <c r="K24" s="268"/>
      <c r="L24" s="268"/>
    </row>
    <row r="25" spans="1:12" ht="15.75">
      <c r="A25" s="265" t="s">
        <v>310</v>
      </c>
      <c r="B25" s="443">
        <v>37551</v>
      </c>
      <c r="C25" s="443">
        <v>48509</v>
      </c>
      <c r="D25" s="266">
        <v>4.63</v>
      </c>
      <c r="E25" s="267">
        <v>1000000</v>
      </c>
      <c r="F25" s="268">
        <v>865000</v>
      </c>
      <c r="G25" s="269" t="s">
        <v>311</v>
      </c>
      <c r="H25" s="269" t="s">
        <v>311</v>
      </c>
      <c r="I25" s="268">
        <v>40006</v>
      </c>
      <c r="J25" s="268">
        <v>25000</v>
      </c>
      <c r="K25" s="268">
        <v>38871</v>
      </c>
      <c r="L25" s="268">
        <v>25000</v>
      </c>
    </row>
    <row r="26" spans="1:12" ht="15.75">
      <c r="A26" s="265"/>
      <c r="B26" s="443"/>
      <c r="C26" s="443"/>
      <c r="D26" s="266"/>
      <c r="E26" s="267"/>
      <c r="F26" s="268"/>
      <c r="G26" s="269"/>
      <c r="H26" s="269"/>
      <c r="I26" s="268"/>
      <c r="J26" s="268"/>
      <c r="K26" s="268"/>
      <c r="L26" s="268"/>
    </row>
    <row r="27" spans="1:12" ht="15.75">
      <c r="A27" s="265"/>
      <c r="B27" s="443"/>
      <c r="C27" s="443"/>
      <c r="D27" s="266"/>
      <c r="E27" s="267"/>
      <c r="F27" s="268"/>
      <c r="G27" s="269"/>
      <c r="H27" s="269"/>
      <c r="I27" s="268"/>
      <c r="J27" s="268"/>
      <c r="K27" s="268"/>
      <c r="L27" s="268"/>
    </row>
    <row r="28" spans="1:12" ht="15.75">
      <c r="A28" s="265"/>
      <c r="B28" s="443"/>
      <c r="C28" s="443"/>
      <c r="D28" s="266"/>
      <c r="E28" s="267"/>
      <c r="F28" s="268"/>
      <c r="G28" s="269"/>
      <c r="H28" s="269"/>
      <c r="I28" s="268"/>
      <c r="J28" s="268"/>
      <c r="K28" s="268"/>
      <c r="L28" s="268"/>
    </row>
    <row r="29" spans="1:12" ht="15.75">
      <c r="A29" s="265"/>
      <c r="B29" s="443"/>
      <c r="C29" s="443"/>
      <c r="D29" s="266"/>
      <c r="E29" s="267"/>
      <c r="F29" s="268"/>
      <c r="G29" s="269"/>
      <c r="H29" s="269"/>
      <c r="I29" s="268"/>
      <c r="J29" s="268"/>
      <c r="K29" s="268"/>
      <c r="L29" s="268"/>
    </row>
    <row r="30" spans="1:12" ht="15.75">
      <c r="A30" s="265"/>
      <c r="B30" s="443"/>
      <c r="C30" s="443"/>
      <c r="D30" s="266"/>
      <c r="E30" s="267"/>
      <c r="F30" s="268"/>
      <c r="G30" s="269"/>
      <c r="H30" s="269"/>
      <c r="I30" s="268"/>
      <c r="J30" s="268"/>
      <c r="K30" s="268"/>
      <c r="L30" s="268"/>
    </row>
    <row r="31" spans="1:12" ht="15.75">
      <c r="A31" s="265"/>
      <c r="B31" s="443"/>
      <c r="C31" s="443"/>
      <c r="D31" s="266"/>
      <c r="E31" s="267"/>
      <c r="F31" s="268"/>
      <c r="G31" s="269"/>
      <c r="H31" s="269"/>
      <c r="I31" s="268"/>
      <c r="J31" s="268"/>
      <c r="K31" s="268"/>
      <c r="L31" s="268"/>
    </row>
    <row r="32" spans="1:12" ht="15.75">
      <c r="A32" s="265"/>
      <c r="B32" s="443"/>
      <c r="C32" s="443"/>
      <c r="D32" s="266"/>
      <c r="E32" s="267"/>
      <c r="F32" s="268"/>
      <c r="G32" s="269"/>
      <c r="H32" s="269"/>
      <c r="I32" s="268"/>
      <c r="J32" s="268"/>
      <c r="K32" s="268"/>
      <c r="L32" s="268"/>
    </row>
    <row r="33" spans="1:12" ht="15.75">
      <c r="A33" s="265"/>
      <c r="B33" s="443"/>
      <c r="C33" s="443"/>
      <c r="D33" s="266"/>
      <c r="E33" s="267"/>
      <c r="F33" s="268"/>
      <c r="G33" s="269"/>
      <c r="H33" s="269"/>
      <c r="I33" s="268"/>
      <c r="J33" s="268"/>
      <c r="K33" s="268"/>
      <c r="L33" s="268"/>
    </row>
    <row r="34" spans="1:12" ht="15.75">
      <c r="A34" s="265"/>
      <c r="B34" s="443"/>
      <c r="C34" s="443"/>
      <c r="D34" s="266"/>
      <c r="E34" s="267"/>
      <c r="F34" s="268"/>
      <c r="G34" s="269"/>
      <c r="H34" s="269"/>
      <c r="I34" s="268"/>
      <c r="J34" s="268"/>
      <c r="K34" s="268"/>
      <c r="L34" s="268"/>
    </row>
    <row r="35" spans="1:12" ht="15.75">
      <c r="A35" s="270" t="s">
        <v>507</v>
      </c>
      <c r="B35" s="271"/>
      <c r="C35" s="271"/>
      <c r="D35" s="280"/>
      <c r="E35" s="273"/>
      <c r="F35" s="281">
        <f>SUM(F24:F34)</f>
        <v>865000</v>
      </c>
      <c r="G35" s="275"/>
      <c r="H35" s="275"/>
      <c r="I35" s="281">
        <f>SUM(I24:I34)</f>
        <v>40006</v>
      </c>
      <c r="J35" s="281">
        <f>SUM(J24:J34)</f>
        <v>25000</v>
      </c>
      <c r="K35" s="274">
        <f>SUM(K24:K34)</f>
        <v>38871</v>
      </c>
      <c r="L35" s="281">
        <f>SUM(L24:L34)</f>
        <v>25000</v>
      </c>
    </row>
    <row r="36" spans="1:12" ht="15.75">
      <c r="A36" s="251" t="s">
        <v>508</v>
      </c>
      <c r="B36" s="276"/>
      <c r="C36" s="276"/>
      <c r="D36" s="277"/>
      <c r="E36" s="278"/>
      <c r="F36" s="282"/>
      <c r="G36" s="279"/>
      <c r="H36" s="279"/>
      <c r="I36" s="278"/>
      <c r="J36" s="278"/>
      <c r="K36" s="278"/>
      <c r="L36" s="278"/>
    </row>
    <row r="37" spans="1:12" ht="15.75">
      <c r="A37" s="265"/>
      <c r="B37" s="443"/>
      <c r="C37" s="443"/>
      <c r="D37" s="266"/>
      <c r="E37" s="267"/>
      <c r="F37" s="268"/>
      <c r="G37" s="269"/>
      <c r="H37" s="269"/>
      <c r="I37" s="268"/>
      <c r="J37" s="268"/>
      <c r="K37" s="268"/>
      <c r="L37" s="268"/>
    </row>
    <row r="38" spans="1:12" ht="15.75">
      <c r="A38" s="265"/>
      <c r="B38" s="443"/>
      <c r="C38" s="443"/>
      <c r="D38" s="266"/>
      <c r="E38" s="267"/>
      <c r="F38" s="268"/>
      <c r="G38" s="269"/>
      <c r="H38" s="269"/>
      <c r="I38" s="268"/>
      <c r="J38" s="268"/>
      <c r="K38" s="268"/>
      <c r="L38" s="268"/>
    </row>
    <row r="39" spans="1:12" ht="15.75">
      <c r="A39" s="265"/>
      <c r="B39" s="443"/>
      <c r="C39" s="443"/>
      <c r="D39" s="266"/>
      <c r="E39" s="267"/>
      <c r="F39" s="268"/>
      <c r="G39" s="269"/>
      <c r="H39" s="269"/>
      <c r="I39" s="268"/>
      <c r="J39" s="268"/>
      <c r="K39" s="268"/>
      <c r="L39" s="268"/>
    </row>
    <row r="40" spans="1:12" ht="15.75">
      <c r="A40" s="265"/>
      <c r="B40" s="443"/>
      <c r="C40" s="443"/>
      <c r="D40" s="266"/>
      <c r="E40" s="267"/>
      <c r="F40" s="268"/>
      <c r="G40" s="269"/>
      <c r="H40" s="269"/>
      <c r="I40" s="268"/>
      <c r="J40" s="268"/>
      <c r="K40" s="268"/>
      <c r="L40" s="268"/>
    </row>
    <row r="41" spans="1:12" ht="15.75">
      <c r="A41" s="265"/>
      <c r="B41" s="443"/>
      <c r="C41" s="443"/>
      <c r="D41" s="266"/>
      <c r="E41" s="267"/>
      <c r="F41" s="268"/>
      <c r="G41" s="269"/>
      <c r="H41" s="269"/>
      <c r="I41" s="268"/>
      <c r="J41" s="268"/>
      <c r="K41" s="268"/>
      <c r="L41" s="268"/>
    </row>
    <row r="42" spans="1:12" ht="15.75">
      <c r="A42" s="265"/>
      <c r="B42" s="443"/>
      <c r="C42" s="443"/>
      <c r="D42" s="266"/>
      <c r="E42" s="267"/>
      <c r="F42" s="268"/>
      <c r="G42" s="269"/>
      <c r="H42" s="269"/>
      <c r="I42" s="268"/>
      <c r="J42" s="268"/>
      <c r="K42" s="268"/>
      <c r="L42" s="268"/>
    </row>
    <row r="43" spans="1:12" ht="15.75">
      <c r="A43" s="265"/>
      <c r="B43" s="443"/>
      <c r="C43" s="443"/>
      <c r="D43" s="266"/>
      <c r="E43" s="267"/>
      <c r="F43" s="268"/>
      <c r="G43" s="269"/>
      <c r="H43" s="269"/>
      <c r="I43" s="268"/>
      <c r="J43" s="268"/>
      <c r="K43" s="268"/>
      <c r="L43" s="268"/>
    </row>
    <row r="44" spans="1:12" ht="15.75">
      <c r="A44" s="265"/>
      <c r="B44" s="443"/>
      <c r="C44" s="443"/>
      <c r="D44" s="266"/>
      <c r="E44" s="267"/>
      <c r="F44" s="268"/>
      <c r="G44" s="269"/>
      <c r="H44" s="269"/>
      <c r="I44" s="268"/>
      <c r="J44" s="268"/>
      <c r="K44" s="268"/>
      <c r="L44" s="268"/>
    </row>
    <row r="45" spans="1:28" ht="15.75">
      <c r="A45" s="265"/>
      <c r="B45" s="443"/>
      <c r="C45" s="443"/>
      <c r="D45" s="266"/>
      <c r="E45" s="267"/>
      <c r="F45" s="268"/>
      <c r="G45" s="269"/>
      <c r="H45" s="269"/>
      <c r="I45" s="268"/>
      <c r="J45" s="268"/>
      <c r="K45" s="268"/>
      <c r="L45" s="268"/>
      <c r="M45" s="53"/>
      <c r="N45" s="53"/>
      <c r="O45" s="53"/>
      <c r="P45" s="53"/>
      <c r="Q45" s="53"/>
      <c r="R45" s="53"/>
      <c r="S45" s="53"/>
      <c r="T45" s="53"/>
      <c r="U45" s="53"/>
      <c r="V45" s="53"/>
      <c r="W45" s="53"/>
      <c r="X45" s="53"/>
      <c r="Y45" s="53"/>
      <c r="Z45" s="53"/>
      <c r="AA45" s="53"/>
      <c r="AB45" s="53"/>
    </row>
    <row r="46" spans="1:12" ht="15.75">
      <c r="A46" s="270" t="s">
        <v>239</v>
      </c>
      <c r="B46" s="270"/>
      <c r="C46" s="270"/>
      <c r="D46" s="280"/>
      <c r="E46" s="273"/>
      <c r="F46" s="281">
        <f>SUM(F37:F45)</f>
        <v>0</v>
      </c>
      <c r="G46" s="273"/>
      <c r="H46" s="273"/>
      <c r="I46" s="281">
        <f>SUM(I37:I45)</f>
        <v>0</v>
      </c>
      <c r="J46" s="281">
        <f>SUM(J37:J45)</f>
        <v>0</v>
      </c>
      <c r="K46" s="281">
        <f>SUM(K37:K45)</f>
        <v>0</v>
      </c>
      <c r="L46" s="281">
        <f>SUM(L37:L45)</f>
        <v>0</v>
      </c>
    </row>
    <row r="47" spans="1:12" ht="15.75">
      <c r="A47" s="270" t="s">
        <v>509</v>
      </c>
      <c r="B47" s="270"/>
      <c r="C47" s="270"/>
      <c r="D47" s="270"/>
      <c r="E47" s="273"/>
      <c r="F47" s="281">
        <f>SUM(F22+F35+F46)</f>
        <v>865000</v>
      </c>
      <c r="G47" s="273"/>
      <c r="H47" s="273"/>
      <c r="I47" s="281">
        <f>SUM(I22+I35+I46)</f>
        <v>40006</v>
      </c>
      <c r="J47" s="281">
        <f>SUM(J22+J35+J46)</f>
        <v>25000</v>
      </c>
      <c r="K47" s="281">
        <f>SUM(K22+K35+K46)</f>
        <v>38871</v>
      </c>
      <c r="L47" s="281">
        <f>SUM(L22+L35+L46)</f>
        <v>25000</v>
      </c>
    </row>
    <row r="48" spans="1:12" ht="15.75">
      <c r="A48" s="53"/>
      <c r="B48" s="53"/>
      <c r="C48" s="53"/>
      <c r="D48" s="53"/>
      <c r="E48" s="53"/>
      <c r="F48" s="53"/>
      <c r="G48" s="53"/>
      <c r="H48" s="53"/>
      <c r="I48" s="53"/>
      <c r="J48" s="53"/>
      <c r="K48" s="53"/>
      <c r="L48" s="53"/>
    </row>
    <row r="49" spans="5:12" ht="15.75">
      <c r="E49" s="283"/>
      <c r="F49" s="283"/>
      <c r="I49" s="283"/>
      <c r="J49" s="283"/>
      <c r="K49" s="283"/>
      <c r="L49" s="283"/>
    </row>
    <row r="50" spans="5:13" ht="15.75">
      <c r="E50" s="53"/>
      <c r="G50" s="284"/>
      <c r="M50" s="53"/>
    </row>
    <row r="51" spans="1:12" ht="15.75">
      <c r="A51" s="53"/>
      <c r="B51" s="53"/>
      <c r="C51" s="53"/>
      <c r="D51" s="53"/>
      <c r="E51" s="53"/>
      <c r="F51" s="53"/>
      <c r="G51" s="53"/>
      <c r="H51" s="53"/>
      <c r="I51" s="53"/>
      <c r="J51" s="53"/>
      <c r="K51" s="53"/>
      <c r="L51" s="53"/>
    </row>
    <row r="52" spans="1:12" ht="15.75">
      <c r="A52" s="53"/>
      <c r="B52" s="53"/>
      <c r="C52" s="53"/>
      <c r="D52" s="53"/>
      <c r="E52" s="53"/>
      <c r="F52" s="53"/>
      <c r="G52" s="53"/>
      <c r="H52" s="53"/>
      <c r="I52" s="53"/>
      <c r="J52" s="53"/>
      <c r="K52" s="53"/>
      <c r="L52" s="53"/>
    </row>
  </sheetData>
  <sheetProtection sheet="1"/>
  <mergeCells count="3">
    <mergeCell ref="G6:H6"/>
    <mergeCell ref="I6:J6"/>
    <mergeCell ref="K6:L6"/>
  </mergeCells>
  <printOptions/>
  <pageMargins left="1" right="0.5" top="0.78" bottom="0.4" header="0.5" footer="0"/>
  <pageSetup blackAndWhite="1" fitToHeight="1" fitToWidth="1" horizontalDpi="120" verticalDpi="120" orientation="landscape" scale="70" r:id="rId1"/>
  <headerFooter alignWithMargins="0">
    <oddHeader>&amp;RState of Kansas
County
</oddHeader>
    <oddFooter>&amp;CPage No. 5</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I48"/>
  <sheetViews>
    <sheetView zoomScale="75" zoomScaleNormal="75" zoomScalePageLayoutView="0" workbookViewId="0" topLeftCell="A13">
      <selection activeCell="A12" sqref="A12"/>
    </sheetView>
  </sheetViews>
  <sheetFormatPr defaultColWidth="8.796875" defaultRowHeight="15"/>
  <cols>
    <col min="1" max="1" width="25.796875" style="53" customWidth="1"/>
    <col min="2" max="4" width="9.796875" style="53" customWidth="1"/>
    <col min="5" max="5" width="17.09765625" style="53" customWidth="1"/>
    <col min="6" max="8" width="15.796875" style="53" customWidth="1"/>
    <col min="9" max="16384" width="8.8984375" style="53" customWidth="1"/>
  </cols>
  <sheetData>
    <row r="1" spans="1:8" ht="15.75">
      <c r="A1" s="205" t="str">
        <f>inputPrYr!$C$3</f>
        <v>MORRIS COUNTY</v>
      </c>
      <c r="B1" s="69"/>
      <c r="C1" s="69"/>
      <c r="D1" s="69"/>
      <c r="E1" s="69"/>
      <c r="F1" s="69"/>
      <c r="G1" s="69"/>
      <c r="H1" s="285">
        <f>inputPrYr!C5</f>
        <v>2012</v>
      </c>
    </row>
    <row r="2" spans="1:8" ht="15.75">
      <c r="A2" s="69"/>
      <c r="B2" s="69"/>
      <c r="C2" s="69"/>
      <c r="D2" s="69"/>
      <c r="E2" s="69"/>
      <c r="F2" s="69"/>
      <c r="G2" s="69"/>
      <c r="H2" s="109"/>
    </row>
    <row r="3" spans="1:8" ht="15.75">
      <c r="A3" s="69"/>
      <c r="B3" s="77"/>
      <c r="C3" s="77"/>
      <c r="D3" s="77"/>
      <c r="E3" s="77"/>
      <c r="F3" s="77"/>
      <c r="G3" s="77"/>
      <c r="H3" s="286"/>
    </row>
    <row r="4" spans="1:8" ht="15.75">
      <c r="A4" s="254" t="s">
        <v>522</v>
      </c>
      <c r="B4" s="77"/>
      <c r="C4" s="77"/>
      <c r="D4" s="77"/>
      <c r="E4" s="77"/>
      <c r="F4" s="77"/>
      <c r="G4" s="77"/>
      <c r="H4" s="77"/>
    </row>
    <row r="5" spans="1:8" ht="15.75">
      <c r="A5" s="98"/>
      <c r="B5" s="255"/>
      <c r="C5" s="255"/>
      <c r="D5" s="255"/>
      <c r="E5" s="255"/>
      <c r="F5" s="255"/>
      <c r="G5" s="255"/>
      <c r="H5" s="255"/>
    </row>
    <row r="6" spans="1:8" ht="15.75">
      <c r="A6" s="287"/>
      <c r="B6" s="288"/>
      <c r="C6" s="288"/>
      <c r="D6" s="288"/>
      <c r="E6" s="256" t="s">
        <v>446</v>
      </c>
      <c r="F6" s="288"/>
      <c r="G6" s="288"/>
      <c r="H6" s="288"/>
    </row>
    <row r="7" spans="1:8" ht="15.75">
      <c r="A7" s="287"/>
      <c r="B7" s="259"/>
      <c r="C7" s="259" t="s">
        <v>510</v>
      </c>
      <c r="D7" s="259" t="s">
        <v>511</v>
      </c>
      <c r="E7" s="259" t="s">
        <v>466</v>
      </c>
      <c r="F7" s="259" t="s">
        <v>512</v>
      </c>
      <c r="G7" s="259" t="s">
        <v>513</v>
      </c>
      <c r="H7" s="259" t="s">
        <v>513</v>
      </c>
    </row>
    <row r="8" spans="1:8" ht="15.75">
      <c r="A8" s="287"/>
      <c r="B8" s="259" t="s">
        <v>514</v>
      </c>
      <c r="C8" s="259" t="s">
        <v>515</v>
      </c>
      <c r="D8" s="259" t="s">
        <v>499</v>
      </c>
      <c r="E8" s="259" t="s">
        <v>516</v>
      </c>
      <c r="F8" s="259" t="s">
        <v>557</v>
      </c>
      <c r="G8" s="259" t="s">
        <v>517</v>
      </c>
      <c r="H8" s="259" t="s">
        <v>517</v>
      </c>
    </row>
    <row r="9" spans="1:8" ht="15.75">
      <c r="A9" s="289" t="s">
        <v>518</v>
      </c>
      <c r="B9" s="262" t="s">
        <v>496</v>
      </c>
      <c r="C9" s="290" t="s">
        <v>519</v>
      </c>
      <c r="D9" s="262" t="s">
        <v>867</v>
      </c>
      <c r="E9" s="290" t="s">
        <v>576</v>
      </c>
      <c r="F9" s="291" t="str">
        <f>CONCATENATE("Jan 1,",H1-1,"")</f>
        <v>Jan 1,2011</v>
      </c>
      <c r="G9" s="262">
        <f>H1-1</f>
        <v>2011</v>
      </c>
      <c r="H9" s="262">
        <f>H1</f>
        <v>2012</v>
      </c>
    </row>
    <row r="10" spans="1:8" ht="15.75">
      <c r="A10" s="95"/>
      <c r="B10" s="95"/>
      <c r="C10" s="292"/>
      <c r="D10" s="293"/>
      <c r="E10" s="96"/>
      <c r="F10" s="96"/>
      <c r="G10" s="96"/>
      <c r="H10" s="96"/>
    </row>
    <row r="11" spans="1:8" ht="15.75">
      <c r="A11" s="95" t="s">
        <v>312</v>
      </c>
      <c r="B11" s="461">
        <v>39875</v>
      </c>
      <c r="C11" s="292">
        <v>48</v>
      </c>
      <c r="D11" s="293">
        <v>3.15</v>
      </c>
      <c r="E11" s="96">
        <v>71891</v>
      </c>
      <c r="F11" s="96">
        <v>46107</v>
      </c>
      <c r="G11" s="96">
        <v>19974</v>
      </c>
      <c r="H11" s="96">
        <v>19974</v>
      </c>
    </row>
    <row r="12" spans="1:8" ht="15.75">
      <c r="A12" s="95"/>
      <c r="B12" s="95"/>
      <c r="C12" s="292"/>
      <c r="D12" s="293"/>
      <c r="E12" s="96"/>
      <c r="F12" s="96"/>
      <c r="G12" s="96"/>
      <c r="H12" s="96"/>
    </row>
    <row r="13" spans="1:8" ht="15.75">
      <c r="A13" s="95"/>
      <c r="B13" s="461"/>
      <c r="C13" s="292"/>
      <c r="D13" s="293"/>
      <c r="E13" s="96"/>
      <c r="F13" s="96"/>
      <c r="G13" s="96"/>
      <c r="H13" s="96"/>
    </row>
    <row r="14" spans="1:8" ht="15.75">
      <c r="A14" s="95"/>
      <c r="B14" s="95"/>
      <c r="C14" s="292"/>
      <c r="D14" s="293"/>
      <c r="E14" s="96"/>
      <c r="F14" s="96"/>
      <c r="G14" s="96"/>
      <c r="H14" s="96"/>
    </row>
    <row r="15" spans="1:8" ht="15.75">
      <c r="A15" s="95"/>
      <c r="B15" s="95"/>
      <c r="C15" s="292"/>
      <c r="D15" s="293"/>
      <c r="E15" s="96"/>
      <c r="F15" s="96"/>
      <c r="G15" s="96"/>
      <c r="H15" s="96"/>
    </row>
    <row r="16" spans="1:8" ht="15.75">
      <c r="A16" s="95"/>
      <c r="B16" s="95"/>
      <c r="C16" s="292"/>
      <c r="D16" s="293"/>
      <c r="E16" s="96"/>
      <c r="F16" s="96"/>
      <c r="G16" s="96"/>
      <c r="H16" s="96"/>
    </row>
    <row r="17" spans="1:8" ht="15.75">
      <c r="A17" s="95"/>
      <c r="B17" s="95"/>
      <c r="C17" s="292"/>
      <c r="D17" s="293"/>
      <c r="E17" s="96"/>
      <c r="F17" s="96"/>
      <c r="G17" s="96"/>
      <c r="H17" s="96"/>
    </row>
    <row r="18" spans="1:8" ht="15.75">
      <c r="A18" s="95"/>
      <c r="B18" s="95"/>
      <c r="C18" s="292"/>
      <c r="D18" s="293"/>
      <c r="E18" s="96"/>
      <c r="F18" s="96"/>
      <c r="G18" s="96"/>
      <c r="H18" s="96"/>
    </row>
    <row r="19" spans="1:8" ht="15.75">
      <c r="A19" s="95"/>
      <c r="B19" s="95"/>
      <c r="C19" s="292"/>
      <c r="D19" s="293"/>
      <c r="E19" s="96"/>
      <c r="F19" s="96"/>
      <c r="G19" s="96"/>
      <c r="H19" s="96"/>
    </row>
    <row r="20" spans="1:8" ht="15.75">
      <c r="A20" s="95"/>
      <c r="B20" s="95"/>
      <c r="C20" s="292"/>
      <c r="D20" s="293"/>
      <c r="E20" s="96"/>
      <c r="F20" s="96"/>
      <c r="G20" s="96"/>
      <c r="H20" s="96"/>
    </row>
    <row r="21" spans="1:8" ht="15.75">
      <c r="A21" s="95"/>
      <c r="B21" s="95"/>
      <c r="C21" s="292"/>
      <c r="D21" s="293"/>
      <c r="E21" s="96"/>
      <c r="F21" s="96"/>
      <c r="G21" s="96"/>
      <c r="H21" s="96"/>
    </row>
    <row r="22" spans="1:8" ht="15.75">
      <c r="A22" s="95"/>
      <c r="B22" s="95"/>
      <c r="C22" s="292"/>
      <c r="D22" s="293"/>
      <c r="E22" s="96"/>
      <c r="F22" s="96"/>
      <c r="G22" s="96"/>
      <c r="H22" s="96"/>
    </row>
    <row r="23" spans="1:8" ht="15.75">
      <c r="A23" s="95"/>
      <c r="B23" s="95"/>
      <c r="C23" s="292"/>
      <c r="D23" s="293"/>
      <c r="E23" s="96"/>
      <c r="F23" s="96"/>
      <c r="G23" s="96"/>
      <c r="H23" s="96"/>
    </row>
    <row r="24" spans="1:8" ht="15.75">
      <c r="A24" s="95"/>
      <c r="B24" s="95"/>
      <c r="C24" s="292"/>
      <c r="D24" s="293"/>
      <c r="E24" s="96"/>
      <c r="F24" s="96"/>
      <c r="G24" s="96"/>
      <c r="H24" s="96"/>
    </row>
    <row r="25" spans="1:8" ht="15.75">
      <c r="A25" s="95"/>
      <c r="B25" s="95"/>
      <c r="C25" s="292"/>
      <c r="D25" s="293"/>
      <c r="E25" s="96"/>
      <c r="F25" s="96"/>
      <c r="G25" s="96"/>
      <c r="H25" s="96"/>
    </row>
    <row r="26" spans="1:8" ht="15.75">
      <c r="A26" s="95"/>
      <c r="B26" s="95"/>
      <c r="C26" s="292"/>
      <c r="D26" s="293"/>
      <c r="E26" s="96"/>
      <c r="F26" s="96"/>
      <c r="G26" s="96"/>
      <c r="H26" s="96"/>
    </row>
    <row r="27" spans="1:8" ht="15.75">
      <c r="A27" s="95"/>
      <c r="B27" s="95"/>
      <c r="C27" s="292"/>
      <c r="D27" s="293"/>
      <c r="E27" s="96"/>
      <c r="F27" s="96"/>
      <c r="G27" s="96"/>
      <c r="H27" s="96"/>
    </row>
    <row r="28" spans="1:8" ht="15.75">
      <c r="A28" s="95"/>
      <c r="B28" s="95"/>
      <c r="C28" s="292"/>
      <c r="D28" s="293"/>
      <c r="E28" s="96"/>
      <c r="F28" s="96"/>
      <c r="G28" s="96"/>
      <c r="H28" s="96"/>
    </row>
    <row r="29" spans="1:8" ht="15.75">
      <c r="A29" s="95"/>
      <c r="B29" s="95"/>
      <c r="C29" s="292"/>
      <c r="D29" s="293"/>
      <c r="E29" s="96"/>
      <c r="F29" s="96"/>
      <c r="G29" s="96"/>
      <c r="H29" s="96"/>
    </row>
    <row r="30" spans="1:8" ht="15.75">
      <c r="A30" s="95"/>
      <c r="B30" s="95"/>
      <c r="C30" s="292"/>
      <c r="D30" s="293"/>
      <c r="E30" s="96"/>
      <c r="F30" s="96"/>
      <c r="G30" s="96"/>
      <c r="H30" s="96"/>
    </row>
    <row r="31" spans="1:8" ht="15.75">
      <c r="A31" s="95"/>
      <c r="B31" s="95"/>
      <c r="C31" s="292"/>
      <c r="D31" s="293"/>
      <c r="E31" s="96"/>
      <c r="F31" s="96"/>
      <c r="G31" s="96"/>
      <c r="H31" s="96"/>
    </row>
    <row r="32" spans="1:8" ht="15.75">
      <c r="A32" s="95"/>
      <c r="B32" s="95"/>
      <c r="C32" s="292"/>
      <c r="D32" s="293"/>
      <c r="E32" s="96"/>
      <c r="F32" s="96"/>
      <c r="G32" s="96"/>
      <c r="H32" s="96"/>
    </row>
    <row r="33" spans="1:8" ht="15.75">
      <c r="A33" s="95"/>
      <c r="B33" s="95"/>
      <c r="C33" s="292"/>
      <c r="D33" s="293"/>
      <c r="E33" s="96"/>
      <c r="F33" s="96"/>
      <c r="G33" s="96"/>
      <c r="H33" s="96"/>
    </row>
    <row r="34" spans="1:8" ht="15.75">
      <c r="A34" s="95"/>
      <c r="B34" s="95"/>
      <c r="C34" s="292"/>
      <c r="D34" s="293"/>
      <c r="E34" s="96"/>
      <c r="F34" s="96"/>
      <c r="G34" s="96"/>
      <c r="H34" s="96"/>
    </row>
    <row r="35" spans="1:8" ht="15.75">
      <c r="A35" s="95"/>
      <c r="B35" s="95"/>
      <c r="C35" s="292"/>
      <c r="D35" s="293"/>
      <c r="E35" s="96"/>
      <c r="F35" s="96"/>
      <c r="G35" s="96"/>
      <c r="H35" s="96"/>
    </row>
    <row r="36" spans="1:8" ht="15.75">
      <c r="A36" s="95"/>
      <c r="B36" s="95"/>
      <c r="C36" s="292"/>
      <c r="D36" s="293"/>
      <c r="E36" s="96"/>
      <c r="F36" s="96"/>
      <c r="G36" s="96"/>
      <c r="H36" s="96"/>
    </row>
    <row r="37" spans="1:9" ht="16.5" thickBot="1">
      <c r="A37" s="261" t="s">
        <v>848</v>
      </c>
      <c r="B37" s="69"/>
      <c r="C37" s="69"/>
      <c r="D37" s="69"/>
      <c r="E37" s="69"/>
      <c r="F37" s="294">
        <f>SUM(F10:F36)</f>
        <v>46107</v>
      </c>
      <c r="G37" s="294">
        <f>SUM(G10:G36)</f>
        <v>19974</v>
      </c>
      <c r="H37" s="294">
        <f>SUM(H10:H36)</f>
        <v>19974</v>
      </c>
      <c r="I37" s="295"/>
    </row>
    <row r="38" spans="1:8" ht="16.5" thickTop="1">
      <c r="A38" s="69"/>
      <c r="B38" s="69"/>
      <c r="C38" s="69"/>
      <c r="D38" s="69"/>
      <c r="E38" s="69"/>
      <c r="F38" s="69"/>
      <c r="G38" s="205"/>
      <c r="H38" s="205"/>
    </row>
    <row r="39" spans="1:8" ht="15.75">
      <c r="A39" s="296" t="s">
        <v>1009</v>
      </c>
      <c r="B39" s="297"/>
      <c r="C39" s="297"/>
      <c r="D39" s="297"/>
      <c r="E39" s="297"/>
      <c r="F39" s="297"/>
      <c r="G39" s="205"/>
      <c r="H39" s="205"/>
    </row>
    <row r="40" spans="1:8" ht="15.75">
      <c r="A40" s="126"/>
      <c r="B40" s="126"/>
      <c r="C40" s="284"/>
      <c r="D40" s="126"/>
      <c r="E40" s="126"/>
      <c r="F40" s="126"/>
      <c r="G40" s="283"/>
      <c r="H40" s="283"/>
    </row>
    <row r="41" spans="1:8" ht="15.75">
      <c r="A41" s="126"/>
      <c r="B41" s="126"/>
      <c r="C41" s="126"/>
      <c r="D41" s="126"/>
      <c r="E41" s="126"/>
      <c r="F41" s="126"/>
      <c r="G41" s="126"/>
      <c r="H41" s="126"/>
    </row>
    <row r="42" spans="1:8" ht="15.75">
      <c r="A42" s="126"/>
      <c r="B42" s="126"/>
      <c r="C42" s="126"/>
      <c r="D42" s="126"/>
      <c r="E42" s="126"/>
      <c r="F42" s="126"/>
      <c r="G42" s="126"/>
      <c r="H42" s="126"/>
    </row>
    <row r="43" spans="1:8" ht="15.75">
      <c r="A43" s="126"/>
      <c r="B43" s="126"/>
      <c r="C43" s="126"/>
      <c r="D43" s="126"/>
      <c r="E43" s="126"/>
      <c r="F43" s="126"/>
      <c r="G43" s="126"/>
      <c r="H43" s="126"/>
    </row>
    <row r="44" spans="1:8" ht="15.75">
      <c r="A44" s="126"/>
      <c r="B44" s="126"/>
      <c r="C44" s="126"/>
      <c r="D44" s="126"/>
      <c r="E44" s="126"/>
      <c r="F44" s="126"/>
      <c r="G44" s="126"/>
      <c r="H44" s="126"/>
    </row>
    <row r="45" spans="1:8" ht="15.75">
      <c r="A45" s="126"/>
      <c r="B45" s="126"/>
      <c r="C45" s="126"/>
      <c r="D45" s="126"/>
      <c r="E45" s="126"/>
      <c r="F45" s="126"/>
      <c r="G45" s="126"/>
      <c r="H45" s="126"/>
    </row>
    <row r="46" spans="1:8" ht="15.75">
      <c r="A46" s="126"/>
      <c r="B46" s="126"/>
      <c r="C46" s="126"/>
      <c r="D46" s="126"/>
      <c r="E46" s="126"/>
      <c r="F46" s="126"/>
      <c r="G46" s="126"/>
      <c r="H46" s="126"/>
    </row>
    <row r="47" spans="1:8" ht="15.75">
      <c r="A47" s="126"/>
      <c r="B47" s="126"/>
      <c r="C47" s="126"/>
      <c r="D47" s="126"/>
      <c r="E47" s="126"/>
      <c r="F47" s="126"/>
      <c r="G47" s="126"/>
      <c r="H47" s="126"/>
    </row>
    <row r="48" spans="1:8" ht="15.75">
      <c r="A48" s="126"/>
      <c r="B48" s="126"/>
      <c r="C48" s="126"/>
      <c r="D48" s="126"/>
      <c r="E48" s="126"/>
      <c r="F48" s="126"/>
      <c r="G48" s="126"/>
      <c r="H48" s="126"/>
    </row>
  </sheetData>
  <sheetProtection sheet="1" objects="1" scenarios="1"/>
  <printOptions/>
  <pageMargins left="1" right="0.5" top="0.78" bottom="0.4" header="0.5" footer="0"/>
  <pageSetup blackAndWhite="1" fitToHeight="1" fitToWidth="1" horizontalDpi="120" verticalDpi="120" orientation="landscape" scale="79" r:id="rId1"/>
  <headerFooter alignWithMargins="0">
    <oddHeader>&amp;RState of Kansas
County
</oddHeader>
    <oddFooter>&amp;CPage No. 6</oddFooter>
  </headerFooter>
</worksheet>
</file>

<file path=xl/worksheets/sheet14.xml><?xml version="1.0" encoding="utf-8"?>
<worksheet xmlns="http://schemas.openxmlformats.org/spreadsheetml/2006/main" xmlns:r="http://schemas.openxmlformats.org/officeDocument/2006/relationships">
  <dimension ref="B1:J134"/>
  <sheetViews>
    <sheetView zoomScalePageLayoutView="0" workbookViewId="0" topLeftCell="A105">
      <selection activeCell="E21" sqref="E21"/>
    </sheetView>
  </sheetViews>
  <sheetFormatPr defaultColWidth="8.796875" defaultRowHeight="15"/>
  <cols>
    <col min="1" max="1" width="2.3984375" style="53" customWidth="1"/>
    <col min="2" max="2" width="31.09765625" style="53" customWidth="1"/>
    <col min="3" max="4" width="15.796875" style="53" customWidth="1"/>
    <col min="5" max="5" width="16.09765625" style="53" customWidth="1"/>
    <col min="6" max="6" width="7.3984375" style="53" customWidth="1"/>
    <col min="7" max="7" width="7.09765625" style="53" customWidth="1"/>
    <col min="8" max="8" width="8.8984375" style="53" customWidth="1"/>
    <col min="9" max="9" width="5" style="53" customWidth="1"/>
    <col min="10" max="10" width="7.796875" style="53" customWidth="1"/>
    <col min="11" max="16384" width="8.8984375" style="53" customWidth="1"/>
  </cols>
  <sheetData>
    <row r="1" spans="2:5" ht="15.75">
      <c r="B1" s="205" t="str">
        <f>inputPrYr!$C$3</f>
        <v>MORRIS COUNTY</v>
      </c>
      <c r="C1" s="69"/>
      <c r="D1" s="69"/>
      <c r="E1" s="285">
        <f>inputPrYr!C5</f>
        <v>2012</v>
      </c>
    </row>
    <row r="2" spans="2:5" ht="15.75">
      <c r="B2" s="69"/>
      <c r="C2" s="69"/>
      <c r="D2" s="69"/>
      <c r="E2" s="109"/>
    </row>
    <row r="3" spans="2:5" ht="15.75">
      <c r="B3" s="484" t="s">
        <v>528</v>
      </c>
      <c r="C3" s="69"/>
      <c r="D3" s="69"/>
      <c r="E3" s="298"/>
    </row>
    <row r="4" spans="2:5" ht="15.75">
      <c r="B4" s="191" t="s">
        <v>851</v>
      </c>
      <c r="C4" s="539" t="s">
        <v>240</v>
      </c>
      <c r="D4" s="540" t="s">
        <v>226</v>
      </c>
      <c r="E4" s="536" t="s">
        <v>227</v>
      </c>
    </row>
    <row r="5" spans="2:5" ht="15.75">
      <c r="B5" s="482" t="str">
        <f>inputPrYr!B16</f>
        <v>General</v>
      </c>
      <c r="C5" s="448">
        <f>E1-2</f>
        <v>2010</v>
      </c>
      <c r="D5" s="448">
        <f>E1-1</f>
        <v>2011</v>
      </c>
      <c r="E5" s="299">
        <f>E1</f>
        <v>2012</v>
      </c>
    </row>
    <row r="6" spans="2:5" ht="15.75">
      <c r="B6" s="300" t="s">
        <v>569</v>
      </c>
      <c r="C6" s="302">
        <v>445181</v>
      </c>
      <c r="D6" s="447">
        <f>C116</f>
        <v>484417</v>
      </c>
      <c r="E6" s="264">
        <f>D116</f>
        <v>574343</v>
      </c>
    </row>
    <row r="7" spans="2:5" ht="15.75">
      <c r="B7" s="289" t="s">
        <v>571</v>
      </c>
      <c r="C7" s="168"/>
      <c r="D7" s="168"/>
      <c r="E7" s="112"/>
    </row>
    <row r="8" spans="2:5" ht="15.75">
      <c r="B8" s="300" t="s">
        <v>852</v>
      </c>
      <c r="C8" s="302">
        <v>1195825</v>
      </c>
      <c r="D8" s="447">
        <f>inputPrYr!E16</f>
        <v>1567143</v>
      </c>
      <c r="E8" s="200" t="s">
        <v>462</v>
      </c>
    </row>
    <row r="9" spans="2:5" ht="15.75">
      <c r="B9" s="300" t="s">
        <v>853</v>
      </c>
      <c r="C9" s="302">
        <v>12023</v>
      </c>
      <c r="D9" s="302">
        <v>30761</v>
      </c>
      <c r="E9" s="303"/>
    </row>
    <row r="10" spans="2:5" ht="15.75">
      <c r="B10" s="300" t="s">
        <v>854</v>
      </c>
      <c r="C10" s="302">
        <v>103713</v>
      </c>
      <c r="D10" s="302">
        <v>125595</v>
      </c>
      <c r="E10" s="264">
        <f>mvalloc!D8</f>
        <v>148098</v>
      </c>
    </row>
    <row r="11" spans="2:5" ht="15.75">
      <c r="B11" s="300" t="s">
        <v>855</v>
      </c>
      <c r="C11" s="302">
        <v>2937</v>
      </c>
      <c r="D11" s="302">
        <v>3551</v>
      </c>
      <c r="E11" s="264">
        <f>mvalloc!E8</f>
        <v>3959</v>
      </c>
    </row>
    <row r="12" spans="2:5" ht="15.75">
      <c r="B12" s="168" t="s">
        <v>552</v>
      </c>
      <c r="C12" s="302">
        <v>9758</v>
      </c>
      <c r="D12" s="302">
        <v>9303</v>
      </c>
      <c r="E12" s="264">
        <f>mvalloc!F8</f>
        <v>11976</v>
      </c>
    </row>
    <row r="13" spans="2:5" ht="15.75">
      <c r="B13" s="300" t="s">
        <v>554</v>
      </c>
      <c r="C13" s="302"/>
      <c r="D13" s="302"/>
      <c r="E13" s="264">
        <f>inputOth!E10</f>
        <v>0</v>
      </c>
    </row>
    <row r="14" spans="2:5" ht="15.75">
      <c r="B14" s="300" t="s">
        <v>230</v>
      </c>
      <c r="C14" s="302"/>
      <c r="D14" s="302"/>
      <c r="E14" s="264">
        <f>inputOth!E17</f>
        <v>0</v>
      </c>
    </row>
    <row r="15" spans="2:5" ht="15.75">
      <c r="B15" s="300" t="s">
        <v>231</v>
      </c>
      <c r="C15" s="302"/>
      <c r="D15" s="302"/>
      <c r="E15" s="264">
        <f>inputOth!E18</f>
        <v>0</v>
      </c>
    </row>
    <row r="16" spans="2:5" ht="15.75">
      <c r="B16" s="300" t="s">
        <v>313</v>
      </c>
      <c r="C16" s="302">
        <v>5</v>
      </c>
      <c r="D16" s="302"/>
      <c r="E16" s="264">
        <f>mvalloc!G8</f>
        <v>0</v>
      </c>
    </row>
    <row r="17" spans="2:5" ht="15.75">
      <c r="B17" s="302" t="s">
        <v>858</v>
      </c>
      <c r="C17" s="302">
        <v>1403</v>
      </c>
      <c r="D17" s="302">
        <v>458</v>
      </c>
      <c r="E17" s="303"/>
    </row>
    <row r="18" spans="2:5" ht="15.75">
      <c r="B18" s="302" t="s">
        <v>856</v>
      </c>
      <c r="C18" s="302"/>
      <c r="D18" s="302"/>
      <c r="E18" s="303"/>
    </row>
    <row r="19" spans="2:5" ht="15.75">
      <c r="B19" s="302" t="s">
        <v>919</v>
      </c>
      <c r="C19" s="302">
        <v>50900</v>
      </c>
      <c r="D19" s="302">
        <v>50000</v>
      </c>
      <c r="E19" s="303">
        <v>50000</v>
      </c>
    </row>
    <row r="20" spans="2:5" ht="15.75">
      <c r="B20" s="304" t="s">
        <v>920</v>
      </c>
      <c r="C20" s="302">
        <v>315222</v>
      </c>
      <c r="D20" s="302">
        <v>305000</v>
      </c>
      <c r="E20" s="303">
        <v>305000</v>
      </c>
    </row>
    <row r="21" spans="2:5" ht="15.75">
      <c r="B21" s="304" t="s">
        <v>314</v>
      </c>
      <c r="C21" s="302">
        <v>15503</v>
      </c>
      <c r="D21" s="302">
        <v>15500</v>
      </c>
      <c r="E21" s="303">
        <v>15500</v>
      </c>
    </row>
    <row r="22" spans="2:5" ht="15.75">
      <c r="B22" s="302" t="s">
        <v>315</v>
      </c>
      <c r="C22" s="302">
        <v>5351</v>
      </c>
      <c r="D22" s="302">
        <v>5300</v>
      </c>
      <c r="E22" s="303">
        <v>5300</v>
      </c>
    </row>
    <row r="23" spans="2:5" ht="15.75">
      <c r="B23" s="302" t="s">
        <v>316</v>
      </c>
      <c r="C23" s="302">
        <v>16374</v>
      </c>
      <c r="D23" s="302">
        <v>16300</v>
      </c>
      <c r="E23" s="303">
        <v>16300</v>
      </c>
    </row>
    <row r="24" spans="2:5" ht="15.75">
      <c r="B24" s="302" t="s">
        <v>317</v>
      </c>
      <c r="C24" s="302">
        <v>47523</v>
      </c>
      <c r="D24" s="302">
        <v>45000</v>
      </c>
      <c r="E24" s="303">
        <v>45000</v>
      </c>
    </row>
    <row r="25" spans="2:5" ht="15.75">
      <c r="B25" s="302" t="s">
        <v>318</v>
      </c>
      <c r="C25" s="302">
        <v>39276</v>
      </c>
      <c r="D25" s="302">
        <v>35000</v>
      </c>
      <c r="E25" s="303">
        <v>35000</v>
      </c>
    </row>
    <row r="26" spans="2:5" ht="15.75">
      <c r="B26" s="302" t="s">
        <v>319</v>
      </c>
      <c r="C26" s="302">
        <v>2976</v>
      </c>
      <c r="D26" s="302">
        <v>2000</v>
      </c>
      <c r="E26" s="303">
        <v>2000</v>
      </c>
    </row>
    <row r="27" spans="2:5" ht="15.75">
      <c r="B27" s="302" t="s">
        <v>320</v>
      </c>
      <c r="C27" s="302">
        <v>29452</v>
      </c>
      <c r="D27" s="302">
        <v>15000</v>
      </c>
      <c r="E27" s="303">
        <v>15000</v>
      </c>
    </row>
    <row r="28" spans="2:5" ht="15.75">
      <c r="B28" s="302" t="s">
        <v>321</v>
      </c>
      <c r="C28" s="302">
        <v>43730</v>
      </c>
      <c r="D28" s="302"/>
      <c r="E28" s="303"/>
    </row>
    <row r="29" spans="2:5" ht="15.75">
      <c r="B29" s="302" t="s">
        <v>322</v>
      </c>
      <c r="C29" s="302">
        <v>1025</v>
      </c>
      <c r="D29" s="302">
        <v>1000</v>
      </c>
      <c r="E29" s="303">
        <v>1000</v>
      </c>
    </row>
    <row r="30" spans="2:5" ht="15.75">
      <c r="B30" s="302" t="s">
        <v>323</v>
      </c>
      <c r="C30" s="302">
        <v>44391</v>
      </c>
      <c r="D30" s="302">
        <v>40000</v>
      </c>
      <c r="E30" s="303">
        <v>40000</v>
      </c>
    </row>
    <row r="31" spans="2:5" ht="15.75">
      <c r="B31" s="302" t="s">
        <v>324</v>
      </c>
      <c r="C31" s="302">
        <v>508</v>
      </c>
      <c r="D31" s="302"/>
      <c r="E31" s="303"/>
    </row>
    <row r="32" spans="2:5" ht="15.75">
      <c r="B32" s="302" t="s">
        <v>325</v>
      </c>
      <c r="C32" s="302">
        <v>14258</v>
      </c>
      <c r="D32" s="302"/>
      <c r="E32" s="303"/>
    </row>
    <row r="33" spans="2:5" ht="15.75">
      <c r="B33" s="302"/>
      <c r="C33" s="302"/>
      <c r="D33" s="302"/>
      <c r="E33" s="303"/>
    </row>
    <row r="34" spans="2:5" ht="15.75">
      <c r="B34" s="302"/>
      <c r="C34" s="302"/>
      <c r="D34" s="302"/>
      <c r="E34" s="303"/>
    </row>
    <row r="35" spans="2:5" ht="15.75">
      <c r="B35" s="302"/>
      <c r="C35" s="302"/>
      <c r="D35" s="302"/>
      <c r="E35" s="303"/>
    </row>
    <row r="36" spans="2:5" ht="15.75">
      <c r="B36" s="302"/>
      <c r="C36" s="302"/>
      <c r="D36" s="302"/>
      <c r="E36" s="303"/>
    </row>
    <row r="37" spans="2:5" ht="15.75">
      <c r="B37" s="302"/>
      <c r="C37" s="302"/>
      <c r="D37" s="302"/>
      <c r="E37" s="303"/>
    </row>
    <row r="38" spans="2:5" ht="15.75">
      <c r="B38" s="302"/>
      <c r="C38" s="302"/>
      <c r="D38" s="302"/>
      <c r="E38" s="303"/>
    </row>
    <row r="39" spans="2:5" ht="15.75">
      <c r="B39" s="302"/>
      <c r="C39" s="302"/>
      <c r="D39" s="302"/>
      <c r="E39" s="303"/>
    </row>
    <row r="40" spans="2:5" ht="15.75">
      <c r="B40" s="302"/>
      <c r="C40" s="302"/>
      <c r="D40" s="302"/>
      <c r="E40" s="303"/>
    </row>
    <row r="41" spans="2:5" ht="15.75">
      <c r="B41" s="302"/>
      <c r="C41" s="302"/>
      <c r="D41" s="302"/>
      <c r="E41" s="303"/>
    </row>
    <row r="42" spans="2:5" ht="15.75">
      <c r="B42" s="302"/>
      <c r="C42" s="302"/>
      <c r="D42" s="302"/>
      <c r="E42" s="303"/>
    </row>
    <row r="43" spans="2:5" ht="15.75">
      <c r="B43" s="302"/>
      <c r="C43" s="302"/>
      <c r="D43" s="302"/>
      <c r="E43" s="303"/>
    </row>
    <row r="44" spans="2:5" ht="15.75">
      <c r="B44" s="302"/>
      <c r="C44" s="302"/>
      <c r="D44" s="302"/>
      <c r="E44" s="303"/>
    </row>
    <row r="45" spans="2:5" ht="15.75">
      <c r="B45" s="302"/>
      <c r="C45" s="302"/>
      <c r="D45" s="302"/>
      <c r="E45" s="303"/>
    </row>
    <row r="46" spans="2:5" ht="15.75">
      <c r="B46" s="302"/>
      <c r="C46" s="302"/>
      <c r="D46" s="302"/>
      <c r="E46" s="303"/>
    </row>
    <row r="47" spans="2:5" ht="15.75">
      <c r="B47" s="302"/>
      <c r="C47" s="302"/>
      <c r="D47" s="302"/>
      <c r="E47" s="303"/>
    </row>
    <row r="48" spans="2:5" ht="15.75">
      <c r="B48" s="302"/>
      <c r="C48" s="302"/>
      <c r="D48" s="302"/>
      <c r="E48" s="303"/>
    </row>
    <row r="49" spans="2:5" ht="15.75">
      <c r="B49" s="302"/>
      <c r="C49" s="302"/>
      <c r="D49" s="302"/>
      <c r="E49" s="303"/>
    </row>
    <row r="50" spans="2:5" ht="15.75">
      <c r="B50" s="302" t="s">
        <v>857</v>
      </c>
      <c r="C50" s="302"/>
      <c r="D50" s="302"/>
      <c r="E50" s="303"/>
    </row>
    <row r="51" spans="2:5" ht="15.75">
      <c r="B51" s="304" t="s">
        <v>859</v>
      </c>
      <c r="C51" s="302">
        <v>15728</v>
      </c>
      <c r="D51" s="302">
        <v>10000</v>
      </c>
      <c r="E51" s="303">
        <v>10000</v>
      </c>
    </row>
    <row r="52" spans="2:5" ht="15.75">
      <c r="B52" s="305" t="s">
        <v>966</v>
      </c>
      <c r="C52" s="302">
        <v>613</v>
      </c>
      <c r="D52" s="302"/>
      <c r="E52" s="303"/>
    </row>
    <row r="53" spans="2:5" ht="15.75">
      <c r="B53" s="305" t="s">
        <v>921</v>
      </c>
      <c r="C53" s="446">
        <f>IF(C54*0.1&lt;C52,"Exceed 10% Rule","")</f>
      </c>
      <c r="D53" s="446">
        <f>IF(D54*0.1&lt;D52,"Exceed 10% Rule","")</f>
      </c>
      <c r="E53" s="333">
        <f>IF(E54*0.1+E122&lt;E52,"Exceed 10% Rule","")</f>
      </c>
    </row>
    <row r="54" spans="2:5" ht="15.75">
      <c r="B54" s="307" t="s">
        <v>860</v>
      </c>
      <c r="C54" s="450">
        <f>SUM(C8:C52)</f>
        <v>1968494</v>
      </c>
      <c r="D54" s="450">
        <f>SUM(D8:D52)</f>
        <v>2276911</v>
      </c>
      <c r="E54" s="353">
        <f>SUM(E9:E52)</f>
        <v>704133</v>
      </c>
    </row>
    <row r="55" spans="2:5" ht="15.75">
      <c r="B55" s="307" t="s">
        <v>861</v>
      </c>
      <c r="C55" s="450">
        <f>C6+C54</f>
        <v>2413675</v>
      </c>
      <c r="D55" s="450">
        <f>D6+D54</f>
        <v>2761328</v>
      </c>
      <c r="E55" s="353">
        <f>E6+E54</f>
        <v>1278476</v>
      </c>
    </row>
    <row r="56" spans="2:5" ht="15.75">
      <c r="B56" s="69"/>
      <c r="C56" s="205"/>
      <c r="D56" s="205"/>
      <c r="E56" s="205"/>
    </row>
    <row r="57" spans="2:5" ht="15.75">
      <c r="B57" s="697" t="s">
        <v>594</v>
      </c>
      <c r="C57" s="697"/>
      <c r="D57" s="697"/>
      <c r="E57" s="697"/>
    </row>
    <row r="58" spans="2:5" ht="15.75">
      <c r="B58" s="205" t="str">
        <f>inputPrYr!C3</f>
        <v>MORRIS COUNTY</v>
      </c>
      <c r="C58" s="205"/>
      <c r="D58" s="205"/>
      <c r="E58" s="285">
        <f>E1</f>
        <v>2012</v>
      </c>
    </row>
    <row r="59" spans="2:5" ht="15.75">
      <c r="B59" s="69"/>
      <c r="C59" s="205"/>
      <c r="D59" s="205"/>
      <c r="E59" s="109"/>
    </row>
    <row r="60" spans="2:5" ht="15.75">
      <c r="B60" s="309" t="s">
        <v>525</v>
      </c>
      <c r="C60" s="310"/>
      <c r="D60" s="310"/>
      <c r="E60" s="310"/>
    </row>
    <row r="61" spans="2:5" ht="15.75">
      <c r="B61" s="69" t="s">
        <v>851</v>
      </c>
      <c r="C61" s="539" t="str">
        <f aca="true" t="shared" si="0" ref="C61:E62">C4</f>
        <v>Prior Year Actual </v>
      </c>
      <c r="D61" s="540" t="str">
        <f t="shared" si="0"/>
        <v>Current Year Estimate</v>
      </c>
      <c r="E61" s="536" t="str">
        <f t="shared" si="0"/>
        <v>Proposed Budget Year</v>
      </c>
    </row>
    <row r="62" spans="2:5" ht="15.75">
      <c r="B62" s="98" t="s">
        <v>863</v>
      </c>
      <c r="C62" s="448">
        <f t="shared" si="0"/>
        <v>2010</v>
      </c>
      <c r="D62" s="448">
        <f t="shared" si="0"/>
        <v>2011</v>
      </c>
      <c r="E62" s="311">
        <f t="shared" si="0"/>
        <v>2012</v>
      </c>
    </row>
    <row r="63" spans="2:5" ht="15.75">
      <c r="B63" s="307" t="s">
        <v>861</v>
      </c>
      <c r="C63" s="447">
        <f>C55</f>
        <v>2413675</v>
      </c>
      <c r="D63" s="447">
        <f>D55</f>
        <v>2761328</v>
      </c>
      <c r="E63" s="264">
        <f>E55</f>
        <v>1278476</v>
      </c>
    </row>
    <row r="64" spans="2:5" ht="15.75">
      <c r="B64" s="300" t="s">
        <v>864</v>
      </c>
      <c r="C64" s="168"/>
      <c r="D64" s="168"/>
      <c r="E64" s="112"/>
    </row>
    <row r="65" spans="2:5" ht="15.75">
      <c r="B65" s="168" t="str">
        <f>'gen-detail'!B7</f>
        <v>County Commission</v>
      </c>
      <c r="C65" s="447">
        <f>'gen-detail'!C13</f>
        <v>48891</v>
      </c>
      <c r="D65" s="447">
        <f>'gen-detail'!D13</f>
        <v>51400</v>
      </c>
      <c r="E65" s="264">
        <f>'gen-detail'!E13</f>
        <v>52700</v>
      </c>
    </row>
    <row r="66" spans="2:5" ht="15.75">
      <c r="B66" s="168" t="str">
        <f>'gen-detail'!B14</f>
        <v>County Clerk</v>
      </c>
      <c r="C66" s="447">
        <f>'gen-detail'!C19</f>
        <v>81073</v>
      </c>
      <c r="D66" s="447">
        <f>'gen-detail'!D19</f>
        <v>88000</v>
      </c>
      <c r="E66" s="264">
        <f>'gen-detail'!E19</f>
        <v>88000</v>
      </c>
    </row>
    <row r="67" spans="2:5" ht="15.75">
      <c r="B67" s="168" t="str">
        <f>'gen-detail'!B20</f>
        <v>County Treasurer</v>
      </c>
      <c r="C67" s="447">
        <f>'gen-detail'!C25</f>
        <v>94281</v>
      </c>
      <c r="D67" s="447">
        <f>'gen-detail'!D25</f>
        <v>93800</v>
      </c>
      <c r="E67" s="264">
        <f>'gen-detail'!E25</f>
        <v>93800</v>
      </c>
    </row>
    <row r="68" spans="2:5" ht="15.75">
      <c r="B68" s="168" t="str">
        <f>'gen-detail'!B26</f>
        <v>County Attorney</v>
      </c>
      <c r="C68" s="447">
        <f>'gen-detail'!C31</f>
        <v>102427</v>
      </c>
      <c r="D68" s="447">
        <f>'gen-detail'!D31</f>
        <v>103420</v>
      </c>
      <c r="E68" s="264">
        <f>'gen-detail'!E31</f>
        <v>108700</v>
      </c>
    </row>
    <row r="69" spans="2:5" ht="15.75">
      <c r="B69" s="168" t="str">
        <f>'gen-detail'!B32</f>
        <v>Register of Deeds</v>
      </c>
      <c r="C69" s="447">
        <f>'gen-detail'!C37</f>
        <v>59285</v>
      </c>
      <c r="D69" s="447">
        <f>'gen-detail'!D37</f>
        <v>68000</v>
      </c>
      <c r="E69" s="264">
        <f>'gen-detail'!E37</f>
        <v>68000</v>
      </c>
    </row>
    <row r="70" spans="2:5" ht="15.75">
      <c r="B70" s="168" t="str">
        <f>'gen-detail'!B38</f>
        <v>Sheriff</v>
      </c>
      <c r="C70" s="447">
        <f>'gen-detail'!C43</f>
        <v>311372</v>
      </c>
      <c r="D70" s="447">
        <f>'gen-detail'!D43</f>
        <v>325500</v>
      </c>
      <c r="E70" s="264">
        <f>'gen-detail'!E43</f>
        <v>331500</v>
      </c>
    </row>
    <row r="71" spans="2:5" ht="15.75">
      <c r="B71" s="168" t="str">
        <f>'gen-detail'!B44</f>
        <v>Dispatch</v>
      </c>
      <c r="C71" s="447">
        <f>'gen-detail'!C49</f>
        <v>126224</v>
      </c>
      <c r="D71" s="447">
        <f>'gen-detail'!D49</f>
        <v>148800</v>
      </c>
      <c r="E71" s="264">
        <f>'gen-detail'!E49</f>
        <v>148800</v>
      </c>
    </row>
    <row r="72" spans="2:5" ht="15.75">
      <c r="B72" s="168" t="str">
        <f>'gen-detail'!B50</f>
        <v>Jail</v>
      </c>
      <c r="C72" s="447">
        <f>'gen-detail'!C55</f>
        <v>106457</v>
      </c>
      <c r="D72" s="447">
        <f>'gen-detail'!D55</f>
        <v>149000</v>
      </c>
      <c r="E72" s="264">
        <f>'gen-detail'!E55</f>
        <v>149000</v>
      </c>
    </row>
    <row r="73" spans="2:5" ht="15.75">
      <c r="B73" s="168" t="str">
        <f>'gen-detail'!B67</f>
        <v>District Court</v>
      </c>
      <c r="C73" s="447">
        <f>'gen-detail'!C72</f>
        <v>31854</v>
      </c>
      <c r="D73" s="447">
        <f>'gen-detail'!D72</f>
        <v>35918</v>
      </c>
      <c r="E73" s="264">
        <f>'gen-detail'!E72</f>
        <v>34991</v>
      </c>
    </row>
    <row r="74" spans="2:5" ht="15.75">
      <c r="B74" s="168" t="str">
        <f>'gen-detail'!B73</f>
        <v>Emergency Management</v>
      </c>
      <c r="C74" s="447">
        <f>'gen-detail'!C78</f>
        <v>17212</v>
      </c>
      <c r="D74" s="447">
        <f>'gen-detail'!D78</f>
        <v>19065</v>
      </c>
      <c r="E74" s="264">
        <f>'gen-detail'!E78</f>
        <v>19335</v>
      </c>
    </row>
    <row r="75" spans="2:5" ht="15.75">
      <c r="B75" s="168" t="str">
        <f>'gen-detail'!B79</f>
        <v>Courthouse General</v>
      </c>
      <c r="C75" s="447">
        <f>'gen-detail'!C85</f>
        <v>371040</v>
      </c>
      <c r="D75" s="447">
        <f>'gen-detail'!D85</f>
        <v>434000</v>
      </c>
      <c r="E75" s="264">
        <f>'gen-detail'!E85</f>
        <v>580245</v>
      </c>
    </row>
    <row r="76" spans="2:5" ht="15.75">
      <c r="B76" s="168" t="str">
        <f>'gen-detail'!B86</f>
        <v>Election</v>
      </c>
      <c r="C76" s="447">
        <f>'gen-detail'!C91</f>
        <v>37520</v>
      </c>
      <c r="D76" s="447">
        <f>'gen-detail'!D91</f>
        <v>48500</v>
      </c>
      <c r="E76" s="264">
        <f>'gen-detail'!E91</f>
        <v>55500</v>
      </c>
    </row>
    <row r="77" spans="2:5" ht="15.75">
      <c r="B77" s="168" t="s">
        <v>850</v>
      </c>
      <c r="C77" s="447">
        <f>'gen-detail'!C97</f>
        <v>15240</v>
      </c>
      <c r="D77" s="447">
        <f>'gen-detail'!D97</f>
        <v>45000</v>
      </c>
      <c r="E77" s="264">
        <f>'gen-detail'!E97</f>
        <v>31000</v>
      </c>
    </row>
    <row r="78" spans="2:5" ht="15.75">
      <c r="B78" s="168" t="s">
        <v>335</v>
      </c>
      <c r="C78" s="447">
        <f>'gen-detail'!C103</f>
        <v>4000</v>
      </c>
      <c r="D78" s="447">
        <f>'gen-detail'!D103</f>
        <v>4000</v>
      </c>
      <c r="E78" s="264">
        <f>'gen-detail'!E103</f>
        <v>4000</v>
      </c>
    </row>
    <row r="79" spans="2:5" ht="15.75">
      <c r="B79" s="168" t="s">
        <v>336</v>
      </c>
      <c r="C79" s="447">
        <f>'gen-detail'!C109</f>
        <v>22500</v>
      </c>
      <c r="D79" s="447">
        <f>'gen-detail'!D109</f>
        <v>22500</v>
      </c>
      <c r="E79" s="264">
        <f>'gen-detail'!E109</f>
        <v>22500</v>
      </c>
    </row>
    <row r="80" spans="2:5" ht="15.75">
      <c r="B80" s="168" t="s">
        <v>337</v>
      </c>
      <c r="C80" s="447">
        <f>'gen-detail'!C115</f>
        <v>19000</v>
      </c>
      <c r="D80" s="447">
        <f>'gen-detail'!D115</f>
        <v>25000</v>
      </c>
      <c r="E80" s="264">
        <f>'gen-detail'!E115</f>
        <v>25000</v>
      </c>
    </row>
    <row r="81" spans="2:5" ht="15.75">
      <c r="B81" s="168" t="s">
        <v>879</v>
      </c>
      <c r="C81" s="447">
        <f>'gen-detail'!C133</f>
        <v>102642</v>
      </c>
      <c r="D81" s="447">
        <f>'gen-detail'!D133</f>
        <v>0</v>
      </c>
      <c r="E81" s="264">
        <f>'gen-detail'!E133</f>
        <v>0</v>
      </c>
    </row>
    <row r="82" spans="2:5" ht="15.75">
      <c r="B82" s="168" t="s">
        <v>338</v>
      </c>
      <c r="C82" s="447">
        <f>'gen-detail'!C139</f>
        <v>63076</v>
      </c>
      <c r="D82" s="447">
        <f>'gen-detail'!D139</f>
        <v>63745</v>
      </c>
      <c r="E82" s="264">
        <f>'gen-detail'!E139</f>
        <v>64443</v>
      </c>
    </row>
    <row r="83" spans="2:5" ht="15.75">
      <c r="B83" s="168" t="s">
        <v>339</v>
      </c>
      <c r="C83" s="447">
        <f>'gen-detail'!C145</f>
        <v>18510</v>
      </c>
      <c r="D83" s="447">
        <f>'gen-detail'!D145</f>
        <v>18510</v>
      </c>
      <c r="E83" s="264">
        <f>'gen-detail'!E145</f>
        <v>18510</v>
      </c>
    </row>
    <row r="84" spans="2:5" ht="15.75">
      <c r="B84" s="168" t="s">
        <v>345</v>
      </c>
      <c r="C84" s="447">
        <f>'gen-detail'!C151</f>
        <v>14500</v>
      </c>
      <c r="D84" s="447">
        <f>'gen-detail'!D151</f>
        <v>14500</v>
      </c>
      <c r="E84" s="264">
        <f>'gen-detail'!E151</f>
        <v>15500</v>
      </c>
    </row>
    <row r="85" spans="2:5" ht="15.75">
      <c r="B85" s="168" t="s">
        <v>346</v>
      </c>
      <c r="C85" s="447">
        <f>'gen-detail'!C157</f>
        <v>1500</v>
      </c>
      <c r="D85" s="447">
        <f>'gen-detail'!D157</f>
        <v>1500</v>
      </c>
      <c r="E85" s="264">
        <f>'gen-detail'!E157</f>
        <v>1500</v>
      </c>
    </row>
    <row r="86" spans="2:5" ht="15.75">
      <c r="B86" s="168" t="s">
        <v>341</v>
      </c>
      <c r="C86" s="447">
        <f>'gen-detail'!C163</f>
        <v>10000</v>
      </c>
      <c r="D86" s="447">
        <f>'gen-detail'!D163</f>
        <v>10000</v>
      </c>
      <c r="E86" s="264">
        <f>'gen-detail'!E163</f>
        <v>10000</v>
      </c>
    </row>
    <row r="87" spans="2:5" ht="15.75">
      <c r="B87" s="168" t="s">
        <v>342</v>
      </c>
      <c r="C87" s="447">
        <f>'gen-detail'!C169</f>
        <v>5813</v>
      </c>
      <c r="D87" s="447">
        <f>'gen-detail'!D169</f>
        <v>5813</v>
      </c>
      <c r="E87" s="264">
        <f>'gen-detail'!E169</f>
        <v>5813</v>
      </c>
    </row>
    <row r="88" spans="2:5" ht="15.75">
      <c r="B88" s="168" t="s">
        <v>343</v>
      </c>
      <c r="C88" s="447">
        <f>'gen-detail'!C175</f>
        <v>2000</v>
      </c>
      <c r="D88" s="447">
        <f>'gen-detail'!D175</f>
        <v>3000</v>
      </c>
      <c r="E88" s="264">
        <f>'gen-detail'!E175</f>
        <v>3000</v>
      </c>
    </row>
    <row r="89" spans="2:5" ht="15.75">
      <c r="B89" s="168" t="s">
        <v>347</v>
      </c>
      <c r="C89" s="447">
        <f>'gen-detail'!C191</f>
        <v>4500</v>
      </c>
      <c r="D89" s="447">
        <f>'gen-detail'!D191</f>
        <v>4500</v>
      </c>
      <c r="E89" s="264">
        <f>'gen-detail'!E191</f>
        <v>4500</v>
      </c>
    </row>
    <row r="90" spans="2:5" ht="15.75">
      <c r="B90" s="168" t="s">
        <v>348</v>
      </c>
      <c r="C90" s="447">
        <f>'gen-detail'!C197</f>
        <v>5095</v>
      </c>
      <c r="D90" s="447">
        <f>'gen-detail'!D197</f>
        <v>4996</v>
      </c>
      <c r="E90" s="264">
        <f>'gen-detail'!E197</f>
        <v>4714</v>
      </c>
    </row>
    <row r="91" spans="2:5" ht="15.75">
      <c r="B91" s="168" t="s">
        <v>349</v>
      </c>
      <c r="C91" s="447">
        <f>'gen-detail'!C203</f>
        <v>0</v>
      </c>
      <c r="D91" s="447">
        <f>'gen-detail'!D203</f>
        <v>60000</v>
      </c>
      <c r="E91" s="264">
        <f>'gen-detail'!E203</f>
        <v>150000</v>
      </c>
    </row>
    <row r="92" spans="2:5" ht="15.75">
      <c r="B92" s="168"/>
      <c r="C92" s="447"/>
      <c r="D92" s="447"/>
      <c r="E92" s="264"/>
    </row>
    <row r="93" spans="2:5" ht="15.75">
      <c r="B93" s="168"/>
      <c r="C93" s="447"/>
      <c r="D93" s="447"/>
      <c r="E93" s="264"/>
    </row>
    <row r="94" spans="2:5" ht="15.75">
      <c r="B94" s="168"/>
      <c r="C94" s="447"/>
      <c r="D94" s="447"/>
      <c r="E94" s="264"/>
    </row>
    <row r="95" spans="2:5" ht="15.75">
      <c r="B95" s="168"/>
      <c r="C95" s="447"/>
      <c r="D95" s="447"/>
      <c r="E95" s="264"/>
    </row>
    <row r="96" spans="2:5" ht="15.75">
      <c r="B96" s="168"/>
      <c r="C96" s="447"/>
      <c r="D96" s="447"/>
      <c r="E96" s="264"/>
    </row>
    <row r="97" spans="2:5" ht="15.75">
      <c r="B97" s="168"/>
      <c r="C97" s="447"/>
      <c r="D97" s="447"/>
      <c r="E97" s="264"/>
    </row>
    <row r="98" spans="2:5" ht="15.75">
      <c r="B98" s="168"/>
      <c r="C98" s="447"/>
      <c r="D98" s="447"/>
      <c r="E98" s="264"/>
    </row>
    <row r="99" spans="2:5" ht="15.75">
      <c r="B99" s="168"/>
      <c r="C99" s="447"/>
      <c r="D99" s="447"/>
      <c r="E99" s="264"/>
    </row>
    <row r="100" spans="2:5" ht="15.75">
      <c r="B100" s="168"/>
      <c r="C100" s="447"/>
      <c r="D100" s="447"/>
      <c r="E100" s="264"/>
    </row>
    <row r="101" spans="2:5" ht="15.75">
      <c r="B101" s="168"/>
      <c r="C101" s="447"/>
      <c r="D101" s="447"/>
      <c r="E101" s="264"/>
    </row>
    <row r="102" spans="2:5" ht="15.75">
      <c r="B102" s="168"/>
      <c r="C102" s="447"/>
      <c r="D102" s="447"/>
      <c r="E102" s="264"/>
    </row>
    <row r="103" spans="2:5" ht="15.75">
      <c r="B103" s="168"/>
      <c r="C103" s="447"/>
      <c r="D103" s="447"/>
      <c r="E103" s="264"/>
    </row>
    <row r="104" spans="2:5" ht="15.75">
      <c r="B104" s="168"/>
      <c r="C104" s="447"/>
      <c r="D104" s="447"/>
      <c r="E104" s="264"/>
    </row>
    <row r="105" spans="2:5" ht="15.75">
      <c r="B105" s="312" t="s">
        <v>260</v>
      </c>
      <c r="C105" s="458">
        <f>SUM(C65:C104)</f>
        <v>1676012</v>
      </c>
      <c r="D105" s="458">
        <f>SUM(D65:D104)</f>
        <v>1848467</v>
      </c>
      <c r="E105" s="338">
        <f>SUM(E65:E104)</f>
        <v>2091051</v>
      </c>
    </row>
    <row r="106" spans="2:5" ht="15.75">
      <c r="B106" s="314"/>
      <c r="C106" s="302"/>
      <c r="D106" s="302"/>
      <c r="E106" s="315"/>
    </row>
    <row r="107" spans="2:5" ht="15.75">
      <c r="B107" s="316" t="s">
        <v>350</v>
      </c>
      <c r="C107" s="302"/>
      <c r="D107" s="302"/>
      <c r="E107" s="303">
        <v>100000</v>
      </c>
    </row>
    <row r="108" spans="2:5" ht="15.75">
      <c r="B108" s="316" t="s">
        <v>351</v>
      </c>
      <c r="C108" s="302">
        <v>218000</v>
      </c>
      <c r="D108" s="302">
        <v>300000</v>
      </c>
      <c r="E108" s="303">
        <v>400000</v>
      </c>
    </row>
    <row r="109" spans="2:5" ht="15.75">
      <c r="B109" s="316" t="s">
        <v>352</v>
      </c>
      <c r="C109" s="302">
        <v>35246</v>
      </c>
      <c r="D109" s="302">
        <v>38518</v>
      </c>
      <c r="E109" s="303">
        <v>40000</v>
      </c>
    </row>
    <row r="110" spans="2:5" ht="15.75">
      <c r="B110" s="316"/>
      <c r="C110" s="302"/>
      <c r="D110" s="302"/>
      <c r="E110" s="303"/>
    </row>
    <row r="111" spans="2:5" ht="15.75">
      <c r="B111" s="316"/>
      <c r="C111" s="302"/>
      <c r="D111" s="302"/>
      <c r="E111" s="303"/>
    </row>
    <row r="112" spans="2:5" ht="15.75">
      <c r="B112" s="305" t="s">
        <v>965</v>
      </c>
      <c r="C112" s="302"/>
      <c r="D112" s="302"/>
      <c r="E112" s="317">
        <f>Nhood!E6</f>
      </c>
    </row>
    <row r="113" spans="2:5" ht="15.75">
      <c r="B113" s="305" t="s">
        <v>966</v>
      </c>
      <c r="C113" s="480"/>
      <c r="D113" s="480"/>
      <c r="E113" s="96"/>
    </row>
    <row r="114" spans="2:10" ht="15.75">
      <c r="B114" s="305" t="s">
        <v>922</v>
      </c>
      <c r="C114" s="446">
        <f>IF(C115*0.1&lt;C113,"Exceed 10% Rule","")</f>
      </c>
      <c r="D114" s="446">
        <f>IF(D115*0.1&lt;D113,"Exceed 10% Rule","")</f>
      </c>
      <c r="E114" s="333">
        <f>IF(E115*0.1&lt;E113,"Exceed 10% Rule","")</f>
      </c>
      <c r="G114" s="693" t="str">
        <f>CONCATENATE("Projected Carryover Into ",E1+1,"")</f>
        <v>Projected Carryover Into 2013</v>
      </c>
      <c r="H114" s="696"/>
      <c r="I114" s="696"/>
      <c r="J114" s="695"/>
    </row>
    <row r="115" spans="2:10" ht="15.75">
      <c r="B115" s="307" t="s">
        <v>865</v>
      </c>
      <c r="C115" s="450">
        <f>SUM(C105:C113)</f>
        <v>1929258</v>
      </c>
      <c r="D115" s="450">
        <f>SUM(D105:D113)</f>
        <v>2186985</v>
      </c>
      <c r="E115" s="353">
        <f>SUM(E105:E113)</f>
        <v>2631051</v>
      </c>
      <c r="G115" s="497"/>
      <c r="H115" s="495"/>
      <c r="I115" s="495"/>
      <c r="J115" s="498"/>
    </row>
    <row r="116" spans="2:10" ht="15.75">
      <c r="B116" s="154" t="s">
        <v>570</v>
      </c>
      <c r="C116" s="445">
        <f>C55-C115</f>
        <v>484417</v>
      </c>
      <c r="D116" s="445">
        <f>D55-D115</f>
        <v>574343</v>
      </c>
      <c r="E116" s="200" t="s">
        <v>462</v>
      </c>
      <c r="G116" s="499">
        <f>D116</f>
        <v>574343</v>
      </c>
      <c r="H116" s="500" t="str">
        <f>CONCATENATE("",E1-1," Ending Cash Balance (est.)")</f>
        <v>2011 Ending Cash Balance (est.)</v>
      </c>
      <c r="I116" s="501"/>
      <c r="J116" s="498"/>
    </row>
    <row r="117" spans="2:10" ht="15.75">
      <c r="B117" s="286" t="str">
        <f>CONCATENATE("",$E$1-2,"/",$E$1-1," Budget Authority Amount:")</f>
        <v>2010/2011 Budget Authority Amount:</v>
      </c>
      <c r="C117" s="278">
        <f>inputOth!B30</f>
        <v>2018974</v>
      </c>
      <c r="D117" s="318">
        <f>inputPrYr!D16</f>
        <v>2348211</v>
      </c>
      <c r="E117" s="200" t="s">
        <v>462</v>
      </c>
      <c r="F117" s="319"/>
      <c r="G117" s="499">
        <f>E54</f>
        <v>704133</v>
      </c>
      <c r="H117" s="502" t="str">
        <f>CONCATENATE("",E1," Non-AV Receipts (est.)")</f>
        <v>2012 Non-AV Receipts (est.)</v>
      </c>
      <c r="I117" s="501"/>
      <c r="J117" s="498"/>
    </row>
    <row r="118" spans="2:10" ht="15.75">
      <c r="B118" s="286"/>
      <c r="C118" s="700" t="s">
        <v>923</v>
      </c>
      <c r="D118" s="701"/>
      <c r="E118" s="96">
        <v>65000</v>
      </c>
      <c r="F118" s="493">
        <f>IF(E115/0.95-E115&lt;E118,"Exceeds 5%","")</f>
      </c>
      <c r="G118" s="503">
        <f>E122</f>
        <v>1460102.25</v>
      </c>
      <c r="H118" s="502" t="str">
        <f>CONCATENATE("",E1," Ad Valorem Tax (est.)")</f>
        <v>2012 Ad Valorem Tax (est.)</v>
      </c>
      <c r="I118" s="501"/>
      <c r="J118" s="498"/>
    </row>
    <row r="119" spans="2:10" ht="15.75">
      <c r="B119" s="487" t="str">
        <f>CONCATENATE(C133,"     ",D133)</f>
        <v>     </v>
      </c>
      <c r="C119" s="702" t="s">
        <v>924</v>
      </c>
      <c r="D119" s="703"/>
      <c r="E119" s="264">
        <f>E115+E118</f>
        <v>2696051</v>
      </c>
      <c r="G119" s="499">
        <f>SUM(G116:G118)</f>
        <v>2738578.25</v>
      </c>
      <c r="H119" s="502" t="str">
        <f>CONCATENATE("Total ",E1," Resources Available")</f>
        <v>Total 2012 Resources Available</v>
      </c>
      <c r="I119" s="501"/>
      <c r="J119" s="498"/>
    </row>
    <row r="120" spans="2:10" ht="15.75">
      <c r="B120" s="487" t="str">
        <f>CONCATENATE(C134,"     ",D134)</f>
        <v>     </v>
      </c>
      <c r="C120" s="320"/>
      <c r="D120" s="109" t="s">
        <v>866</v>
      </c>
      <c r="E120" s="100">
        <f>IF(E119-E55&gt;0,E119-E55,0)</f>
        <v>1417575</v>
      </c>
      <c r="G120" s="504"/>
      <c r="H120" s="502"/>
      <c r="I120" s="502"/>
      <c r="J120" s="498"/>
    </row>
    <row r="121" spans="2:10" ht="15.75">
      <c r="B121" s="321"/>
      <c r="C121" s="469" t="s">
        <v>925</v>
      </c>
      <c r="D121" s="460">
        <f>inputOth!$E$23</f>
        <v>0.03</v>
      </c>
      <c r="E121" s="264">
        <f>IF(D121&gt;0,(E120*D121),0)</f>
        <v>42527.25</v>
      </c>
      <c r="G121" s="503">
        <f>C115*0.05+C115</f>
        <v>2025720.9</v>
      </c>
      <c r="H121" s="502" t="str">
        <f>CONCATENATE("Less ",E1-2," Expenditures + 5%")</f>
        <v>Less 2010 Expenditures + 5%</v>
      </c>
      <c r="I121" s="501"/>
      <c r="J121" s="498"/>
    </row>
    <row r="122" spans="2:10" ht="15.75">
      <c r="B122" s="69"/>
      <c r="C122" s="698" t="str">
        <f>CONCATENATE("Amount of  ",$E$1-1," Ad Valorem Tax")</f>
        <v>Amount of  2011 Ad Valorem Tax</v>
      </c>
      <c r="D122" s="699"/>
      <c r="E122" s="338">
        <f>E120+E121</f>
        <v>1460102.25</v>
      </c>
      <c r="G122" s="509">
        <f>G119-G121</f>
        <v>712857.3500000001</v>
      </c>
      <c r="H122" s="505" t="str">
        <f>CONCATENATE("Projected ",E1," Carryover (est.)")</f>
        <v>Projected 2012 Carryover (est.)</v>
      </c>
      <c r="I122" s="506"/>
      <c r="J122" s="507"/>
    </row>
    <row r="123" spans="2:10" ht="15.75">
      <c r="B123" s="69"/>
      <c r="C123" s="69"/>
      <c r="D123" s="69"/>
      <c r="E123" s="69"/>
      <c r="G123" s="494"/>
      <c r="H123" s="494"/>
      <c r="I123" s="494"/>
      <c r="J123" s="494"/>
    </row>
    <row r="124" spans="2:10" ht="15.75">
      <c r="B124" s="697" t="s">
        <v>595</v>
      </c>
      <c r="C124" s="697"/>
      <c r="D124" s="697"/>
      <c r="E124" s="697"/>
      <c r="G124" s="514">
        <f>IF(inputOth!E5=0,"",ROUND(general!E122/inputOth!E5*1000,3))</f>
        <v>22.657</v>
      </c>
      <c r="H124" s="513" t="str">
        <f>CONCATENATE("Projected ",E1-1," Mill Rate (est.)")</f>
        <v>Projected 2011 Mill Rate (est.)</v>
      </c>
      <c r="I124" s="511"/>
      <c r="J124" s="512"/>
    </row>
    <row r="125" spans="7:10" ht="15.75">
      <c r="G125" s="510"/>
      <c r="H125" s="510"/>
      <c r="I125" s="510"/>
      <c r="J125" s="510"/>
    </row>
    <row r="126" spans="7:10" ht="15.75">
      <c r="G126" s="693" t="str">
        <f>CONCATENATE("Desired Carryover Into ",E1+1,"")</f>
        <v>Desired Carryover Into 2013</v>
      </c>
      <c r="H126" s="694"/>
      <c r="I126" s="694"/>
      <c r="J126" s="695"/>
    </row>
    <row r="127" spans="7:10" ht="15.75">
      <c r="G127" s="515"/>
      <c r="H127" s="495"/>
      <c r="I127" s="502"/>
      <c r="J127" s="516"/>
    </row>
    <row r="128" spans="7:10" ht="15.75">
      <c r="G128" s="508" t="s">
        <v>53</v>
      </c>
      <c r="H128" s="502"/>
      <c r="I128" s="502"/>
      <c r="J128" s="496">
        <v>0</v>
      </c>
    </row>
    <row r="129" spans="7:10" ht="15.75">
      <c r="G129" s="515" t="s">
        <v>54</v>
      </c>
      <c r="H129" s="495"/>
      <c r="I129" s="495"/>
      <c r="J129" s="520">
        <f>IF(J128=0,"",ROUND((J128+E122-G122)/inputOth!E5*1000,3)-general!G124)</f>
      </c>
    </row>
    <row r="130" spans="7:10" ht="15.75">
      <c r="G130" s="517" t="str">
        <f>CONCATENATE("",E1," Total Expenditures Must Be:")</f>
        <v>2012 Total Expenditures Must Be:</v>
      </c>
      <c r="H130" s="518"/>
      <c r="I130" s="519"/>
      <c r="J130" s="521">
        <f>IF((J128&gt;0),(E115+J128-G122),0)</f>
        <v>0</v>
      </c>
    </row>
    <row r="133" spans="3:4" ht="15.75" hidden="1">
      <c r="C133" s="53">
        <f>IF(C115&gt;C117,"See Tab A","")</f>
      </c>
      <c r="D133" s="53">
        <f>IF(D115&gt;D117,"See Tab C","")</f>
      </c>
    </row>
    <row r="134" spans="3:4" ht="15.75" hidden="1">
      <c r="C134" s="53">
        <f>IF(C116&lt;0,"See Tab B","")</f>
      </c>
      <c r="D134" s="53">
        <f>IF(D116&lt;0,"See Tab D","")</f>
      </c>
    </row>
  </sheetData>
  <sheetProtection/>
  <mergeCells count="7">
    <mergeCell ref="G126:J126"/>
    <mergeCell ref="G114:J114"/>
    <mergeCell ref="B124:E124"/>
    <mergeCell ref="B57:E57"/>
    <mergeCell ref="C122:D122"/>
    <mergeCell ref="C118:D118"/>
    <mergeCell ref="C119:D119"/>
  </mergeCells>
  <conditionalFormatting sqref="E118">
    <cfRule type="cellIs" priority="2" dxfId="350" operator="greaterThan" stopIfTrue="1">
      <formula>$E$115/0.95-$E$115</formula>
    </cfRule>
  </conditionalFormatting>
  <conditionalFormatting sqref="E113">
    <cfRule type="cellIs" priority="3" dxfId="350" operator="greaterThan" stopIfTrue="1">
      <formula>$E$115*0.1</formula>
    </cfRule>
  </conditionalFormatting>
  <conditionalFormatting sqref="E52">
    <cfRule type="cellIs" priority="4" dxfId="350" operator="greaterThan" stopIfTrue="1">
      <formula>$E$54*0.1+E122</formula>
    </cfRule>
  </conditionalFormatting>
  <conditionalFormatting sqref="D52">
    <cfRule type="cellIs" priority="5" dxfId="2" operator="greaterThan" stopIfTrue="1">
      <formula>$D$54*0.1</formula>
    </cfRule>
  </conditionalFormatting>
  <conditionalFormatting sqref="C52">
    <cfRule type="cellIs" priority="6" dxfId="2" operator="greaterThan" stopIfTrue="1">
      <formula>$C$54*0.1</formula>
    </cfRule>
  </conditionalFormatting>
  <conditionalFormatting sqref="C116">
    <cfRule type="cellIs" priority="7" dxfId="2" operator="lessThan" stopIfTrue="1">
      <formula>0</formula>
    </cfRule>
  </conditionalFormatting>
  <conditionalFormatting sqref="D113">
    <cfRule type="cellIs" priority="8" dxfId="2" operator="greaterThan" stopIfTrue="1">
      <formula>$D$115*0.1</formula>
    </cfRule>
  </conditionalFormatting>
  <conditionalFormatting sqref="C113">
    <cfRule type="cellIs" priority="9" dxfId="2" operator="greaterThan" stopIfTrue="1">
      <formula>$C$115*0.1</formula>
    </cfRule>
  </conditionalFormatting>
  <conditionalFormatting sqref="C115">
    <cfRule type="cellIs" priority="10" dxfId="2" operator="greaterThan" stopIfTrue="1">
      <formula>$C$117</formula>
    </cfRule>
  </conditionalFormatting>
  <conditionalFormatting sqref="D115">
    <cfRule type="cellIs" priority="11" dxfId="2" operator="greaterThan" stopIfTrue="1">
      <formula>$D$117</formula>
    </cfRule>
  </conditionalFormatting>
  <conditionalFormatting sqref="D116">
    <cfRule type="cellIs" priority="1" dxfId="0" operator="lessThan" stopIfTrue="1">
      <formula>0</formula>
    </cfRule>
  </conditionalFormatting>
  <printOptions/>
  <pageMargins left="1" right="0.5" top="0.81" bottom="0.36" header="0.5" footer="0"/>
  <pageSetup blackAndWhite="1" fitToHeight="2" horizontalDpi="120" verticalDpi="120" orientation="portrait" scale="65" r:id="rId1"/>
  <headerFooter alignWithMargins="0">
    <oddHeader>&amp;RState of Kansas
County
</oddHeader>
  </headerFooter>
  <rowBreaks count="1" manualBreakCount="1">
    <brk id="57" max="255" man="1"/>
  </rowBreaks>
  <colBreaks count="1" manualBreakCount="1">
    <brk id="5" max="65535" man="1"/>
  </colBreaks>
</worksheet>
</file>

<file path=xl/worksheets/sheet15.xml><?xml version="1.0" encoding="utf-8"?>
<worksheet xmlns="http://schemas.openxmlformats.org/spreadsheetml/2006/main" xmlns:r="http://schemas.openxmlformats.org/officeDocument/2006/relationships">
  <dimension ref="B1:E406"/>
  <sheetViews>
    <sheetView zoomScalePageLayoutView="0" workbookViewId="0" topLeftCell="A76">
      <selection activeCell="E84" sqref="E84"/>
    </sheetView>
  </sheetViews>
  <sheetFormatPr defaultColWidth="8.796875" defaultRowHeight="15"/>
  <cols>
    <col min="1" max="1" width="2.3984375" style="53" customWidth="1"/>
    <col min="2" max="2" width="30.796875" style="53" customWidth="1"/>
    <col min="3" max="5" width="15.796875" style="53" customWidth="1"/>
    <col min="6" max="16384" width="8.8984375" style="53" customWidth="1"/>
  </cols>
  <sheetData>
    <row r="1" spans="2:5" ht="15.75">
      <c r="B1" s="205" t="str">
        <f>inputPrYr!C3</f>
        <v>MORRIS COUNTY</v>
      </c>
      <c r="C1" s="69"/>
      <c r="D1" s="191"/>
      <c r="E1" s="69">
        <f>inputPrYr!C5</f>
        <v>2012</v>
      </c>
    </row>
    <row r="2" spans="2:5" ht="15.75">
      <c r="B2" s="69"/>
      <c r="C2" s="69"/>
      <c r="D2" s="69"/>
      <c r="E2" s="191"/>
    </row>
    <row r="3" spans="2:5" ht="15.75">
      <c r="B3" s="214" t="s">
        <v>526</v>
      </c>
      <c r="C3" s="310"/>
      <c r="D3" s="310"/>
      <c r="E3" s="310"/>
    </row>
    <row r="4" spans="2:5" ht="15.75">
      <c r="B4" s="191" t="s">
        <v>851</v>
      </c>
      <c r="C4" s="535" t="s">
        <v>479</v>
      </c>
      <c r="D4" s="536" t="s">
        <v>226</v>
      </c>
      <c r="E4" s="536" t="s">
        <v>227</v>
      </c>
    </row>
    <row r="5" spans="2:5" ht="15.75">
      <c r="B5" s="471" t="s">
        <v>927</v>
      </c>
      <c r="C5" s="311">
        <f>E1-2</f>
        <v>2010</v>
      </c>
      <c r="D5" s="311">
        <f>E1-1</f>
        <v>2011</v>
      </c>
      <c r="E5" s="311">
        <f>E1</f>
        <v>2012</v>
      </c>
    </row>
    <row r="6" spans="2:5" ht="15.75">
      <c r="B6" s="261" t="s">
        <v>864</v>
      </c>
      <c r="C6" s="112"/>
      <c r="D6" s="112"/>
      <c r="E6" s="112"/>
    </row>
    <row r="7" spans="2:5" ht="15.75">
      <c r="B7" s="341" t="s">
        <v>874</v>
      </c>
      <c r="C7" s="112"/>
      <c r="D7" s="112"/>
      <c r="E7" s="112"/>
    </row>
    <row r="8" spans="2:5" ht="15.75">
      <c r="B8" s="342" t="s">
        <v>869</v>
      </c>
      <c r="C8" s="303">
        <v>43570</v>
      </c>
      <c r="D8" s="303">
        <v>44700</v>
      </c>
      <c r="E8" s="303">
        <v>46000</v>
      </c>
    </row>
    <row r="9" spans="2:5" ht="15.75">
      <c r="B9" s="342" t="s">
        <v>870</v>
      </c>
      <c r="C9" s="303">
        <v>5321</v>
      </c>
      <c r="D9" s="303">
        <v>6700</v>
      </c>
      <c r="E9" s="303">
        <v>6700</v>
      </c>
    </row>
    <row r="10" spans="2:5" ht="15.75">
      <c r="B10" s="342" t="s">
        <v>871</v>
      </c>
      <c r="C10" s="303"/>
      <c r="D10" s="303"/>
      <c r="E10" s="303"/>
    </row>
    <row r="11" spans="2:5" ht="15.75">
      <c r="B11" s="342" t="s">
        <v>872</v>
      </c>
      <c r="C11" s="303"/>
      <c r="D11" s="303"/>
      <c r="E11" s="303"/>
    </row>
    <row r="12" spans="2:5" ht="15.75">
      <c r="B12" s="95"/>
      <c r="C12" s="303"/>
      <c r="D12" s="303"/>
      <c r="E12" s="303"/>
    </row>
    <row r="13" spans="2:5" ht="15.75">
      <c r="B13" s="191" t="s">
        <v>446</v>
      </c>
      <c r="C13" s="343">
        <f>SUM(C8:C12)</f>
        <v>48891</v>
      </c>
      <c r="D13" s="343">
        <f>SUM(D8:D12)</f>
        <v>51400</v>
      </c>
      <c r="E13" s="343">
        <f>SUM(E8:E12)</f>
        <v>52700</v>
      </c>
    </row>
    <row r="14" spans="2:5" ht="15.75">
      <c r="B14" s="341" t="s">
        <v>465</v>
      </c>
      <c r="C14" s="112"/>
      <c r="D14" s="112"/>
      <c r="E14" s="112"/>
    </row>
    <row r="15" spans="2:5" ht="15.75">
      <c r="B15" s="342" t="s">
        <v>869</v>
      </c>
      <c r="C15" s="303">
        <v>79494</v>
      </c>
      <c r="D15" s="303">
        <v>82000</v>
      </c>
      <c r="E15" s="303">
        <v>84000</v>
      </c>
    </row>
    <row r="16" spans="2:5" ht="15.75">
      <c r="B16" s="342" t="s">
        <v>870</v>
      </c>
      <c r="C16" s="303">
        <v>1484</v>
      </c>
      <c r="D16" s="303">
        <v>2500</v>
      </c>
      <c r="E16" s="303">
        <v>2000</v>
      </c>
    </row>
    <row r="17" spans="2:5" ht="15.75">
      <c r="B17" s="342" t="s">
        <v>871</v>
      </c>
      <c r="C17" s="303">
        <v>95</v>
      </c>
      <c r="D17" s="303">
        <v>2250</v>
      </c>
      <c r="E17" s="303">
        <v>750</v>
      </c>
    </row>
    <row r="18" spans="2:5" ht="15.75">
      <c r="B18" s="342" t="s">
        <v>872</v>
      </c>
      <c r="C18" s="303"/>
      <c r="D18" s="303">
        <v>1250</v>
      </c>
      <c r="E18" s="303">
        <v>1250</v>
      </c>
    </row>
    <row r="19" spans="2:5" ht="15.75">
      <c r="B19" s="191" t="s">
        <v>446</v>
      </c>
      <c r="C19" s="343">
        <f>SUM(C15:C18)</f>
        <v>81073</v>
      </c>
      <c r="D19" s="343">
        <f>SUM(D15:D18)</f>
        <v>88000</v>
      </c>
      <c r="E19" s="343">
        <f>SUM(E15:E18)</f>
        <v>88000</v>
      </c>
    </row>
    <row r="20" spans="2:5" ht="15.75">
      <c r="B20" s="341" t="s">
        <v>875</v>
      </c>
      <c r="C20" s="112"/>
      <c r="D20" s="112"/>
      <c r="E20" s="112"/>
    </row>
    <row r="21" spans="2:5" ht="15.75">
      <c r="B21" s="342" t="s">
        <v>869</v>
      </c>
      <c r="C21" s="303">
        <v>87325</v>
      </c>
      <c r="D21" s="303">
        <v>81000</v>
      </c>
      <c r="E21" s="303">
        <v>82700</v>
      </c>
    </row>
    <row r="22" spans="2:5" ht="15.75">
      <c r="B22" s="342" t="s">
        <v>870</v>
      </c>
      <c r="C22" s="303">
        <v>5440</v>
      </c>
      <c r="D22" s="303">
        <v>6900</v>
      </c>
      <c r="E22" s="303">
        <v>6900</v>
      </c>
    </row>
    <row r="23" spans="2:5" ht="15.75">
      <c r="B23" s="342" t="s">
        <v>871</v>
      </c>
      <c r="C23" s="303">
        <v>667</v>
      </c>
      <c r="D23" s="303">
        <v>2650</v>
      </c>
      <c r="E23" s="303">
        <v>2000</v>
      </c>
    </row>
    <row r="24" spans="2:5" ht="15.75">
      <c r="B24" s="342" t="s">
        <v>872</v>
      </c>
      <c r="C24" s="303">
        <v>849</v>
      </c>
      <c r="D24" s="303">
        <v>3250</v>
      </c>
      <c r="E24" s="303">
        <v>2200</v>
      </c>
    </row>
    <row r="25" spans="2:5" ht="15.75">
      <c r="B25" s="191" t="s">
        <v>446</v>
      </c>
      <c r="C25" s="343">
        <f>SUM(C21:C24)</f>
        <v>94281</v>
      </c>
      <c r="D25" s="343">
        <f>SUM(D21:D24)</f>
        <v>93800</v>
      </c>
      <c r="E25" s="343">
        <f>SUM(E21:E24)</f>
        <v>93800</v>
      </c>
    </row>
    <row r="26" spans="2:5" ht="15.75">
      <c r="B26" s="341" t="s">
        <v>326</v>
      </c>
      <c r="C26" s="112"/>
      <c r="D26" s="112"/>
      <c r="E26" s="112"/>
    </row>
    <row r="27" spans="2:5" ht="15.75">
      <c r="B27" s="342" t="s">
        <v>869</v>
      </c>
      <c r="C27" s="303">
        <v>85051</v>
      </c>
      <c r="D27" s="303">
        <v>88920</v>
      </c>
      <c r="E27" s="303">
        <v>90700</v>
      </c>
    </row>
    <row r="28" spans="2:5" ht="15.75">
      <c r="B28" s="342" t="s">
        <v>870</v>
      </c>
      <c r="C28" s="303">
        <v>13390</v>
      </c>
      <c r="D28" s="303">
        <v>8500</v>
      </c>
      <c r="E28" s="303">
        <v>12000</v>
      </c>
    </row>
    <row r="29" spans="2:5" ht="15.75">
      <c r="B29" s="342" t="s">
        <v>871</v>
      </c>
      <c r="C29" s="303">
        <v>3986</v>
      </c>
      <c r="D29" s="303">
        <v>4000</v>
      </c>
      <c r="E29" s="303">
        <v>4000</v>
      </c>
    </row>
    <row r="30" spans="2:5" ht="15.75">
      <c r="B30" s="342" t="s">
        <v>872</v>
      </c>
      <c r="C30" s="303"/>
      <c r="D30" s="303">
        <v>2000</v>
      </c>
      <c r="E30" s="303">
        <v>2000</v>
      </c>
    </row>
    <row r="31" spans="2:5" ht="15.75">
      <c r="B31" s="191" t="s">
        <v>446</v>
      </c>
      <c r="C31" s="343">
        <f>SUM(C27:C30)</f>
        <v>102427</v>
      </c>
      <c r="D31" s="343">
        <f>SUM(D27:D30)</f>
        <v>103420</v>
      </c>
      <c r="E31" s="343">
        <f>SUM(E27:E30)</f>
        <v>108700</v>
      </c>
    </row>
    <row r="32" spans="2:5" ht="15.75">
      <c r="B32" s="341" t="s">
        <v>880</v>
      </c>
      <c r="C32" s="112"/>
      <c r="D32" s="112"/>
      <c r="E32" s="112"/>
    </row>
    <row r="33" spans="2:5" ht="15.75">
      <c r="B33" s="342" t="s">
        <v>869</v>
      </c>
      <c r="C33" s="303">
        <v>52971</v>
      </c>
      <c r="D33" s="303">
        <v>56000</v>
      </c>
      <c r="E33" s="303">
        <v>57500</v>
      </c>
    </row>
    <row r="34" spans="2:5" ht="15.75">
      <c r="B34" s="342" t="s">
        <v>870</v>
      </c>
      <c r="C34" s="303">
        <v>4223</v>
      </c>
      <c r="D34" s="303">
        <v>8000</v>
      </c>
      <c r="E34" s="303">
        <v>6500</v>
      </c>
    </row>
    <row r="35" spans="2:5" ht="15.75">
      <c r="B35" s="342" t="s">
        <v>871</v>
      </c>
      <c r="C35" s="303">
        <v>2091</v>
      </c>
      <c r="D35" s="303">
        <v>3000</v>
      </c>
      <c r="E35" s="303">
        <v>3000</v>
      </c>
    </row>
    <row r="36" spans="2:5" ht="15.75">
      <c r="B36" s="304" t="s">
        <v>872</v>
      </c>
      <c r="C36" s="303"/>
      <c r="D36" s="303">
        <v>1000</v>
      </c>
      <c r="E36" s="303">
        <v>1000</v>
      </c>
    </row>
    <row r="37" spans="2:5" ht="15.75">
      <c r="B37" s="191" t="s">
        <v>446</v>
      </c>
      <c r="C37" s="343">
        <f>SUM(C33:C36)</f>
        <v>59285</v>
      </c>
      <c r="D37" s="343">
        <f>SUM(D33:D36)</f>
        <v>68000</v>
      </c>
      <c r="E37" s="343">
        <f>SUM(E33:E36)</f>
        <v>68000</v>
      </c>
    </row>
    <row r="38" spans="2:5" ht="15.75">
      <c r="B38" s="341" t="s">
        <v>327</v>
      </c>
      <c r="C38" s="112"/>
      <c r="D38" s="112"/>
      <c r="E38" s="112"/>
    </row>
    <row r="39" spans="2:5" ht="15.75">
      <c r="B39" s="342" t="s">
        <v>869</v>
      </c>
      <c r="C39" s="303">
        <v>239275</v>
      </c>
      <c r="D39" s="303">
        <v>243000</v>
      </c>
      <c r="E39" s="303">
        <v>248000</v>
      </c>
    </row>
    <row r="40" spans="2:5" ht="15.75">
      <c r="B40" s="342" t="s">
        <v>870</v>
      </c>
      <c r="C40" s="303">
        <v>26078</v>
      </c>
      <c r="D40" s="303">
        <v>34000</v>
      </c>
      <c r="E40" s="303">
        <v>35000</v>
      </c>
    </row>
    <row r="41" spans="2:5" ht="15.75">
      <c r="B41" s="342" t="s">
        <v>871</v>
      </c>
      <c r="C41" s="303">
        <v>44030</v>
      </c>
      <c r="D41" s="303">
        <v>46000</v>
      </c>
      <c r="E41" s="303">
        <v>46000</v>
      </c>
    </row>
    <row r="42" spans="2:5" ht="15.75">
      <c r="B42" s="342" t="s">
        <v>872</v>
      </c>
      <c r="C42" s="303">
        <v>1989</v>
      </c>
      <c r="D42" s="303">
        <v>2500</v>
      </c>
      <c r="E42" s="303">
        <v>2500</v>
      </c>
    </row>
    <row r="43" spans="2:5" ht="15.75">
      <c r="B43" s="191" t="s">
        <v>446</v>
      </c>
      <c r="C43" s="343">
        <f>SUM(C39:C42)</f>
        <v>311372</v>
      </c>
      <c r="D43" s="343">
        <f>SUM(D39:D42)</f>
        <v>325500</v>
      </c>
      <c r="E43" s="343">
        <f>SUM(E39:E42)</f>
        <v>331500</v>
      </c>
    </row>
    <row r="44" spans="2:5" ht="15.75">
      <c r="B44" s="341" t="s">
        <v>328</v>
      </c>
      <c r="C44" s="112"/>
      <c r="D44" s="112"/>
      <c r="E44" s="112"/>
    </row>
    <row r="45" spans="2:5" ht="15.75">
      <c r="B45" s="342" t="s">
        <v>869</v>
      </c>
      <c r="C45" s="303">
        <v>124235</v>
      </c>
      <c r="D45" s="303">
        <v>142600</v>
      </c>
      <c r="E45" s="303">
        <v>144100</v>
      </c>
    </row>
    <row r="46" spans="2:5" ht="15.75">
      <c r="B46" s="342" t="s">
        <v>870</v>
      </c>
      <c r="C46" s="303">
        <v>503</v>
      </c>
      <c r="D46" s="303">
        <v>3400</v>
      </c>
      <c r="E46" s="303">
        <v>2500</v>
      </c>
    </row>
    <row r="47" spans="2:5" ht="15.75">
      <c r="B47" s="342" t="s">
        <v>871</v>
      </c>
      <c r="C47" s="303">
        <v>36</v>
      </c>
      <c r="D47" s="303">
        <v>1000</v>
      </c>
      <c r="E47" s="303">
        <v>700</v>
      </c>
    </row>
    <row r="48" spans="2:5" ht="15.75">
      <c r="B48" s="342" t="s">
        <v>872</v>
      </c>
      <c r="C48" s="303">
        <v>1450</v>
      </c>
      <c r="D48" s="303">
        <v>1800</v>
      </c>
      <c r="E48" s="303">
        <v>1500</v>
      </c>
    </row>
    <row r="49" spans="2:5" ht="15.75">
      <c r="B49" s="191" t="s">
        <v>446</v>
      </c>
      <c r="C49" s="343">
        <f>SUM(C45:C48)</f>
        <v>126224</v>
      </c>
      <c r="D49" s="343">
        <f>SUM(D45:D48)</f>
        <v>148800</v>
      </c>
      <c r="E49" s="343">
        <f>SUM(E45:E48)</f>
        <v>148800</v>
      </c>
    </row>
    <row r="50" spans="2:5" ht="15.75">
      <c r="B50" s="341" t="s">
        <v>329</v>
      </c>
      <c r="C50" s="112"/>
      <c r="D50" s="112"/>
      <c r="E50" s="112"/>
    </row>
    <row r="51" spans="2:5" ht="15.75">
      <c r="B51" s="342" t="s">
        <v>869</v>
      </c>
      <c r="C51" s="303">
        <v>35409</v>
      </c>
      <c r="D51" s="303">
        <v>37000</v>
      </c>
      <c r="E51" s="303">
        <v>40000</v>
      </c>
    </row>
    <row r="52" spans="2:5" ht="15.75">
      <c r="B52" s="342" t="s">
        <v>870</v>
      </c>
      <c r="C52" s="303">
        <v>52050</v>
      </c>
      <c r="D52" s="303">
        <v>83000</v>
      </c>
      <c r="E52" s="303">
        <v>80500</v>
      </c>
    </row>
    <row r="53" spans="2:5" ht="15.75">
      <c r="B53" s="342" t="s">
        <v>871</v>
      </c>
      <c r="C53" s="303">
        <v>17447</v>
      </c>
      <c r="D53" s="303">
        <v>25500</v>
      </c>
      <c r="E53" s="303">
        <v>25000</v>
      </c>
    </row>
    <row r="54" spans="2:5" ht="15.75">
      <c r="B54" s="342" t="s">
        <v>872</v>
      </c>
      <c r="C54" s="303">
        <v>1551</v>
      </c>
      <c r="D54" s="303">
        <v>3500</v>
      </c>
      <c r="E54" s="303">
        <v>3500</v>
      </c>
    </row>
    <row r="55" spans="2:5" ht="15.75">
      <c r="B55" s="191" t="s">
        <v>446</v>
      </c>
      <c r="C55" s="317">
        <f>SUM(C51:C54)</f>
        <v>106457</v>
      </c>
      <c r="D55" s="317">
        <f>SUM(D51:D54)</f>
        <v>149000</v>
      </c>
      <c r="E55" s="317">
        <f>SUM(E51:E54)</f>
        <v>149000</v>
      </c>
    </row>
    <row r="56" spans="2:5" ht="15.75">
      <c r="B56" s="69"/>
      <c r="C56" s="112"/>
      <c r="D56" s="112"/>
      <c r="E56" s="112"/>
    </row>
    <row r="57" spans="2:5" ht="15.75">
      <c r="B57" s="191" t="s">
        <v>596</v>
      </c>
      <c r="C57" s="308">
        <f>C13+C19+C25+C31+C37+C43+C49+C55</f>
        <v>930010</v>
      </c>
      <c r="D57" s="308">
        <f>D13+D19+D25+D31+D37+D43+D49+D55</f>
        <v>1027920</v>
      </c>
      <c r="E57" s="308">
        <f>E13+E19+E25+E31+E37+E43+E49+E55</f>
        <v>1040500</v>
      </c>
    </row>
    <row r="58" spans="2:5" ht="15.75">
      <c r="B58" s="69"/>
      <c r="C58" s="205"/>
      <c r="D58" s="205"/>
      <c r="E58" s="205"/>
    </row>
    <row r="59" spans="2:5" ht="15.75">
      <c r="B59" s="676" t="s">
        <v>634</v>
      </c>
      <c r="C59" s="676"/>
      <c r="D59" s="676"/>
      <c r="E59" s="676"/>
    </row>
    <row r="60" spans="2:5" ht="15.75">
      <c r="B60" s="69"/>
      <c r="C60" s="205"/>
      <c r="D60" s="205"/>
      <c r="E60" s="205"/>
    </row>
    <row r="61" spans="2:5" ht="15.75">
      <c r="B61" s="205" t="str">
        <f>inputPrYr!C3</f>
        <v>MORRIS COUNTY</v>
      </c>
      <c r="C61" s="205"/>
      <c r="D61" s="68"/>
      <c r="E61" s="344">
        <f>E1</f>
        <v>2012</v>
      </c>
    </row>
    <row r="62" spans="2:5" ht="15.75">
      <c r="B62" s="69"/>
      <c r="C62" s="205"/>
      <c r="D62" s="205"/>
      <c r="E62" s="68"/>
    </row>
    <row r="63" spans="2:5" ht="15.75">
      <c r="B63" s="309" t="s">
        <v>525</v>
      </c>
      <c r="C63" s="146"/>
      <c r="D63" s="146"/>
      <c r="E63" s="146"/>
    </row>
    <row r="64" spans="2:5" ht="15.75">
      <c r="B64" s="69" t="s">
        <v>851</v>
      </c>
      <c r="C64" s="535" t="str">
        <f aca="true" t="shared" si="0" ref="C64:E65">C4</f>
        <v>Prior Year Actual</v>
      </c>
      <c r="D64" s="536" t="str">
        <f t="shared" si="0"/>
        <v>Current Year Estimate</v>
      </c>
      <c r="E64" s="536" t="str">
        <f t="shared" si="0"/>
        <v>Proposed Budget Year</v>
      </c>
    </row>
    <row r="65" spans="2:5" ht="15.75">
      <c r="B65" s="98" t="s">
        <v>868</v>
      </c>
      <c r="C65" s="311">
        <f t="shared" si="0"/>
        <v>2010</v>
      </c>
      <c r="D65" s="311">
        <f t="shared" si="0"/>
        <v>2011</v>
      </c>
      <c r="E65" s="311">
        <f t="shared" si="0"/>
        <v>2012</v>
      </c>
    </row>
    <row r="66" spans="2:5" ht="15.75">
      <c r="B66" s="191" t="s">
        <v>864</v>
      </c>
      <c r="C66" s="112"/>
      <c r="D66" s="112"/>
      <c r="E66" s="112"/>
    </row>
    <row r="67" spans="2:5" ht="15.75">
      <c r="B67" s="341" t="s">
        <v>849</v>
      </c>
      <c r="C67" s="112"/>
      <c r="D67" s="112"/>
      <c r="E67" s="112"/>
    </row>
    <row r="68" spans="2:5" ht="15.75">
      <c r="B68" s="342" t="s">
        <v>869</v>
      </c>
      <c r="C68" s="303"/>
      <c r="D68" s="303"/>
      <c r="E68" s="303"/>
    </row>
    <row r="69" spans="2:5" ht="15.75">
      <c r="B69" s="342" t="s">
        <v>870</v>
      </c>
      <c r="C69" s="303">
        <v>25957</v>
      </c>
      <c r="D69" s="303">
        <v>31818</v>
      </c>
      <c r="E69" s="303">
        <v>30891</v>
      </c>
    </row>
    <row r="70" spans="2:5" ht="15.75">
      <c r="B70" s="342" t="s">
        <v>871</v>
      </c>
      <c r="C70" s="303">
        <v>5897</v>
      </c>
      <c r="D70" s="303">
        <v>4100</v>
      </c>
      <c r="E70" s="303">
        <v>4100</v>
      </c>
    </row>
    <row r="71" spans="2:5" ht="15.75">
      <c r="B71" s="342" t="s">
        <v>872</v>
      </c>
      <c r="C71" s="303"/>
      <c r="D71" s="303"/>
      <c r="E71" s="303"/>
    </row>
    <row r="72" spans="2:5" ht="15.75">
      <c r="B72" s="191" t="s">
        <v>446</v>
      </c>
      <c r="C72" s="343">
        <f>SUM(C68:C71)</f>
        <v>31854</v>
      </c>
      <c r="D72" s="343">
        <f>SUM(D68:D71)</f>
        <v>35918</v>
      </c>
      <c r="E72" s="343">
        <f>SUM(E68:E71)</f>
        <v>34991</v>
      </c>
    </row>
    <row r="73" spans="2:5" ht="15.75">
      <c r="B73" s="341" t="s">
        <v>330</v>
      </c>
      <c r="C73" s="112"/>
      <c r="D73" s="112"/>
      <c r="E73" s="112"/>
    </row>
    <row r="74" spans="2:5" ht="15.75">
      <c r="B74" s="342" t="s">
        <v>869</v>
      </c>
      <c r="C74" s="303">
        <v>14300</v>
      </c>
      <c r="D74" s="303">
        <v>16000</v>
      </c>
      <c r="E74" s="303">
        <v>16500</v>
      </c>
    </row>
    <row r="75" spans="2:5" ht="15.75">
      <c r="B75" s="342" t="s">
        <v>870</v>
      </c>
      <c r="C75" s="303">
        <v>2441</v>
      </c>
      <c r="D75" s="303">
        <v>1565</v>
      </c>
      <c r="E75" s="303">
        <v>1500</v>
      </c>
    </row>
    <row r="76" spans="2:5" ht="15.75">
      <c r="B76" s="342" t="s">
        <v>871</v>
      </c>
      <c r="C76" s="303">
        <v>471</v>
      </c>
      <c r="D76" s="303">
        <v>1500</v>
      </c>
      <c r="E76" s="303">
        <v>1335</v>
      </c>
    </row>
    <row r="77" spans="2:5" ht="15.75">
      <c r="B77" s="342" t="s">
        <v>872</v>
      </c>
      <c r="C77" s="303"/>
      <c r="D77" s="303"/>
      <c r="E77" s="303"/>
    </row>
    <row r="78" spans="2:5" ht="15.75">
      <c r="B78" s="191" t="s">
        <v>446</v>
      </c>
      <c r="C78" s="317">
        <f>SUM(C74:C77)</f>
        <v>17212</v>
      </c>
      <c r="D78" s="317">
        <f>SUM(D74:D77)</f>
        <v>19065</v>
      </c>
      <c r="E78" s="317">
        <f>SUM(E74:E77)</f>
        <v>19335</v>
      </c>
    </row>
    <row r="79" spans="2:5" ht="15.75">
      <c r="B79" s="341" t="s">
        <v>331</v>
      </c>
      <c r="C79" s="112"/>
      <c r="D79" s="112"/>
      <c r="E79" s="112"/>
    </row>
    <row r="80" spans="2:5" ht="15.75">
      <c r="B80" s="342" t="s">
        <v>869</v>
      </c>
      <c r="C80" s="303">
        <v>47125</v>
      </c>
      <c r="D80" s="303">
        <v>49000</v>
      </c>
      <c r="E80" s="303">
        <v>50500</v>
      </c>
    </row>
    <row r="81" spans="2:5" ht="15.75">
      <c r="B81" s="342" t="s">
        <v>870</v>
      </c>
      <c r="C81" s="303">
        <v>238815</v>
      </c>
      <c r="D81" s="303">
        <v>275000</v>
      </c>
      <c r="E81" s="303">
        <v>410000</v>
      </c>
    </row>
    <row r="82" spans="2:5" ht="15.75">
      <c r="B82" s="342" t="s">
        <v>871</v>
      </c>
      <c r="C82" s="303">
        <v>21628</v>
      </c>
      <c r="D82" s="303">
        <v>25000</v>
      </c>
      <c r="E82" s="303">
        <v>25000</v>
      </c>
    </row>
    <row r="83" spans="2:5" ht="15.75">
      <c r="B83" s="342" t="s">
        <v>334</v>
      </c>
      <c r="C83" s="303">
        <v>63472</v>
      </c>
      <c r="D83" s="303">
        <v>75000</v>
      </c>
      <c r="E83" s="303">
        <v>84745</v>
      </c>
    </row>
    <row r="84" spans="2:5" ht="15.75">
      <c r="B84" s="342" t="s">
        <v>872</v>
      </c>
      <c r="C84" s="303"/>
      <c r="D84" s="303">
        <v>10000</v>
      </c>
      <c r="E84" s="303">
        <v>10000</v>
      </c>
    </row>
    <row r="85" spans="2:5" ht="15.75">
      <c r="B85" s="191" t="s">
        <v>446</v>
      </c>
      <c r="C85" s="317">
        <f>SUM(C80:C84)</f>
        <v>371040</v>
      </c>
      <c r="D85" s="317">
        <f>SUM(D80:D84)</f>
        <v>434000</v>
      </c>
      <c r="E85" s="317">
        <f>SUM(E80:E84)</f>
        <v>580245</v>
      </c>
    </row>
    <row r="86" spans="2:5" ht="15.75">
      <c r="B86" s="341" t="s">
        <v>877</v>
      </c>
      <c r="C86" s="112"/>
      <c r="D86" s="112"/>
      <c r="E86" s="112"/>
    </row>
    <row r="87" spans="2:5" ht="15.75">
      <c r="B87" s="342" t="s">
        <v>869</v>
      </c>
      <c r="C87" s="303">
        <v>12683</v>
      </c>
      <c r="D87" s="303">
        <v>14500</v>
      </c>
      <c r="E87" s="303">
        <v>16300</v>
      </c>
    </row>
    <row r="88" spans="2:5" ht="15.75">
      <c r="B88" s="342" t="s">
        <v>870</v>
      </c>
      <c r="C88" s="303">
        <v>24320</v>
      </c>
      <c r="D88" s="303">
        <v>26000</v>
      </c>
      <c r="E88" s="303">
        <v>30000</v>
      </c>
    </row>
    <row r="89" spans="2:5" ht="15.75">
      <c r="B89" s="342" t="s">
        <v>333</v>
      </c>
      <c r="C89" s="303">
        <v>517</v>
      </c>
      <c r="D89" s="303">
        <v>1000</v>
      </c>
      <c r="E89" s="303">
        <v>5000</v>
      </c>
    </row>
    <row r="90" spans="2:5" ht="15.75">
      <c r="B90" s="95" t="s">
        <v>872</v>
      </c>
      <c r="C90" s="303"/>
      <c r="D90" s="303">
        <v>7000</v>
      </c>
      <c r="E90" s="303">
        <v>4200</v>
      </c>
    </row>
    <row r="91" spans="2:5" ht="15.75">
      <c r="B91" s="191" t="s">
        <v>446</v>
      </c>
      <c r="C91" s="317">
        <f>SUM(C87:C90)</f>
        <v>37520</v>
      </c>
      <c r="D91" s="317">
        <f>SUM(D87:D90)</f>
        <v>48500</v>
      </c>
      <c r="E91" s="317">
        <f>SUM(E87:E90)</f>
        <v>55500</v>
      </c>
    </row>
    <row r="92" spans="2:5" ht="15.75">
      <c r="B92" s="341"/>
      <c r="C92" s="112"/>
      <c r="D92" s="112"/>
      <c r="E92" s="112"/>
    </row>
    <row r="93" spans="2:5" ht="15.75">
      <c r="B93" s="342"/>
      <c r="C93" s="303"/>
      <c r="D93" s="303"/>
      <c r="E93" s="303"/>
    </row>
    <row r="94" spans="2:5" ht="15.75">
      <c r="B94" s="342"/>
      <c r="C94" s="303"/>
      <c r="D94" s="303"/>
      <c r="E94" s="303"/>
    </row>
    <row r="95" spans="2:5" ht="15.75">
      <c r="B95" s="342"/>
      <c r="C95" s="303"/>
      <c r="D95" s="303"/>
      <c r="E95" s="303"/>
    </row>
    <row r="96" spans="2:5" ht="15.75">
      <c r="B96" s="342" t="s">
        <v>850</v>
      </c>
      <c r="C96" s="303">
        <v>15240</v>
      </c>
      <c r="D96" s="303">
        <v>45000</v>
      </c>
      <c r="E96" s="303">
        <v>31000</v>
      </c>
    </row>
    <row r="97" spans="2:5" ht="15.75">
      <c r="B97" s="191" t="s">
        <v>446</v>
      </c>
      <c r="C97" s="317">
        <v>15240</v>
      </c>
      <c r="D97" s="317">
        <v>45000</v>
      </c>
      <c r="E97" s="317">
        <v>31000</v>
      </c>
    </row>
    <row r="98" spans="2:5" ht="15.75">
      <c r="B98" s="341"/>
      <c r="C98" s="112"/>
      <c r="D98" s="112"/>
      <c r="E98" s="112"/>
    </row>
    <row r="99" spans="2:5" ht="15.75">
      <c r="B99" s="342"/>
      <c r="C99" s="303"/>
      <c r="D99" s="303"/>
      <c r="E99" s="303"/>
    </row>
    <row r="100" spans="2:5" ht="15.75">
      <c r="B100" s="342"/>
      <c r="C100" s="303"/>
      <c r="D100" s="303"/>
      <c r="E100" s="303"/>
    </row>
    <row r="101" spans="2:5" ht="15.75">
      <c r="B101" s="342"/>
      <c r="C101" s="303"/>
      <c r="D101" s="303"/>
      <c r="E101" s="303"/>
    </row>
    <row r="102" spans="2:5" ht="15.75">
      <c r="B102" s="342" t="s">
        <v>335</v>
      </c>
      <c r="C102" s="303">
        <v>4000</v>
      </c>
      <c r="D102" s="303">
        <v>4000</v>
      </c>
      <c r="E102" s="303">
        <v>4000</v>
      </c>
    </row>
    <row r="103" spans="2:5" ht="15.75">
      <c r="B103" s="191" t="s">
        <v>446</v>
      </c>
      <c r="C103" s="317">
        <v>4000</v>
      </c>
      <c r="D103" s="317">
        <v>4000</v>
      </c>
      <c r="E103" s="317">
        <v>4000</v>
      </c>
    </row>
    <row r="104" spans="2:5" ht="15.75">
      <c r="B104" s="341"/>
      <c r="C104" s="112"/>
      <c r="D104" s="112"/>
      <c r="E104" s="112"/>
    </row>
    <row r="105" spans="2:5" ht="15.75">
      <c r="B105" s="342"/>
      <c r="C105" s="303"/>
      <c r="D105" s="303"/>
      <c r="E105" s="303"/>
    </row>
    <row r="106" spans="2:5" ht="15.75">
      <c r="B106" s="342"/>
      <c r="C106" s="303"/>
      <c r="D106" s="303"/>
      <c r="E106" s="303"/>
    </row>
    <row r="107" spans="2:5" ht="15.75">
      <c r="B107" s="342"/>
      <c r="C107" s="303"/>
      <c r="D107" s="303"/>
      <c r="E107" s="303"/>
    </row>
    <row r="108" spans="2:5" ht="15.75">
      <c r="B108" s="342" t="s">
        <v>336</v>
      </c>
      <c r="C108" s="303">
        <v>22500</v>
      </c>
      <c r="D108" s="303">
        <v>22500</v>
      </c>
      <c r="E108" s="303">
        <v>22500</v>
      </c>
    </row>
    <row r="109" spans="2:5" ht="15.75">
      <c r="B109" s="191" t="s">
        <v>446</v>
      </c>
      <c r="C109" s="317">
        <v>22500</v>
      </c>
      <c r="D109" s="317">
        <v>22500</v>
      </c>
      <c r="E109" s="317">
        <v>22500</v>
      </c>
    </row>
    <row r="110" spans="2:5" ht="15.75">
      <c r="B110" s="341"/>
      <c r="C110" s="112"/>
      <c r="D110" s="112"/>
      <c r="E110" s="112"/>
    </row>
    <row r="111" spans="2:5" ht="15.75">
      <c r="B111" s="342"/>
      <c r="C111" s="303"/>
      <c r="D111" s="303"/>
      <c r="E111" s="303"/>
    </row>
    <row r="112" spans="2:5" ht="15.75">
      <c r="B112" s="342"/>
      <c r="C112" s="303"/>
      <c r="D112" s="303"/>
      <c r="E112" s="303"/>
    </row>
    <row r="113" spans="2:5" ht="15.75">
      <c r="B113" s="342"/>
      <c r="C113" s="303"/>
      <c r="D113" s="303"/>
      <c r="E113" s="303"/>
    </row>
    <row r="114" spans="2:5" ht="15.75">
      <c r="B114" s="342" t="s">
        <v>337</v>
      </c>
      <c r="C114" s="303">
        <v>19000</v>
      </c>
      <c r="D114" s="303">
        <v>25000</v>
      </c>
      <c r="E114" s="303">
        <v>25000</v>
      </c>
    </row>
    <row r="115" spans="2:5" ht="15.75">
      <c r="B115" s="191" t="s">
        <v>446</v>
      </c>
      <c r="C115" s="317">
        <v>19000</v>
      </c>
      <c r="D115" s="317">
        <v>25000</v>
      </c>
      <c r="E115" s="317">
        <v>25000</v>
      </c>
    </row>
    <row r="116" spans="2:5" ht="15.75">
      <c r="B116" s="69"/>
      <c r="C116" s="112"/>
      <c r="D116" s="112"/>
      <c r="E116" s="112"/>
    </row>
    <row r="117" spans="2:5" ht="15.75">
      <c r="B117" s="191" t="s">
        <v>597</v>
      </c>
      <c r="C117" s="308">
        <f>C72+C78+C85+C91+C97+C103+C109+C115</f>
        <v>518366</v>
      </c>
      <c r="D117" s="308">
        <f>D72+D78+D85+D91+D97+D103+D109+D115</f>
        <v>633983</v>
      </c>
      <c r="E117" s="308">
        <f>E72+E78+E85+E91+E97+E103+E109+E115</f>
        <v>772571</v>
      </c>
    </row>
    <row r="118" spans="2:5" ht="15.75">
      <c r="B118" s="69"/>
      <c r="C118" s="205"/>
      <c r="D118" s="205"/>
      <c r="E118" s="205"/>
    </row>
    <row r="119" spans="2:5" ht="15.75">
      <c r="B119" s="676" t="s">
        <v>633</v>
      </c>
      <c r="C119" s="676"/>
      <c r="D119" s="676"/>
      <c r="E119" s="676"/>
    </row>
    <row r="120" spans="2:5" ht="15.75">
      <c r="B120" s="205" t="str">
        <f>inputPrYr!C3</f>
        <v>MORRIS COUNTY</v>
      </c>
      <c r="C120" s="205"/>
      <c r="D120" s="68"/>
      <c r="E120" s="344">
        <f>E1</f>
        <v>2012</v>
      </c>
    </row>
    <row r="121" spans="2:5" ht="15.75">
      <c r="B121" s="69"/>
      <c r="C121" s="205"/>
      <c r="D121" s="205"/>
      <c r="E121" s="68"/>
    </row>
    <row r="122" spans="2:5" ht="15.75">
      <c r="B122" s="309" t="s">
        <v>525</v>
      </c>
      <c r="C122" s="146"/>
      <c r="D122" s="146"/>
      <c r="E122" s="146"/>
    </row>
    <row r="123" spans="2:5" ht="15.75">
      <c r="B123" s="69" t="s">
        <v>851</v>
      </c>
      <c r="C123" s="535" t="str">
        <f aca="true" t="shared" si="1" ref="C123:E124">C4</f>
        <v>Prior Year Actual</v>
      </c>
      <c r="D123" s="536" t="str">
        <f t="shared" si="1"/>
        <v>Current Year Estimate</v>
      </c>
      <c r="E123" s="536" t="str">
        <f t="shared" si="1"/>
        <v>Proposed Budget Year</v>
      </c>
    </row>
    <row r="124" spans="2:5" ht="15.75">
      <c r="B124" s="98" t="s">
        <v>868</v>
      </c>
      <c r="C124" s="311">
        <f t="shared" si="1"/>
        <v>2010</v>
      </c>
      <c r="D124" s="311">
        <f t="shared" si="1"/>
        <v>2011</v>
      </c>
      <c r="E124" s="311">
        <f t="shared" si="1"/>
        <v>2012</v>
      </c>
    </row>
    <row r="125" spans="2:5" ht="15.75">
      <c r="B125" s="191" t="s">
        <v>864</v>
      </c>
      <c r="C125" s="112"/>
      <c r="D125" s="112"/>
      <c r="E125" s="112"/>
    </row>
    <row r="126" spans="2:5" ht="15.75">
      <c r="B126" s="341"/>
      <c r="C126" s="112"/>
      <c r="D126" s="112"/>
      <c r="E126" s="112"/>
    </row>
    <row r="127" spans="2:5" ht="15.75">
      <c r="B127" s="342"/>
      <c r="C127" s="303"/>
      <c r="D127" s="303"/>
      <c r="E127" s="303"/>
    </row>
    <row r="128" spans="2:5" ht="15.75">
      <c r="B128" s="342"/>
      <c r="C128" s="303"/>
      <c r="D128" s="303"/>
      <c r="E128" s="303"/>
    </row>
    <row r="129" spans="2:5" ht="15.75">
      <c r="B129" s="342"/>
      <c r="C129" s="303"/>
      <c r="D129" s="303"/>
      <c r="E129" s="303"/>
    </row>
    <row r="130" spans="2:5" ht="15.75">
      <c r="B130" s="342"/>
      <c r="C130" s="303"/>
      <c r="D130" s="303"/>
      <c r="E130" s="303"/>
    </row>
    <row r="131" spans="2:5" ht="15.75">
      <c r="B131" s="342"/>
      <c r="C131" s="303"/>
      <c r="D131" s="303"/>
      <c r="E131" s="303"/>
    </row>
    <row r="132" spans="2:5" ht="15.75">
      <c r="B132" s="342" t="s">
        <v>879</v>
      </c>
      <c r="C132" s="303">
        <v>102642</v>
      </c>
      <c r="D132" s="303"/>
      <c r="E132" s="303"/>
    </row>
    <row r="133" spans="2:5" ht="15.75">
      <c r="B133" s="191" t="s">
        <v>446</v>
      </c>
      <c r="C133" s="317">
        <f>SUM(C127:C132)</f>
        <v>102642</v>
      </c>
      <c r="D133" s="317">
        <f>SUM(D127:D132)</f>
        <v>0</v>
      </c>
      <c r="E133" s="317">
        <f>SUM(E127:E132)</f>
        <v>0</v>
      </c>
    </row>
    <row r="134" spans="2:5" ht="15.75">
      <c r="B134" s="341"/>
      <c r="C134" s="112"/>
      <c r="D134" s="112"/>
      <c r="E134" s="112"/>
    </row>
    <row r="135" spans="2:5" ht="15.75">
      <c r="B135" s="342"/>
      <c r="C135" s="303"/>
      <c r="D135" s="303"/>
      <c r="E135" s="303"/>
    </row>
    <row r="136" spans="2:5" ht="15.75">
      <c r="B136" s="342"/>
      <c r="C136" s="303"/>
      <c r="D136" s="303"/>
      <c r="E136" s="303"/>
    </row>
    <row r="137" spans="2:5" ht="15.75">
      <c r="B137" s="342"/>
      <c r="C137" s="303"/>
      <c r="D137" s="303"/>
      <c r="E137" s="303"/>
    </row>
    <row r="138" spans="2:5" ht="15.75">
      <c r="B138" s="342" t="s">
        <v>338</v>
      </c>
      <c r="C138" s="303">
        <v>63076</v>
      </c>
      <c r="D138" s="303">
        <v>63745</v>
      </c>
      <c r="E138" s="303">
        <v>64443</v>
      </c>
    </row>
    <row r="139" spans="2:5" ht="15.75">
      <c r="B139" s="191" t="s">
        <v>446</v>
      </c>
      <c r="C139" s="317">
        <f>SUM(C135:C138)</f>
        <v>63076</v>
      </c>
      <c r="D139" s="317">
        <f>SUM(D135:D138)</f>
        <v>63745</v>
      </c>
      <c r="E139" s="317">
        <f>SUM(E135:E138)</f>
        <v>64443</v>
      </c>
    </row>
    <row r="140" spans="2:5" ht="15.75">
      <c r="B140" s="341"/>
      <c r="C140" s="112"/>
      <c r="D140" s="112"/>
      <c r="E140" s="112"/>
    </row>
    <row r="141" spans="2:5" ht="15.75">
      <c r="B141" s="342"/>
      <c r="C141" s="303"/>
      <c r="D141" s="303"/>
      <c r="E141" s="303"/>
    </row>
    <row r="142" spans="2:5" ht="15.75">
      <c r="B142" s="342"/>
      <c r="C142" s="303"/>
      <c r="D142" s="303"/>
      <c r="E142" s="303"/>
    </row>
    <row r="143" spans="2:5" ht="15.75">
      <c r="B143" s="342"/>
      <c r="C143" s="303"/>
      <c r="D143" s="303"/>
      <c r="E143" s="303"/>
    </row>
    <row r="144" spans="2:5" ht="15.75">
      <c r="B144" s="342" t="s">
        <v>339</v>
      </c>
      <c r="C144" s="303">
        <v>18510</v>
      </c>
      <c r="D144" s="303">
        <v>18510</v>
      </c>
      <c r="E144" s="303">
        <v>18510</v>
      </c>
    </row>
    <row r="145" spans="2:5" ht="15.75">
      <c r="B145" s="191" t="s">
        <v>446</v>
      </c>
      <c r="C145" s="317">
        <f>SUM(C141:C144)</f>
        <v>18510</v>
      </c>
      <c r="D145" s="317">
        <f>SUM(D141:D144)</f>
        <v>18510</v>
      </c>
      <c r="E145" s="317">
        <f>SUM(E141:E144)</f>
        <v>18510</v>
      </c>
    </row>
    <row r="146" spans="2:5" ht="15.75">
      <c r="B146" s="341"/>
      <c r="C146" s="112"/>
      <c r="D146" s="112"/>
      <c r="E146" s="112"/>
    </row>
    <row r="147" spans="2:5" ht="15.75">
      <c r="B147" s="342"/>
      <c r="C147" s="303"/>
      <c r="D147" s="303"/>
      <c r="E147" s="303"/>
    </row>
    <row r="148" spans="2:5" ht="15.75">
      <c r="B148" s="342"/>
      <c r="C148" s="303"/>
      <c r="D148" s="303"/>
      <c r="E148" s="303"/>
    </row>
    <row r="149" spans="2:5" ht="15.75">
      <c r="B149" s="342"/>
      <c r="C149" s="303"/>
      <c r="D149" s="303"/>
      <c r="E149" s="303"/>
    </row>
    <row r="150" spans="2:5" ht="15.75">
      <c r="B150" s="342" t="s">
        <v>340</v>
      </c>
      <c r="C150" s="303">
        <v>14500</v>
      </c>
      <c r="D150" s="303">
        <v>14500</v>
      </c>
      <c r="E150" s="303">
        <v>15500</v>
      </c>
    </row>
    <row r="151" spans="2:5" ht="15.75">
      <c r="B151" s="191" t="s">
        <v>446</v>
      </c>
      <c r="C151" s="317">
        <f>SUM(C147:C150)</f>
        <v>14500</v>
      </c>
      <c r="D151" s="317">
        <f>SUM(D147:D150)</f>
        <v>14500</v>
      </c>
      <c r="E151" s="317">
        <f>SUM(E147:E150)</f>
        <v>15500</v>
      </c>
    </row>
    <row r="152" spans="2:5" ht="15.75">
      <c r="B152" s="341"/>
      <c r="C152" s="112"/>
      <c r="D152" s="112"/>
      <c r="E152" s="112"/>
    </row>
    <row r="153" spans="2:5" ht="15.75">
      <c r="B153" s="342"/>
      <c r="C153" s="303"/>
      <c r="D153" s="303"/>
      <c r="E153" s="303"/>
    </row>
    <row r="154" spans="2:5" ht="15.75">
      <c r="B154" s="342"/>
      <c r="C154" s="303"/>
      <c r="D154" s="303"/>
      <c r="E154" s="303"/>
    </row>
    <row r="155" spans="2:5" ht="15.75">
      <c r="B155" s="342"/>
      <c r="C155" s="303"/>
      <c r="D155" s="303"/>
      <c r="E155" s="303"/>
    </row>
    <row r="156" spans="2:5" ht="15.75">
      <c r="B156" s="342" t="s">
        <v>344</v>
      </c>
      <c r="C156" s="303">
        <v>1500</v>
      </c>
      <c r="D156" s="303">
        <v>1500</v>
      </c>
      <c r="E156" s="303">
        <v>1500</v>
      </c>
    </row>
    <row r="157" spans="2:5" ht="15.75">
      <c r="B157" s="191" t="s">
        <v>446</v>
      </c>
      <c r="C157" s="317">
        <f>SUM(C153:C156)</f>
        <v>1500</v>
      </c>
      <c r="D157" s="317">
        <f>SUM(D153:D156)</f>
        <v>1500</v>
      </c>
      <c r="E157" s="317">
        <f>SUM(E153:E156)</f>
        <v>1500</v>
      </c>
    </row>
    <row r="158" spans="2:5" ht="15.75">
      <c r="B158" s="341"/>
      <c r="C158" s="112"/>
      <c r="D158" s="112"/>
      <c r="E158" s="112"/>
    </row>
    <row r="159" spans="2:5" ht="15.75">
      <c r="B159" s="342"/>
      <c r="C159" s="303"/>
      <c r="D159" s="303"/>
      <c r="E159" s="303"/>
    </row>
    <row r="160" spans="2:5" ht="15.75">
      <c r="B160" s="342"/>
      <c r="C160" s="303"/>
      <c r="D160" s="303"/>
      <c r="E160" s="303"/>
    </row>
    <row r="161" spans="2:5" ht="15.75">
      <c r="B161" s="342"/>
      <c r="C161" s="303"/>
      <c r="D161" s="303"/>
      <c r="E161" s="303"/>
    </row>
    <row r="162" spans="2:5" ht="15.75">
      <c r="B162" s="342" t="s">
        <v>341</v>
      </c>
      <c r="C162" s="303">
        <v>10000</v>
      </c>
      <c r="D162" s="303">
        <v>10000</v>
      </c>
      <c r="E162" s="303">
        <v>10000</v>
      </c>
    </row>
    <row r="163" spans="2:5" ht="15.75">
      <c r="B163" s="191" t="s">
        <v>446</v>
      </c>
      <c r="C163" s="317">
        <f>SUM(C159:C162)</f>
        <v>10000</v>
      </c>
      <c r="D163" s="317">
        <f>SUM(D159:D162)</f>
        <v>10000</v>
      </c>
      <c r="E163" s="317">
        <f>SUM(E159:E162)</f>
        <v>10000</v>
      </c>
    </row>
    <row r="164" spans="2:5" ht="15.75">
      <c r="B164" s="341"/>
      <c r="C164" s="112"/>
      <c r="D164" s="112"/>
      <c r="E164" s="112"/>
    </row>
    <row r="165" spans="2:5" ht="15.75">
      <c r="B165" s="342"/>
      <c r="C165" s="303"/>
      <c r="D165" s="303"/>
      <c r="E165" s="303"/>
    </row>
    <row r="166" spans="2:5" ht="15.75">
      <c r="B166" s="342"/>
      <c r="C166" s="303"/>
      <c r="D166" s="303"/>
      <c r="E166" s="303"/>
    </row>
    <row r="167" spans="2:5" ht="15.75">
      <c r="B167" s="342"/>
      <c r="C167" s="303"/>
      <c r="D167" s="303"/>
      <c r="E167" s="303"/>
    </row>
    <row r="168" spans="2:5" ht="15.75">
      <c r="B168" s="342" t="s">
        <v>342</v>
      </c>
      <c r="C168" s="303">
        <v>5813</v>
      </c>
      <c r="D168" s="303">
        <v>5813</v>
      </c>
      <c r="E168" s="303">
        <v>5813</v>
      </c>
    </row>
    <row r="169" spans="2:5" ht="15.75">
      <c r="B169" s="191" t="s">
        <v>446</v>
      </c>
      <c r="C169" s="317">
        <f>SUM(C165:C168)</f>
        <v>5813</v>
      </c>
      <c r="D169" s="317">
        <f>SUM(D165:D168)</f>
        <v>5813</v>
      </c>
      <c r="E169" s="317">
        <f>SUM(E165:E168)</f>
        <v>5813</v>
      </c>
    </row>
    <row r="170" spans="2:5" ht="15.75">
      <c r="B170" s="341"/>
      <c r="C170" s="112"/>
      <c r="D170" s="112"/>
      <c r="E170" s="112"/>
    </row>
    <row r="171" spans="2:5" ht="15.75">
      <c r="B171" s="342"/>
      <c r="C171" s="303"/>
      <c r="D171" s="303"/>
      <c r="E171" s="303"/>
    </row>
    <row r="172" spans="2:5" ht="15.75">
      <c r="B172" s="342"/>
      <c r="C172" s="303"/>
      <c r="D172" s="303"/>
      <c r="E172" s="303"/>
    </row>
    <row r="173" spans="2:5" ht="15.75">
      <c r="B173" s="342"/>
      <c r="C173" s="303"/>
      <c r="D173" s="303"/>
      <c r="E173" s="303"/>
    </row>
    <row r="174" spans="2:5" ht="15.75">
      <c r="B174" s="342" t="s">
        <v>343</v>
      </c>
      <c r="C174" s="303">
        <v>2000</v>
      </c>
      <c r="D174" s="303">
        <v>3000</v>
      </c>
      <c r="E174" s="303">
        <v>3000</v>
      </c>
    </row>
    <row r="175" spans="2:5" ht="15.75">
      <c r="B175" s="191" t="s">
        <v>446</v>
      </c>
      <c r="C175" s="317">
        <f>SUM(C171:C174)</f>
        <v>2000</v>
      </c>
      <c r="D175" s="317">
        <f>SUM(D171:D174)</f>
        <v>3000</v>
      </c>
      <c r="E175" s="317">
        <f>SUM(E171:E174)</f>
        <v>3000</v>
      </c>
    </row>
    <row r="176" spans="2:5" ht="15.75">
      <c r="B176" s="191"/>
      <c r="C176" s="112"/>
      <c r="D176" s="112"/>
      <c r="E176" s="112"/>
    </row>
    <row r="177" spans="2:5" ht="15.75">
      <c r="B177" s="191" t="s">
        <v>598</v>
      </c>
      <c r="C177" s="308">
        <f>C133+C139+C145+C151+C157+C163+C169+C175</f>
        <v>218041</v>
      </c>
      <c r="D177" s="308">
        <f>D133+D139+D145+D151+D157+D163+D169+D175</f>
        <v>117068</v>
      </c>
      <c r="E177" s="308">
        <f>E133+E139+E145+E151+E157+E163+E169+E175</f>
        <v>118766</v>
      </c>
    </row>
    <row r="178" spans="2:5" ht="15.75">
      <c r="B178" s="69"/>
      <c r="C178" s="205"/>
      <c r="D178" s="205"/>
      <c r="E178" s="205"/>
    </row>
    <row r="179" spans="2:5" ht="15.75">
      <c r="B179" s="676" t="s">
        <v>632</v>
      </c>
      <c r="C179" s="676"/>
      <c r="D179" s="676"/>
      <c r="E179" s="676"/>
    </row>
    <row r="180" spans="2:5" ht="15.75">
      <c r="B180" s="205" t="str">
        <f>inputPrYr!C3</f>
        <v>MORRIS COUNTY</v>
      </c>
      <c r="C180" s="205"/>
      <c r="D180" s="68"/>
      <c r="E180" s="344">
        <f>E1</f>
        <v>2012</v>
      </c>
    </row>
    <row r="181" spans="2:5" ht="15.75">
      <c r="B181" s="69"/>
      <c r="C181" s="205"/>
      <c r="D181" s="205"/>
      <c r="E181" s="68"/>
    </row>
    <row r="182" spans="2:5" ht="15.75">
      <c r="B182" s="309" t="s">
        <v>525</v>
      </c>
      <c r="C182" s="146"/>
      <c r="D182" s="146"/>
      <c r="E182" s="146"/>
    </row>
    <row r="183" spans="2:5" ht="15.75">
      <c r="B183" s="69" t="s">
        <v>851</v>
      </c>
      <c r="C183" s="535" t="str">
        <f aca="true" t="shared" si="2" ref="C183:E184">C4</f>
        <v>Prior Year Actual</v>
      </c>
      <c r="D183" s="536" t="str">
        <f t="shared" si="2"/>
        <v>Current Year Estimate</v>
      </c>
      <c r="E183" s="536" t="str">
        <f t="shared" si="2"/>
        <v>Proposed Budget Year</v>
      </c>
    </row>
    <row r="184" spans="2:5" ht="15.75">
      <c r="B184" s="98" t="s">
        <v>868</v>
      </c>
      <c r="C184" s="311">
        <f t="shared" si="2"/>
        <v>2010</v>
      </c>
      <c r="D184" s="311">
        <f t="shared" si="2"/>
        <v>2011</v>
      </c>
      <c r="E184" s="311">
        <f t="shared" si="2"/>
        <v>2012</v>
      </c>
    </row>
    <row r="185" spans="2:5" ht="15.75">
      <c r="B185" s="191" t="s">
        <v>864</v>
      </c>
      <c r="C185" s="112"/>
      <c r="D185" s="112"/>
      <c r="E185" s="112"/>
    </row>
    <row r="186" spans="2:5" ht="15.75">
      <c r="B186" s="341"/>
      <c r="C186" s="112"/>
      <c r="D186" s="112"/>
      <c r="E186" s="112"/>
    </row>
    <row r="187" spans="2:5" ht="15.75">
      <c r="B187" s="342"/>
      <c r="C187" s="303"/>
      <c r="D187" s="303"/>
      <c r="E187" s="303"/>
    </row>
    <row r="188" spans="2:5" ht="15.75">
      <c r="B188" s="342"/>
      <c r="C188" s="303"/>
      <c r="D188" s="303"/>
      <c r="E188" s="303"/>
    </row>
    <row r="189" spans="2:5" ht="15.75">
      <c r="B189" s="342"/>
      <c r="C189" s="303"/>
      <c r="D189" s="303"/>
      <c r="E189" s="303"/>
    </row>
    <row r="190" spans="2:5" ht="15.75">
      <c r="B190" s="342" t="s">
        <v>347</v>
      </c>
      <c r="C190" s="303">
        <v>4500</v>
      </c>
      <c r="D190" s="303">
        <v>4500</v>
      </c>
      <c r="E190" s="303">
        <v>4500</v>
      </c>
    </row>
    <row r="191" spans="2:5" ht="15.75">
      <c r="B191" s="191" t="s">
        <v>446</v>
      </c>
      <c r="C191" s="317">
        <f>SUM(C187:C190)</f>
        <v>4500</v>
      </c>
      <c r="D191" s="317">
        <f>SUM(D187:D190)</f>
        <v>4500</v>
      </c>
      <c r="E191" s="317">
        <f>SUM(E187:E190)</f>
        <v>4500</v>
      </c>
    </row>
    <row r="192" spans="2:5" ht="15.75">
      <c r="B192" s="341"/>
      <c r="C192" s="112"/>
      <c r="D192" s="112"/>
      <c r="E192" s="112"/>
    </row>
    <row r="193" spans="2:5" ht="15.75">
      <c r="B193" s="342"/>
      <c r="C193" s="303"/>
      <c r="D193" s="303"/>
      <c r="E193" s="303"/>
    </row>
    <row r="194" spans="2:5" ht="15.75">
      <c r="B194" s="342"/>
      <c r="C194" s="303"/>
      <c r="D194" s="303"/>
      <c r="E194" s="303"/>
    </row>
    <row r="195" spans="2:5" ht="15.75">
      <c r="B195" s="342"/>
      <c r="C195" s="303"/>
      <c r="D195" s="303"/>
      <c r="E195" s="303"/>
    </row>
    <row r="196" spans="2:5" ht="15.75">
      <c r="B196" s="342" t="s">
        <v>348</v>
      </c>
      <c r="C196" s="303">
        <v>5095</v>
      </c>
      <c r="D196" s="303">
        <v>4996</v>
      </c>
      <c r="E196" s="303">
        <v>4714</v>
      </c>
    </row>
    <row r="197" spans="2:5" ht="15.75">
      <c r="B197" s="191" t="s">
        <v>446</v>
      </c>
      <c r="C197" s="317">
        <f>SUM(C193:C196)</f>
        <v>5095</v>
      </c>
      <c r="D197" s="317">
        <f>SUM(D193:D196)</f>
        <v>4996</v>
      </c>
      <c r="E197" s="317">
        <f>SUM(E193:E196)</f>
        <v>4714</v>
      </c>
    </row>
    <row r="198" spans="2:5" ht="15.75">
      <c r="B198" s="341"/>
      <c r="C198" s="112"/>
      <c r="D198" s="112"/>
      <c r="E198" s="112"/>
    </row>
    <row r="199" spans="2:5" ht="15.75">
      <c r="B199" s="342"/>
      <c r="C199" s="303"/>
      <c r="D199" s="303"/>
      <c r="E199" s="303"/>
    </row>
    <row r="200" spans="2:5" ht="15.75">
      <c r="B200" s="342"/>
      <c r="C200" s="303"/>
      <c r="D200" s="303"/>
      <c r="E200" s="303"/>
    </row>
    <row r="201" spans="2:5" ht="15.75">
      <c r="B201" s="342"/>
      <c r="C201" s="303"/>
      <c r="D201" s="303"/>
      <c r="E201" s="303"/>
    </row>
    <row r="202" spans="2:5" ht="15.75">
      <c r="B202" s="342" t="s">
        <v>349</v>
      </c>
      <c r="C202" s="303"/>
      <c r="D202" s="303">
        <v>60000</v>
      </c>
      <c r="E202" s="303">
        <v>150000</v>
      </c>
    </row>
    <row r="203" spans="2:5" ht="15.75">
      <c r="B203" s="191" t="s">
        <v>446</v>
      </c>
      <c r="C203" s="317">
        <f>SUM(C199:C202)</f>
        <v>0</v>
      </c>
      <c r="D203" s="317">
        <f>SUM(D199:D202)</f>
        <v>60000</v>
      </c>
      <c r="E203" s="317">
        <f>SUM(E199:E202)</f>
        <v>150000</v>
      </c>
    </row>
    <row r="204" spans="2:5" ht="15.75">
      <c r="B204" s="341"/>
      <c r="C204" s="112"/>
      <c r="D204" s="112"/>
      <c r="E204" s="112"/>
    </row>
    <row r="205" spans="2:5" ht="15.75">
      <c r="B205" s="342"/>
      <c r="C205" s="303"/>
      <c r="D205" s="303"/>
      <c r="E205" s="303"/>
    </row>
    <row r="206" spans="2:5" ht="15.75">
      <c r="B206" s="342"/>
      <c r="C206" s="303"/>
      <c r="D206" s="303"/>
      <c r="E206" s="303"/>
    </row>
    <row r="207" spans="2:5" ht="15.75">
      <c r="B207" s="342"/>
      <c r="C207" s="303"/>
      <c r="D207" s="303"/>
      <c r="E207" s="303"/>
    </row>
    <row r="208" spans="2:5" ht="15.75">
      <c r="B208" s="342"/>
      <c r="C208" s="303"/>
      <c r="D208" s="303"/>
      <c r="E208" s="303"/>
    </row>
    <row r="209" spans="2:5" ht="15.75">
      <c r="B209" s="191" t="s">
        <v>446</v>
      </c>
      <c r="C209" s="317">
        <f>SUM(C205:C208)</f>
        <v>0</v>
      </c>
      <c r="D209" s="317">
        <f>SUM(D205:D208)</f>
        <v>0</v>
      </c>
      <c r="E209" s="317">
        <f>SUM(E205:E208)</f>
        <v>0</v>
      </c>
    </row>
    <row r="210" spans="2:5" ht="15.75">
      <c r="B210" s="341"/>
      <c r="C210" s="112"/>
      <c r="D210" s="112"/>
      <c r="E210" s="112"/>
    </row>
    <row r="211" spans="2:5" ht="15.75">
      <c r="B211" s="342"/>
      <c r="C211" s="303"/>
      <c r="D211" s="303"/>
      <c r="E211" s="303"/>
    </row>
    <row r="212" spans="2:5" ht="15.75">
      <c r="B212" s="342"/>
      <c r="C212" s="303"/>
      <c r="D212" s="303"/>
      <c r="E212" s="303"/>
    </row>
    <row r="213" spans="2:5" ht="15.75">
      <c r="B213" s="342"/>
      <c r="C213" s="303"/>
      <c r="D213" s="303"/>
      <c r="E213" s="303"/>
    </row>
    <row r="214" spans="2:5" ht="15.75">
      <c r="B214" s="342"/>
      <c r="C214" s="303"/>
      <c r="D214" s="303"/>
      <c r="E214" s="303"/>
    </row>
    <row r="215" spans="2:5" ht="15.75">
      <c r="B215" s="191" t="s">
        <v>446</v>
      </c>
      <c r="C215" s="317">
        <f>SUM(C211:C214)</f>
        <v>0</v>
      </c>
      <c r="D215" s="317">
        <f>SUM(D211:D214)</f>
        <v>0</v>
      </c>
      <c r="E215" s="317">
        <f>SUM(E211:E214)</f>
        <v>0</v>
      </c>
    </row>
    <row r="216" spans="2:5" ht="15.75">
      <c r="B216" s="341"/>
      <c r="C216" s="112"/>
      <c r="D216" s="112"/>
      <c r="E216" s="112"/>
    </row>
    <row r="217" spans="2:5" ht="15.75">
      <c r="B217" s="342"/>
      <c r="C217" s="303"/>
      <c r="D217" s="303"/>
      <c r="E217" s="303"/>
    </row>
    <row r="218" spans="2:5" ht="15.75">
      <c r="B218" s="342"/>
      <c r="C218" s="303"/>
      <c r="D218" s="303"/>
      <c r="E218" s="303"/>
    </row>
    <row r="219" spans="2:5" ht="15.75">
      <c r="B219" s="342"/>
      <c r="C219" s="303"/>
      <c r="D219" s="303"/>
      <c r="E219" s="303"/>
    </row>
    <row r="220" spans="2:5" ht="15.75">
      <c r="B220" s="342"/>
      <c r="C220" s="303"/>
      <c r="D220" s="303"/>
      <c r="E220" s="303"/>
    </row>
    <row r="221" spans="2:5" ht="15.75">
      <c r="B221" s="191" t="s">
        <v>446</v>
      </c>
      <c r="C221" s="317">
        <f>SUM(C217:C220)</f>
        <v>0</v>
      </c>
      <c r="D221" s="317">
        <f>SUM(D217:D220)</f>
        <v>0</v>
      </c>
      <c r="E221" s="317">
        <f>SUM(E217:E220)</f>
        <v>0</v>
      </c>
    </row>
    <row r="222" spans="2:5" ht="15.75">
      <c r="B222" s="341"/>
      <c r="C222" s="112"/>
      <c r="D222" s="112"/>
      <c r="E222" s="112"/>
    </row>
    <row r="223" spans="2:5" ht="15.75">
      <c r="B223" s="342"/>
      <c r="C223" s="303"/>
      <c r="D223" s="303"/>
      <c r="E223" s="303"/>
    </row>
    <row r="224" spans="2:5" ht="15.75">
      <c r="B224" s="342"/>
      <c r="C224" s="303"/>
      <c r="D224" s="303"/>
      <c r="E224" s="303"/>
    </row>
    <row r="225" spans="2:5" ht="15.75">
      <c r="B225" s="342"/>
      <c r="C225" s="303"/>
      <c r="D225" s="303"/>
      <c r="E225" s="303"/>
    </row>
    <row r="226" spans="2:5" ht="15.75">
      <c r="B226" s="342"/>
      <c r="C226" s="303"/>
      <c r="D226" s="303"/>
      <c r="E226" s="303"/>
    </row>
    <row r="227" spans="2:5" ht="15.75">
      <c r="B227" s="191" t="s">
        <v>446</v>
      </c>
      <c r="C227" s="317">
        <f>SUM(C223:C226)</f>
        <v>0</v>
      </c>
      <c r="D227" s="317">
        <f>SUM(D223:D226)</f>
        <v>0</v>
      </c>
      <c r="E227" s="317">
        <f>SUM(E223:E226)</f>
        <v>0</v>
      </c>
    </row>
    <row r="228" spans="2:5" ht="15.75">
      <c r="B228" s="341"/>
      <c r="C228" s="112"/>
      <c r="D228" s="112"/>
      <c r="E228" s="112"/>
    </row>
    <row r="229" spans="2:5" ht="15.75">
      <c r="B229" s="342"/>
      <c r="C229" s="303"/>
      <c r="D229" s="303"/>
      <c r="E229" s="303"/>
    </row>
    <row r="230" spans="2:5" ht="15.75">
      <c r="B230" s="342"/>
      <c r="C230" s="303"/>
      <c r="D230" s="303"/>
      <c r="E230" s="303"/>
    </row>
    <row r="231" spans="2:5" ht="15.75">
      <c r="B231" s="342"/>
      <c r="C231" s="303"/>
      <c r="D231" s="303"/>
      <c r="E231" s="303"/>
    </row>
    <row r="232" spans="2:5" ht="15.75">
      <c r="B232" s="342"/>
      <c r="C232" s="303"/>
      <c r="D232" s="303"/>
      <c r="E232" s="303"/>
    </row>
    <row r="233" spans="2:5" ht="15.75">
      <c r="B233" s="191" t="s">
        <v>446</v>
      </c>
      <c r="C233" s="317">
        <f>SUM(C229:C232)</f>
        <v>0</v>
      </c>
      <c r="D233" s="317">
        <f>SUM(D229:D232)</f>
        <v>0</v>
      </c>
      <c r="E233" s="317">
        <f>SUM(E229:E232)</f>
        <v>0</v>
      </c>
    </row>
    <row r="234" spans="2:5" ht="15.75">
      <c r="B234" s="341"/>
      <c r="C234" s="112"/>
      <c r="D234" s="112"/>
      <c r="E234" s="112"/>
    </row>
    <row r="235" spans="2:5" ht="15.75">
      <c r="B235" s="342"/>
      <c r="C235" s="303"/>
      <c r="D235" s="303"/>
      <c r="E235" s="303"/>
    </row>
    <row r="236" spans="2:5" ht="15.75">
      <c r="B236" s="342"/>
      <c r="C236" s="303"/>
      <c r="D236" s="303"/>
      <c r="E236" s="303"/>
    </row>
    <row r="237" spans="2:5" ht="15.75">
      <c r="B237" s="342"/>
      <c r="C237" s="303"/>
      <c r="D237" s="303"/>
      <c r="E237" s="303"/>
    </row>
    <row r="238" spans="2:5" ht="15.75">
      <c r="B238" s="342"/>
      <c r="C238" s="303"/>
      <c r="D238" s="303"/>
      <c r="E238" s="303"/>
    </row>
    <row r="239" spans="2:5" ht="15.75">
      <c r="B239" s="191" t="s">
        <v>446</v>
      </c>
      <c r="C239" s="317">
        <f>SUM(C235:C238)</f>
        <v>0</v>
      </c>
      <c r="D239" s="317">
        <f>SUM(D235:D238)</f>
        <v>0</v>
      </c>
      <c r="E239" s="317">
        <f>SUM(E235:E238)</f>
        <v>0</v>
      </c>
    </row>
    <row r="240" spans="2:5" ht="15.75">
      <c r="B240" s="191"/>
      <c r="C240" s="112"/>
      <c r="D240" s="112"/>
      <c r="E240" s="112"/>
    </row>
    <row r="241" spans="2:5" ht="15.75">
      <c r="B241" s="191" t="s">
        <v>599</v>
      </c>
      <c r="C241" s="308">
        <f>C191+C197+C203+C209+C215+C221+C223+C233+C239</f>
        <v>9595</v>
      </c>
      <c r="D241" s="308">
        <f>D191+D197+D203+D209+D215+D221+D223+D233+D239</f>
        <v>69496</v>
      </c>
      <c r="E241" s="308">
        <f>E191+E197+E203+E209+E215+E221+E223+E233+E239</f>
        <v>159214</v>
      </c>
    </row>
    <row r="242" spans="2:5" ht="15.75">
      <c r="B242" s="69"/>
      <c r="C242" s="205"/>
      <c r="D242" s="205"/>
      <c r="E242" s="205"/>
    </row>
    <row r="243" spans="2:5" ht="15.75">
      <c r="B243" s="676" t="s">
        <v>631</v>
      </c>
      <c r="C243" s="676"/>
      <c r="D243" s="676"/>
      <c r="E243" s="676"/>
    </row>
    <row r="244" spans="2:5" ht="15.75">
      <c r="B244" s="205" t="str">
        <f>inputPrYr!C3</f>
        <v>MORRIS COUNTY</v>
      </c>
      <c r="C244" s="205"/>
      <c r="D244" s="68"/>
      <c r="E244" s="344">
        <f>E1</f>
        <v>2012</v>
      </c>
    </row>
    <row r="245" spans="2:5" ht="15.75">
      <c r="B245" s="69"/>
      <c r="C245" s="205"/>
      <c r="D245" s="205"/>
      <c r="E245" s="68"/>
    </row>
    <row r="246" spans="2:5" ht="15.75">
      <c r="B246" s="309" t="s">
        <v>525</v>
      </c>
      <c r="C246" s="146"/>
      <c r="D246" s="146"/>
      <c r="E246" s="146"/>
    </row>
    <row r="247" spans="2:5" ht="15.75">
      <c r="B247" s="69" t="s">
        <v>851</v>
      </c>
      <c r="C247" s="535" t="str">
        <f aca="true" t="shared" si="3" ref="C247:E248">C4</f>
        <v>Prior Year Actual</v>
      </c>
      <c r="D247" s="536" t="str">
        <f t="shared" si="3"/>
        <v>Current Year Estimate</v>
      </c>
      <c r="E247" s="536" t="str">
        <f t="shared" si="3"/>
        <v>Proposed Budget Year</v>
      </c>
    </row>
    <row r="248" spans="2:5" ht="15.75">
      <c r="B248" s="98" t="s">
        <v>868</v>
      </c>
      <c r="C248" s="311">
        <f t="shared" si="3"/>
        <v>2010</v>
      </c>
      <c r="D248" s="311">
        <f t="shared" si="3"/>
        <v>2011</v>
      </c>
      <c r="E248" s="311">
        <f t="shared" si="3"/>
        <v>2012</v>
      </c>
    </row>
    <row r="249" spans="2:5" ht="15.75">
      <c r="B249" s="261" t="s">
        <v>864</v>
      </c>
      <c r="C249" s="112"/>
      <c r="D249" s="112"/>
      <c r="E249" s="112"/>
    </row>
    <row r="250" spans="2:5" ht="15.75">
      <c r="B250" s="341"/>
      <c r="C250" s="112"/>
      <c r="D250" s="112"/>
      <c r="E250" s="112"/>
    </row>
    <row r="251" spans="2:5" ht="15.75">
      <c r="B251" s="342"/>
      <c r="C251" s="303"/>
      <c r="D251" s="303"/>
      <c r="E251" s="303"/>
    </row>
    <row r="252" spans="2:5" ht="15.75">
      <c r="B252" s="342"/>
      <c r="C252" s="303"/>
      <c r="D252" s="303"/>
      <c r="E252" s="303"/>
    </row>
    <row r="253" spans="2:5" ht="15.75">
      <c r="B253" s="342"/>
      <c r="C253" s="303"/>
      <c r="D253" s="303"/>
      <c r="E253" s="303"/>
    </row>
    <row r="254" spans="2:5" ht="15.75">
      <c r="B254" s="342"/>
      <c r="C254" s="303"/>
      <c r="D254" s="303"/>
      <c r="E254" s="303"/>
    </row>
    <row r="255" spans="2:5" ht="15.75">
      <c r="B255" s="191" t="s">
        <v>446</v>
      </c>
      <c r="C255" s="317">
        <f>SUM(C251:C254)</f>
        <v>0</v>
      </c>
      <c r="D255" s="317">
        <f>SUM(D251:D254)</f>
        <v>0</v>
      </c>
      <c r="E255" s="317">
        <f>SUM(E251:E254)</f>
        <v>0</v>
      </c>
    </row>
    <row r="256" spans="2:5" ht="15.75">
      <c r="B256" s="341"/>
      <c r="C256" s="112"/>
      <c r="D256" s="112"/>
      <c r="E256" s="112"/>
    </row>
    <row r="257" spans="2:5" ht="15.75">
      <c r="B257" s="342"/>
      <c r="C257" s="303"/>
      <c r="D257" s="303"/>
      <c r="E257" s="303"/>
    </row>
    <row r="258" spans="2:5" ht="15.75">
      <c r="B258" s="342"/>
      <c r="C258" s="303"/>
      <c r="D258" s="303"/>
      <c r="E258" s="303"/>
    </row>
    <row r="259" spans="2:5" ht="15.75">
      <c r="B259" s="342"/>
      <c r="C259" s="303"/>
      <c r="D259" s="303"/>
      <c r="E259" s="303"/>
    </row>
    <row r="260" spans="2:5" ht="15.75">
      <c r="B260" s="342"/>
      <c r="C260" s="303"/>
      <c r="D260" s="303"/>
      <c r="E260" s="303"/>
    </row>
    <row r="261" spans="2:5" ht="15.75">
      <c r="B261" s="191" t="s">
        <v>446</v>
      </c>
      <c r="C261" s="317">
        <f>SUM(C257:C260)</f>
        <v>0</v>
      </c>
      <c r="D261" s="317">
        <f>SUM(D257:D260)</f>
        <v>0</v>
      </c>
      <c r="E261" s="317">
        <f>SUM(E257:E260)</f>
        <v>0</v>
      </c>
    </row>
    <row r="262" spans="2:5" ht="15.75">
      <c r="B262" s="341"/>
      <c r="C262" s="112"/>
      <c r="D262" s="112"/>
      <c r="E262" s="112"/>
    </row>
    <row r="263" spans="2:5" ht="15.75">
      <c r="B263" s="342"/>
      <c r="C263" s="303"/>
      <c r="D263" s="303"/>
      <c r="E263" s="303"/>
    </row>
    <row r="264" spans="2:5" ht="15.75">
      <c r="B264" s="342"/>
      <c r="C264" s="303"/>
      <c r="D264" s="303"/>
      <c r="E264" s="303"/>
    </row>
    <row r="265" spans="2:5" ht="15.75">
      <c r="B265" s="342"/>
      <c r="C265" s="303"/>
      <c r="D265" s="303"/>
      <c r="E265" s="303"/>
    </row>
    <row r="266" spans="2:5" ht="15.75">
      <c r="B266" s="342"/>
      <c r="C266" s="303"/>
      <c r="D266" s="303"/>
      <c r="E266" s="303"/>
    </row>
    <row r="267" spans="2:5" ht="15.75">
      <c r="B267" s="191" t="s">
        <v>446</v>
      </c>
      <c r="C267" s="317">
        <f>SUM(C263:C266)</f>
        <v>0</v>
      </c>
      <c r="D267" s="317">
        <f>SUM(D263:D266)</f>
        <v>0</v>
      </c>
      <c r="E267" s="317">
        <f>SUM(E263:E266)</f>
        <v>0</v>
      </c>
    </row>
    <row r="268" spans="2:5" ht="15.75">
      <c r="B268" s="341"/>
      <c r="C268" s="112"/>
      <c r="D268" s="112"/>
      <c r="E268" s="112"/>
    </row>
    <row r="269" spans="2:5" ht="15.75">
      <c r="B269" s="342"/>
      <c r="C269" s="303"/>
      <c r="D269" s="303"/>
      <c r="E269" s="303"/>
    </row>
    <row r="270" spans="2:5" ht="15.75">
      <c r="B270" s="342"/>
      <c r="C270" s="303"/>
      <c r="D270" s="303"/>
      <c r="E270" s="303"/>
    </row>
    <row r="271" spans="2:5" ht="15.75">
      <c r="B271" s="342"/>
      <c r="C271" s="303"/>
      <c r="D271" s="303"/>
      <c r="E271" s="303"/>
    </row>
    <row r="272" spans="2:5" ht="15.75">
      <c r="B272" s="342"/>
      <c r="C272" s="303"/>
      <c r="D272" s="303"/>
      <c r="E272" s="303"/>
    </row>
    <row r="273" spans="2:5" ht="15.75">
      <c r="B273" s="191" t="s">
        <v>446</v>
      </c>
      <c r="C273" s="317">
        <f>SUM(C269:C272)</f>
        <v>0</v>
      </c>
      <c r="D273" s="317">
        <f>SUM(D269:D272)</f>
        <v>0</v>
      </c>
      <c r="E273" s="317">
        <f>SUM(E269:E272)</f>
        <v>0</v>
      </c>
    </row>
    <row r="274" spans="2:5" ht="15.75">
      <c r="B274" s="341"/>
      <c r="C274" s="112"/>
      <c r="D274" s="112"/>
      <c r="E274" s="112"/>
    </row>
    <row r="275" spans="2:5" ht="15.75">
      <c r="B275" s="342"/>
      <c r="C275" s="303"/>
      <c r="D275" s="303"/>
      <c r="E275" s="303"/>
    </row>
    <row r="276" spans="2:5" ht="15.75">
      <c r="B276" s="342"/>
      <c r="C276" s="303"/>
      <c r="D276" s="303"/>
      <c r="E276" s="303"/>
    </row>
    <row r="277" spans="2:5" ht="15.75">
      <c r="B277" s="191" t="s">
        <v>446</v>
      </c>
      <c r="C277" s="317">
        <f>SUM(C275:C276)</f>
        <v>0</v>
      </c>
      <c r="D277" s="317">
        <f>SUM(D275:D276)</f>
        <v>0</v>
      </c>
      <c r="E277" s="317">
        <f>SUM(E275:E276)</f>
        <v>0</v>
      </c>
    </row>
    <row r="278" spans="2:5" ht="15.75">
      <c r="B278" s="341"/>
      <c r="C278" s="112"/>
      <c r="D278" s="112"/>
      <c r="E278" s="112"/>
    </row>
    <row r="279" spans="2:5" ht="15.75">
      <c r="B279" s="342"/>
      <c r="C279" s="303"/>
      <c r="D279" s="303"/>
      <c r="E279" s="303"/>
    </row>
    <row r="280" spans="2:5" ht="15.75">
      <c r="B280" s="342"/>
      <c r="C280" s="303"/>
      <c r="D280" s="303"/>
      <c r="E280" s="303"/>
    </row>
    <row r="281" spans="2:5" ht="15.75">
      <c r="B281" s="342"/>
      <c r="C281" s="303"/>
      <c r="D281" s="303"/>
      <c r="E281" s="303"/>
    </row>
    <row r="282" spans="2:5" ht="15.75">
      <c r="B282" s="342"/>
      <c r="C282" s="303"/>
      <c r="D282" s="303"/>
      <c r="E282" s="303"/>
    </row>
    <row r="283" spans="2:5" ht="15.75">
      <c r="B283" s="191" t="s">
        <v>446</v>
      </c>
      <c r="C283" s="317">
        <f>SUM(C279:C282)</f>
        <v>0</v>
      </c>
      <c r="D283" s="317">
        <f>SUM(D279:D282)</f>
        <v>0</v>
      </c>
      <c r="E283" s="317">
        <f>SUM(E279:E282)</f>
        <v>0</v>
      </c>
    </row>
    <row r="284" spans="2:5" ht="15.75">
      <c r="B284" s="341"/>
      <c r="C284" s="112"/>
      <c r="D284" s="112"/>
      <c r="E284" s="112"/>
    </row>
    <row r="285" spans="2:5" ht="15.75">
      <c r="B285" s="342"/>
      <c r="C285" s="303"/>
      <c r="D285" s="303"/>
      <c r="E285" s="303"/>
    </row>
    <row r="286" spans="2:5" ht="15.75">
      <c r="B286" s="342"/>
      <c r="C286" s="303"/>
      <c r="D286" s="303"/>
      <c r="E286" s="303"/>
    </row>
    <row r="287" spans="2:5" ht="15.75">
      <c r="B287" s="342"/>
      <c r="C287" s="303"/>
      <c r="D287" s="303"/>
      <c r="E287" s="303"/>
    </row>
    <row r="288" spans="2:5" ht="15.75">
      <c r="B288" s="342"/>
      <c r="C288" s="303"/>
      <c r="D288" s="303"/>
      <c r="E288" s="303"/>
    </row>
    <row r="289" spans="2:5" ht="15.75">
      <c r="B289" s="301" t="s">
        <v>446</v>
      </c>
      <c r="C289" s="317">
        <f>SUM(C285:C288)</f>
        <v>0</v>
      </c>
      <c r="D289" s="317">
        <f>SUM(D285:D288)</f>
        <v>0</v>
      </c>
      <c r="E289" s="317">
        <f>SUM(E285:E288)</f>
        <v>0</v>
      </c>
    </row>
    <row r="290" spans="2:5" ht="15.75">
      <c r="B290" s="191"/>
      <c r="C290" s="112"/>
      <c r="D290" s="112"/>
      <c r="E290" s="112"/>
    </row>
    <row r="291" spans="2:5" ht="15.75">
      <c r="B291" s="191" t="s">
        <v>600</v>
      </c>
      <c r="C291" s="317">
        <f>C255+C261+C267+C273+C277+C283+C289</f>
        <v>0</v>
      </c>
      <c r="D291" s="317">
        <f>D255+D261+D267+D273+D277+D283+D289</f>
        <v>0</v>
      </c>
      <c r="E291" s="317">
        <f>E255+E261+E267+E273+E277+E283+E289</f>
        <v>0</v>
      </c>
    </row>
    <row r="292" spans="2:5" ht="15.75">
      <c r="B292" s="191"/>
      <c r="C292" s="112"/>
      <c r="D292" s="112"/>
      <c r="E292" s="112"/>
    </row>
    <row r="293" spans="2:5" ht="15.75">
      <c r="B293" s="191" t="s">
        <v>601</v>
      </c>
      <c r="C293" s="317">
        <f>C57</f>
        <v>930010</v>
      </c>
      <c r="D293" s="317">
        <f>D57</f>
        <v>1027920</v>
      </c>
      <c r="E293" s="317">
        <f>E57</f>
        <v>1040500</v>
      </c>
    </row>
    <row r="294" spans="2:5" ht="15.75">
      <c r="B294" s="69"/>
      <c r="C294" s="112"/>
      <c r="D294" s="112"/>
      <c r="E294" s="112"/>
    </row>
    <row r="295" spans="2:5" ht="15.75">
      <c r="B295" s="191" t="s">
        <v>597</v>
      </c>
      <c r="C295" s="317">
        <f>C117</f>
        <v>518366</v>
      </c>
      <c r="D295" s="317">
        <f>D117</f>
        <v>633983</v>
      </c>
      <c r="E295" s="317">
        <f>E117</f>
        <v>772571</v>
      </c>
    </row>
    <row r="296" spans="2:5" ht="15.75">
      <c r="B296" s="69"/>
      <c r="C296" s="112"/>
      <c r="D296" s="112"/>
      <c r="E296" s="112"/>
    </row>
    <row r="297" spans="2:5" ht="15.75">
      <c r="B297" s="191" t="s">
        <v>598</v>
      </c>
      <c r="C297" s="317">
        <f>C177</f>
        <v>218041</v>
      </c>
      <c r="D297" s="317">
        <f>D177</f>
        <v>117068</v>
      </c>
      <c r="E297" s="317">
        <f>E177</f>
        <v>118766</v>
      </c>
    </row>
    <row r="298" spans="2:5" ht="15.75">
      <c r="B298" s="69"/>
      <c r="C298" s="112"/>
      <c r="D298" s="112"/>
      <c r="E298" s="112"/>
    </row>
    <row r="299" spans="2:5" ht="15.75">
      <c r="B299" s="191" t="s">
        <v>599</v>
      </c>
      <c r="C299" s="317">
        <f>C241</f>
        <v>9595</v>
      </c>
      <c r="D299" s="317">
        <f>D241</f>
        <v>69496</v>
      </c>
      <c r="E299" s="317">
        <f>E241</f>
        <v>159214</v>
      </c>
    </row>
    <row r="300" spans="2:5" ht="15.75">
      <c r="B300" s="69"/>
      <c r="C300" s="112"/>
      <c r="D300" s="112"/>
      <c r="E300" s="112"/>
    </row>
    <row r="301" spans="2:5" ht="16.5" thickBot="1">
      <c r="B301" s="191" t="s">
        <v>262</v>
      </c>
      <c r="C301" s="345">
        <f>SUM(C291:C300)</f>
        <v>1676012</v>
      </c>
      <c r="D301" s="345">
        <f>SUM(D291:D300)</f>
        <v>1848467</v>
      </c>
      <c r="E301" s="345">
        <f>SUM(E291:E300)</f>
        <v>2091051</v>
      </c>
    </row>
    <row r="302" spans="2:5" ht="16.5" thickTop="1">
      <c r="B302" s="346" t="s">
        <v>261</v>
      </c>
      <c r="C302" s="347"/>
      <c r="D302" s="347"/>
      <c r="E302" s="127"/>
    </row>
    <row r="303" spans="2:5" ht="15.75">
      <c r="B303" s="676" t="s">
        <v>630</v>
      </c>
      <c r="C303" s="676"/>
      <c r="D303" s="676"/>
      <c r="E303" s="676"/>
    </row>
    <row r="304" spans="3:5" ht="15.75">
      <c r="C304" s="348"/>
      <c r="D304" s="348"/>
      <c r="E304" s="348"/>
    </row>
    <row r="305" spans="3:5" ht="15.75">
      <c r="C305" s="348"/>
      <c r="D305" s="348"/>
      <c r="E305" s="348"/>
    </row>
    <row r="306" spans="3:5" ht="15.75">
      <c r="C306" s="348"/>
      <c r="D306" s="348"/>
      <c r="E306" s="348"/>
    </row>
    <row r="307" spans="3:5" ht="15.75">
      <c r="C307" s="348"/>
      <c r="D307" s="348"/>
      <c r="E307" s="348"/>
    </row>
    <row r="308" spans="3:5" ht="15.75">
      <c r="C308" s="348"/>
      <c r="D308" s="348"/>
      <c r="E308" s="348"/>
    </row>
    <row r="309" spans="3:5" ht="15.75">
      <c r="C309" s="348"/>
      <c r="D309" s="348"/>
      <c r="E309" s="348"/>
    </row>
    <row r="310" spans="3:5" ht="15.75">
      <c r="C310" s="348"/>
      <c r="D310" s="348"/>
      <c r="E310" s="348"/>
    </row>
    <row r="311" spans="3:5" ht="15.75">
      <c r="C311" s="348"/>
      <c r="D311" s="348"/>
      <c r="E311" s="348"/>
    </row>
    <row r="312" spans="3:5" ht="15.75">
      <c r="C312" s="348"/>
      <c r="D312" s="348"/>
      <c r="E312" s="348"/>
    </row>
    <row r="313" spans="3:5" ht="15.75">
      <c r="C313" s="348"/>
      <c r="D313" s="348"/>
      <c r="E313" s="348"/>
    </row>
    <row r="314" spans="3:5" ht="15.75">
      <c r="C314" s="348"/>
      <c r="D314" s="348"/>
      <c r="E314" s="348"/>
    </row>
    <row r="315" spans="3:5" ht="15.75">
      <c r="C315" s="348"/>
      <c r="D315" s="348"/>
      <c r="E315" s="348"/>
    </row>
    <row r="316" spans="3:5" ht="15.75">
      <c r="C316" s="348"/>
      <c r="D316" s="348"/>
      <c r="E316" s="348"/>
    </row>
    <row r="317" spans="3:5" ht="15.75">
      <c r="C317" s="348"/>
      <c r="D317" s="348"/>
      <c r="E317" s="348"/>
    </row>
    <row r="318" spans="3:5" ht="15.75">
      <c r="C318" s="348"/>
      <c r="D318" s="348"/>
      <c r="E318" s="348"/>
    </row>
    <row r="319" spans="3:5" ht="15.75">
      <c r="C319" s="348"/>
      <c r="D319" s="348"/>
      <c r="E319" s="348"/>
    </row>
    <row r="320" spans="3:5" ht="15.75">
      <c r="C320" s="348"/>
      <c r="D320" s="348"/>
      <c r="E320" s="348"/>
    </row>
    <row r="321" spans="3:5" ht="15.75">
      <c r="C321" s="348"/>
      <c r="D321" s="348"/>
      <c r="E321" s="348"/>
    </row>
    <row r="322" spans="3:5" ht="15.75">
      <c r="C322" s="348"/>
      <c r="D322" s="348"/>
      <c r="E322" s="348"/>
    </row>
    <row r="323" spans="3:5" ht="15.75">
      <c r="C323" s="348"/>
      <c r="D323" s="348"/>
      <c r="E323" s="348"/>
    </row>
    <row r="324" spans="3:5" ht="15.75">
      <c r="C324" s="348"/>
      <c r="D324" s="348"/>
      <c r="E324" s="348"/>
    </row>
    <row r="325" spans="3:5" ht="15.75">
      <c r="C325" s="348"/>
      <c r="D325" s="348"/>
      <c r="E325" s="348"/>
    </row>
    <row r="326" spans="3:5" ht="15.75">
      <c r="C326" s="348"/>
      <c r="D326" s="348"/>
      <c r="E326" s="348"/>
    </row>
    <row r="327" spans="3:5" ht="15.75">
      <c r="C327" s="348"/>
      <c r="D327" s="348"/>
      <c r="E327" s="348"/>
    </row>
    <row r="328" spans="3:5" ht="15.75">
      <c r="C328" s="348"/>
      <c r="D328" s="348"/>
      <c r="E328" s="348"/>
    </row>
    <row r="329" spans="3:5" ht="15.75">
      <c r="C329" s="348"/>
      <c r="D329" s="348"/>
      <c r="E329" s="348"/>
    </row>
    <row r="330" spans="3:5" ht="15.75">
      <c r="C330" s="348"/>
      <c r="D330" s="348"/>
      <c r="E330" s="348"/>
    </row>
    <row r="331" spans="3:5" ht="15.75">
      <c r="C331" s="348"/>
      <c r="D331" s="348"/>
      <c r="E331" s="348"/>
    </row>
    <row r="332" spans="3:5" ht="15.75">
      <c r="C332" s="348"/>
      <c r="D332" s="348"/>
      <c r="E332" s="348"/>
    </row>
    <row r="333" spans="3:5" ht="15.75">
      <c r="C333" s="348"/>
      <c r="D333" s="348"/>
      <c r="E333" s="348"/>
    </row>
    <row r="334" spans="3:5" ht="15.75">
      <c r="C334" s="348"/>
      <c r="D334" s="348"/>
      <c r="E334" s="348"/>
    </row>
    <row r="335" spans="3:5" ht="15.75">
      <c r="C335" s="348"/>
      <c r="D335" s="348"/>
      <c r="E335" s="348"/>
    </row>
    <row r="336" spans="3:5" ht="15.75">
      <c r="C336" s="348"/>
      <c r="D336" s="348"/>
      <c r="E336" s="348"/>
    </row>
    <row r="337" spans="3:5" ht="15.75">
      <c r="C337" s="348"/>
      <c r="D337" s="348"/>
      <c r="E337" s="348"/>
    </row>
    <row r="338" spans="3:5" ht="15.75">
      <c r="C338" s="348"/>
      <c r="D338" s="348"/>
      <c r="E338" s="348"/>
    </row>
    <row r="339" spans="3:5" ht="15.75">
      <c r="C339" s="348"/>
      <c r="D339" s="348"/>
      <c r="E339" s="348"/>
    </row>
    <row r="340" spans="3:5" ht="15.75">
      <c r="C340" s="348"/>
      <c r="D340" s="348"/>
      <c r="E340" s="348"/>
    </row>
    <row r="341" spans="3:5" ht="15.75">
      <c r="C341" s="348"/>
      <c r="D341" s="348"/>
      <c r="E341" s="348"/>
    </row>
    <row r="342" spans="3:5" ht="15.75">
      <c r="C342" s="348"/>
      <c r="D342" s="348"/>
      <c r="E342" s="348"/>
    </row>
    <row r="343" spans="3:5" ht="15.75">
      <c r="C343" s="348"/>
      <c r="D343" s="348"/>
      <c r="E343" s="348"/>
    </row>
    <row r="344" spans="3:5" ht="15.75">
      <c r="C344" s="348"/>
      <c r="D344" s="348"/>
      <c r="E344" s="348"/>
    </row>
    <row r="345" spans="3:5" ht="15.75">
      <c r="C345" s="348"/>
      <c r="D345" s="348"/>
      <c r="E345" s="348"/>
    </row>
    <row r="346" spans="3:5" ht="15.75">
      <c r="C346" s="348"/>
      <c r="D346" s="348"/>
      <c r="E346" s="348"/>
    </row>
    <row r="347" spans="3:5" ht="15.75">
      <c r="C347" s="348"/>
      <c r="D347" s="348"/>
      <c r="E347" s="348"/>
    </row>
    <row r="348" spans="3:5" ht="15.75">
      <c r="C348" s="348"/>
      <c r="D348" s="348"/>
      <c r="E348" s="348"/>
    </row>
    <row r="349" spans="3:5" ht="15.75">
      <c r="C349" s="348"/>
      <c r="D349" s="348"/>
      <c r="E349" s="348"/>
    </row>
    <row r="350" spans="3:5" ht="15.75">
      <c r="C350" s="348"/>
      <c r="D350" s="348"/>
      <c r="E350" s="348"/>
    </row>
    <row r="351" spans="3:5" ht="15.75">
      <c r="C351" s="348"/>
      <c r="D351" s="348"/>
      <c r="E351" s="348"/>
    </row>
    <row r="352" spans="3:5" ht="15.75">
      <c r="C352" s="348"/>
      <c r="D352" s="348"/>
      <c r="E352" s="348"/>
    </row>
    <row r="353" spans="3:5" ht="15.75">
      <c r="C353" s="348"/>
      <c r="D353" s="348"/>
      <c r="E353" s="348"/>
    </row>
    <row r="354" spans="3:5" ht="15.75">
      <c r="C354" s="348"/>
      <c r="D354" s="348"/>
      <c r="E354" s="348"/>
    </row>
    <row r="355" spans="3:5" ht="15.75">
      <c r="C355" s="348"/>
      <c r="D355" s="348"/>
      <c r="E355" s="348"/>
    </row>
    <row r="356" spans="3:5" ht="15.75">
      <c r="C356" s="348"/>
      <c r="D356" s="348"/>
      <c r="E356" s="348"/>
    </row>
    <row r="357" spans="3:5" ht="15.75">
      <c r="C357" s="348"/>
      <c r="D357" s="348"/>
      <c r="E357" s="348"/>
    </row>
    <row r="358" spans="3:5" ht="15.75">
      <c r="C358" s="348"/>
      <c r="D358" s="348"/>
      <c r="E358" s="348"/>
    </row>
    <row r="359" spans="3:5" ht="15.75">
      <c r="C359" s="348"/>
      <c r="D359" s="348"/>
      <c r="E359" s="348"/>
    </row>
    <row r="360" spans="3:5" ht="15.75">
      <c r="C360" s="348"/>
      <c r="D360" s="348"/>
      <c r="E360" s="348"/>
    </row>
    <row r="361" spans="3:5" ht="15.75">
      <c r="C361" s="348"/>
      <c r="D361" s="348"/>
      <c r="E361" s="348"/>
    </row>
    <row r="362" spans="3:5" ht="15.75">
      <c r="C362" s="348"/>
      <c r="D362" s="348"/>
      <c r="E362" s="348"/>
    </row>
    <row r="363" spans="3:5" ht="15.75">
      <c r="C363" s="348"/>
      <c r="D363" s="348"/>
      <c r="E363" s="348"/>
    </row>
    <row r="364" spans="3:5" ht="15.75">
      <c r="C364" s="348"/>
      <c r="D364" s="348"/>
      <c r="E364" s="348"/>
    </row>
    <row r="365" spans="3:5" ht="15.75">
      <c r="C365" s="348"/>
      <c r="D365" s="348"/>
      <c r="E365" s="348"/>
    </row>
    <row r="366" spans="3:5" ht="15.75">
      <c r="C366" s="348"/>
      <c r="D366" s="348"/>
      <c r="E366" s="348"/>
    </row>
    <row r="367" spans="3:5" ht="15.75">
      <c r="C367" s="348"/>
      <c r="D367" s="348"/>
      <c r="E367" s="348"/>
    </row>
    <row r="368" spans="3:5" ht="15.75">
      <c r="C368" s="348"/>
      <c r="D368" s="348"/>
      <c r="E368" s="348"/>
    </row>
    <row r="369" spans="3:5" ht="15.75">
      <c r="C369" s="348"/>
      <c r="D369" s="348"/>
      <c r="E369" s="348"/>
    </row>
    <row r="370" spans="3:5" ht="15.75">
      <c r="C370" s="348"/>
      <c r="D370" s="348"/>
      <c r="E370" s="348"/>
    </row>
    <row r="371" spans="3:5" ht="15.75">
      <c r="C371" s="348"/>
      <c r="D371" s="348"/>
      <c r="E371" s="348"/>
    </row>
    <row r="372" spans="3:5" ht="15.75">
      <c r="C372" s="348"/>
      <c r="D372" s="348"/>
      <c r="E372" s="348"/>
    </row>
    <row r="373" spans="3:5" ht="15.75">
      <c r="C373" s="348"/>
      <c r="D373" s="348"/>
      <c r="E373" s="348"/>
    </row>
    <row r="374" spans="3:5" ht="15.75">
      <c r="C374" s="348"/>
      <c r="D374" s="348"/>
      <c r="E374" s="348"/>
    </row>
    <row r="375" spans="3:5" ht="15.75">
      <c r="C375" s="348"/>
      <c r="D375" s="348"/>
      <c r="E375" s="348"/>
    </row>
    <row r="376" spans="3:5" ht="15.75">
      <c r="C376" s="348"/>
      <c r="D376" s="348"/>
      <c r="E376" s="348"/>
    </row>
    <row r="377" spans="3:5" ht="15.75">
      <c r="C377" s="348"/>
      <c r="D377" s="348"/>
      <c r="E377" s="348"/>
    </row>
    <row r="378" spans="3:5" ht="15.75">
      <c r="C378" s="348"/>
      <c r="D378" s="348"/>
      <c r="E378" s="348"/>
    </row>
    <row r="379" spans="3:5" ht="15.75">
      <c r="C379" s="348"/>
      <c r="D379" s="348"/>
      <c r="E379" s="348"/>
    </row>
    <row r="380" spans="3:5" ht="15.75">
      <c r="C380" s="348"/>
      <c r="D380" s="348"/>
      <c r="E380" s="348"/>
    </row>
    <row r="381" spans="3:5" ht="15.75">
      <c r="C381" s="348"/>
      <c r="D381" s="348"/>
      <c r="E381" s="348"/>
    </row>
    <row r="382" spans="3:5" ht="15.75">
      <c r="C382" s="348"/>
      <c r="D382" s="348"/>
      <c r="E382" s="348"/>
    </row>
    <row r="383" spans="3:5" ht="15.75">
      <c r="C383" s="348"/>
      <c r="D383" s="348"/>
      <c r="E383" s="348"/>
    </row>
    <row r="384" spans="3:5" ht="15.75">
      <c r="C384" s="348"/>
      <c r="D384" s="348"/>
      <c r="E384" s="348"/>
    </row>
    <row r="385" spans="3:5" ht="15.75">
      <c r="C385" s="348"/>
      <c r="D385" s="348"/>
      <c r="E385" s="348"/>
    </row>
    <row r="386" spans="3:5" ht="15.75">
      <c r="C386" s="348"/>
      <c r="D386" s="348"/>
      <c r="E386" s="348"/>
    </row>
    <row r="387" spans="3:5" ht="15.75">
      <c r="C387" s="348"/>
      <c r="D387" s="348"/>
      <c r="E387" s="348"/>
    </row>
    <row r="388" spans="3:5" ht="15.75">
      <c r="C388" s="348"/>
      <c r="D388" s="348"/>
      <c r="E388" s="348"/>
    </row>
    <row r="389" spans="3:5" ht="15.75">
      <c r="C389" s="348"/>
      <c r="D389" s="348"/>
      <c r="E389" s="348"/>
    </row>
    <row r="390" spans="3:5" ht="15.75">
      <c r="C390" s="348"/>
      <c r="D390" s="348"/>
      <c r="E390" s="348"/>
    </row>
    <row r="391" spans="3:5" ht="15.75">
      <c r="C391" s="348"/>
      <c r="D391" s="348"/>
      <c r="E391" s="348"/>
    </row>
    <row r="392" spans="3:5" ht="15.75">
      <c r="C392" s="348"/>
      <c r="D392" s="348"/>
      <c r="E392" s="348"/>
    </row>
    <row r="393" spans="3:5" ht="15.75">
      <c r="C393" s="348"/>
      <c r="D393" s="348"/>
      <c r="E393" s="348"/>
    </row>
    <row r="394" spans="3:5" ht="15.75">
      <c r="C394" s="348"/>
      <c r="D394" s="348"/>
      <c r="E394" s="348"/>
    </row>
    <row r="395" spans="3:5" ht="15.75">
      <c r="C395" s="348"/>
      <c r="D395" s="348"/>
      <c r="E395" s="348"/>
    </row>
    <row r="396" spans="3:5" ht="15.75">
      <c r="C396" s="348"/>
      <c r="D396" s="348"/>
      <c r="E396" s="348"/>
    </row>
    <row r="397" spans="3:5" ht="15.75">
      <c r="C397" s="348"/>
      <c r="D397" s="348"/>
      <c r="E397" s="348"/>
    </row>
    <row r="398" spans="3:5" ht="15.75">
      <c r="C398" s="348"/>
      <c r="D398" s="348"/>
      <c r="E398" s="348"/>
    </row>
    <row r="399" spans="3:5" ht="15.75">
      <c r="C399" s="348"/>
      <c r="D399" s="348"/>
      <c r="E399" s="348"/>
    </row>
    <row r="400" spans="3:5" ht="15.75">
      <c r="C400" s="348"/>
      <c r="D400" s="348"/>
      <c r="E400" s="348"/>
    </row>
    <row r="401" spans="3:5" ht="15.75">
      <c r="C401" s="348"/>
      <c r="D401" s="348"/>
      <c r="E401" s="348"/>
    </row>
    <row r="402" spans="3:5" ht="15.75">
      <c r="C402" s="348"/>
      <c r="D402" s="348"/>
      <c r="E402" s="348"/>
    </row>
    <row r="403" spans="3:5" ht="15.75">
      <c r="C403" s="348"/>
      <c r="D403" s="348"/>
      <c r="E403" s="348"/>
    </row>
    <row r="404" spans="3:5" ht="15.75">
      <c r="C404" s="348"/>
      <c r="D404" s="348"/>
      <c r="E404" s="348"/>
    </row>
    <row r="405" spans="3:5" ht="15.75">
      <c r="C405" s="348"/>
      <c r="D405" s="348"/>
      <c r="E405" s="348"/>
    </row>
    <row r="406" spans="3:5" ht="15.75">
      <c r="C406" s="348"/>
      <c r="D406" s="348"/>
      <c r="E406" s="348"/>
    </row>
  </sheetData>
  <sheetProtection/>
  <mergeCells count="5">
    <mergeCell ref="B303:E303"/>
    <mergeCell ref="B59:E59"/>
    <mergeCell ref="B119:E119"/>
    <mergeCell ref="B179:E179"/>
    <mergeCell ref="B243:E243"/>
  </mergeCells>
  <printOptions/>
  <pageMargins left="1.12" right="0.5" top="0.74" bottom="0.34" header="0.5" footer="0"/>
  <pageSetup blackAndWhite="1" horizontalDpi="120" verticalDpi="120" orientation="portrait" scale="67" r:id="rId1"/>
  <headerFooter alignWithMargins="0">
    <oddHeader>&amp;RState of Kansas
County
</oddHeader>
  </headerFooter>
  <rowBreaks count="4" manualBreakCount="4">
    <brk id="59" max="255" man="1"/>
    <brk id="119" min="1" max="4" man="1"/>
    <brk id="179" max="255" man="1"/>
    <brk id="243" max="255" man="1"/>
  </rowBreaks>
</worksheet>
</file>

<file path=xl/worksheets/sheet16.xml><?xml version="1.0" encoding="utf-8"?>
<worksheet xmlns="http://schemas.openxmlformats.org/spreadsheetml/2006/main" xmlns:r="http://schemas.openxmlformats.org/officeDocument/2006/relationships">
  <sheetPr>
    <pageSetUpPr fitToPage="1"/>
  </sheetPr>
  <dimension ref="B1:I73"/>
  <sheetViews>
    <sheetView zoomScalePageLayoutView="0" workbookViewId="0" topLeftCell="A2">
      <selection activeCell="C64" sqref="C64"/>
    </sheetView>
  </sheetViews>
  <sheetFormatPr defaultColWidth="8.796875" defaultRowHeight="15"/>
  <cols>
    <col min="1" max="1" width="2.3984375" style="126" customWidth="1"/>
    <col min="2" max="2" width="31.09765625" style="126" customWidth="1"/>
    <col min="3" max="4" width="15.796875" style="126" customWidth="1"/>
    <col min="5" max="5" width="16.3984375" style="126" customWidth="1"/>
    <col min="6" max="6" width="7.59765625" style="126" customWidth="1"/>
    <col min="7" max="7" width="9.09765625" style="126" customWidth="1"/>
    <col min="8" max="16384" width="8.8984375" style="126" customWidth="1"/>
  </cols>
  <sheetData>
    <row r="1" spans="2:5" ht="15.75">
      <c r="B1" s="205" t="str">
        <f>inputPrYr!C3</f>
        <v>MORRIS COUNTY</v>
      </c>
      <c r="C1" s="69"/>
      <c r="D1" s="69"/>
      <c r="E1" s="253">
        <f>inputPrYr!$C$5</f>
        <v>2012</v>
      </c>
    </row>
    <row r="2" spans="2:5" ht="15.75">
      <c r="B2" s="69"/>
      <c r="C2" s="69"/>
      <c r="D2" s="69"/>
      <c r="E2" s="109"/>
    </row>
    <row r="3" spans="2:5" ht="15.75">
      <c r="B3" s="214"/>
      <c r="C3" s="322"/>
      <c r="D3" s="322"/>
      <c r="E3" s="323"/>
    </row>
    <row r="4" spans="2:5" ht="15.75">
      <c r="B4" s="484" t="s">
        <v>528</v>
      </c>
      <c r="C4" s="146"/>
      <c r="D4" s="146"/>
      <c r="E4" s="146"/>
    </row>
    <row r="5" spans="2:5" ht="15.75">
      <c r="B5" s="68" t="s">
        <v>851</v>
      </c>
      <c r="C5" s="539" t="s">
        <v>479</v>
      </c>
      <c r="D5" s="540" t="s">
        <v>226</v>
      </c>
      <c r="E5" s="536" t="s">
        <v>227</v>
      </c>
    </row>
    <row r="6" spans="2:5" ht="15.75">
      <c r="B6" s="482" t="str">
        <f>inputPrYr!B17</f>
        <v>Debt Service</v>
      </c>
      <c r="C6" s="260">
        <f>E1-2</f>
        <v>2010</v>
      </c>
      <c r="D6" s="260">
        <f>E1-1</f>
        <v>2011</v>
      </c>
      <c r="E6" s="299">
        <f>E1</f>
        <v>2012</v>
      </c>
    </row>
    <row r="7" spans="2:5" ht="15.75">
      <c r="B7" s="154" t="s">
        <v>569</v>
      </c>
      <c r="C7" s="478">
        <v>27321</v>
      </c>
      <c r="D7" s="449">
        <f>C55</f>
        <v>27701</v>
      </c>
      <c r="E7" s="324">
        <f>D55</f>
        <v>28602</v>
      </c>
    </row>
    <row r="8" spans="2:5" ht="15.75">
      <c r="B8" s="176" t="s">
        <v>571</v>
      </c>
      <c r="C8" s="479"/>
      <c r="D8" s="449"/>
      <c r="E8" s="324"/>
    </row>
    <row r="9" spans="2:5" ht="15.75">
      <c r="B9" s="154" t="s">
        <v>852</v>
      </c>
      <c r="C9" s="480"/>
      <c r="D9" s="479">
        <f>inputPrYr!E17</f>
        <v>0</v>
      </c>
      <c r="E9" s="326" t="s">
        <v>462</v>
      </c>
    </row>
    <row r="10" spans="2:5" ht="15.75">
      <c r="B10" s="154" t="s">
        <v>853</v>
      </c>
      <c r="C10" s="480">
        <v>380</v>
      </c>
      <c r="D10" s="480">
        <v>901</v>
      </c>
      <c r="E10" s="327"/>
    </row>
    <row r="11" spans="2:5" ht="15.75">
      <c r="B11" s="154" t="s">
        <v>854</v>
      </c>
      <c r="C11" s="480"/>
      <c r="D11" s="480"/>
      <c r="E11" s="328" t="str">
        <f>mvalloc!D9</f>
        <v> </v>
      </c>
    </row>
    <row r="12" spans="2:5" ht="15.75">
      <c r="B12" s="154" t="s">
        <v>855</v>
      </c>
      <c r="C12" s="480"/>
      <c r="D12" s="480"/>
      <c r="E12" s="328" t="str">
        <f>mvalloc!E9</f>
        <v> </v>
      </c>
    </row>
    <row r="13" spans="2:5" ht="15.75">
      <c r="B13" s="329" t="s">
        <v>552</v>
      </c>
      <c r="C13" s="480"/>
      <c r="D13" s="480"/>
      <c r="E13" s="328" t="str">
        <f>mvalloc!F9</f>
        <v> </v>
      </c>
    </row>
    <row r="14" spans="2:5" ht="15.75">
      <c r="B14" s="329" t="s">
        <v>232</v>
      </c>
      <c r="C14" s="480"/>
      <c r="D14" s="480"/>
      <c r="E14" s="328" t="str">
        <f>mvalloc!G9</f>
        <v> </v>
      </c>
    </row>
    <row r="15" spans="2:5" ht="15.75">
      <c r="B15" s="329"/>
      <c r="C15" s="480"/>
      <c r="D15" s="480"/>
      <c r="E15" s="328"/>
    </row>
    <row r="16" spans="2:5" ht="15.75">
      <c r="B16" s="329"/>
      <c r="C16" s="480"/>
      <c r="D16" s="480"/>
      <c r="E16" s="328"/>
    </row>
    <row r="17" spans="2:5" ht="15.75">
      <c r="B17" s="330"/>
      <c r="C17" s="480"/>
      <c r="D17" s="480"/>
      <c r="E17" s="327"/>
    </row>
    <row r="18" spans="2:5" ht="15.75">
      <c r="B18" s="330"/>
      <c r="C18" s="480"/>
      <c r="D18" s="480"/>
      <c r="E18" s="331"/>
    </row>
    <row r="19" spans="2:5" ht="15.75">
      <c r="B19" s="330"/>
      <c r="C19" s="480"/>
      <c r="D19" s="480"/>
      <c r="E19" s="327"/>
    </row>
    <row r="20" spans="2:5" ht="15.75">
      <c r="B20" s="330"/>
      <c r="C20" s="480"/>
      <c r="D20" s="480"/>
      <c r="E20" s="327"/>
    </row>
    <row r="21" spans="2:5" ht="15.75">
      <c r="B21" s="330"/>
      <c r="C21" s="480"/>
      <c r="D21" s="480"/>
      <c r="E21" s="327"/>
    </row>
    <row r="22" spans="2:5" ht="15.75">
      <c r="B22" s="330"/>
      <c r="C22" s="480"/>
      <c r="D22" s="480"/>
      <c r="E22" s="327"/>
    </row>
    <row r="23" spans="2:5" ht="15.75">
      <c r="B23" s="330"/>
      <c r="C23" s="480"/>
      <c r="D23" s="480"/>
      <c r="E23" s="327"/>
    </row>
    <row r="24" spans="2:5" ht="15.75">
      <c r="B24" s="330"/>
      <c r="C24" s="480"/>
      <c r="D24" s="480"/>
      <c r="E24" s="327"/>
    </row>
    <row r="25" spans="2:5" ht="15.75">
      <c r="B25" s="330"/>
      <c r="C25" s="480"/>
      <c r="D25" s="480"/>
      <c r="E25" s="327"/>
    </row>
    <row r="26" spans="2:5" ht="15.75">
      <c r="B26" s="330" t="s">
        <v>228</v>
      </c>
      <c r="C26" s="480"/>
      <c r="D26" s="480"/>
      <c r="E26" s="327"/>
    </row>
    <row r="27" spans="2:5" ht="15.75">
      <c r="B27" s="332" t="s">
        <v>859</v>
      </c>
      <c r="C27" s="480"/>
      <c r="D27" s="480"/>
      <c r="E27" s="327"/>
    </row>
    <row r="28" spans="2:5" ht="15.75">
      <c r="B28" s="305" t="s">
        <v>966</v>
      </c>
      <c r="C28" s="480"/>
      <c r="D28" s="480"/>
      <c r="E28" s="327"/>
    </row>
    <row r="29" spans="2:5" ht="15.75">
      <c r="B29" s="305" t="s">
        <v>968</v>
      </c>
      <c r="C29" s="446">
        <f>IF(C30*0.1&lt;C28,"Exceed 10% Rule","")</f>
      </c>
      <c r="D29" s="446">
        <f>IF(D30*0.1&lt;D28,"Exceed 10% Rule","")</f>
      </c>
      <c r="E29" s="333">
        <f>IF(E30*0.1+E61&lt;E28,"Exceed 10% Rule","")</f>
      </c>
    </row>
    <row r="30" spans="2:5" ht="15.75">
      <c r="B30" s="307" t="s">
        <v>860</v>
      </c>
      <c r="C30" s="477">
        <f>SUM(C9:C28)</f>
        <v>380</v>
      </c>
      <c r="D30" s="477">
        <f>SUM(D9:D28)</f>
        <v>901</v>
      </c>
      <c r="E30" s="334">
        <f>SUM(E9:E28)</f>
        <v>0</v>
      </c>
    </row>
    <row r="31" spans="2:5" ht="15.75">
      <c r="B31" s="307" t="s">
        <v>861</v>
      </c>
      <c r="C31" s="477">
        <f>C7+C30</f>
        <v>27701</v>
      </c>
      <c r="D31" s="477">
        <f>D7+D30</f>
        <v>28602</v>
      </c>
      <c r="E31" s="335">
        <f>E7+E30</f>
        <v>28602</v>
      </c>
    </row>
    <row r="32" spans="2:5" ht="15.75">
      <c r="B32" s="176" t="s">
        <v>864</v>
      </c>
      <c r="C32" s="479"/>
      <c r="D32" s="479"/>
      <c r="E32" s="328"/>
    </row>
    <row r="33" spans="2:5" ht="15.75">
      <c r="B33" s="316"/>
      <c r="C33" s="480"/>
      <c r="D33" s="480"/>
      <c r="E33" s="327"/>
    </row>
    <row r="34" spans="2:5" ht="15.75">
      <c r="B34" s="316"/>
      <c r="C34" s="480"/>
      <c r="D34" s="480"/>
      <c r="E34" s="327"/>
    </row>
    <row r="35" spans="2:5" ht="15.75">
      <c r="B35" s="316"/>
      <c r="C35" s="480"/>
      <c r="D35" s="480"/>
      <c r="E35" s="327"/>
    </row>
    <row r="36" spans="2:5" ht="15.75">
      <c r="B36" s="316"/>
      <c r="C36" s="480"/>
      <c r="D36" s="480"/>
      <c r="E36" s="327"/>
    </row>
    <row r="37" spans="2:5" ht="15.75">
      <c r="B37" s="316"/>
      <c r="C37" s="480"/>
      <c r="D37" s="480"/>
      <c r="E37" s="327"/>
    </row>
    <row r="38" spans="2:5" ht="15.75">
      <c r="B38" s="316"/>
      <c r="C38" s="480"/>
      <c r="D38" s="480"/>
      <c r="E38" s="327"/>
    </row>
    <row r="39" spans="2:5" ht="15.75">
      <c r="B39" s="316"/>
      <c r="C39" s="480"/>
      <c r="D39" s="480"/>
      <c r="E39" s="327"/>
    </row>
    <row r="40" spans="2:5" ht="15.75">
      <c r="B40" s="316"/>
      <c r="C40" s="480"/>
      <c r="D40" s="480"/>
      <c r="E40" s="327"/>
    </row>
    <row r="41" spans="2:5" ht="15.75">
      <c r="B41" s="316"/>
      <c r="C41" s="480"/>
      <c r="D41" s="480"/>
      <c r="E41" s="327"/>
    </row>
    <row r="42" spans="2:5" ht="15.75">
      <c r="B42" s="316"/>
      <c r="C42" s="480"/>
      <c r="D42" s="480"/>
      <c r="E42" s="327"/>
    </row>
    <row r="43" spans="2:5" ht="15.75">
      <c r="B43" s="316"/>
      <c r="C43" s="480"/>
      <c r="D43" s="480"/>
      <c r="E43" s="327"/>
    </row>
    <row r="44" spans="2:5" ht="15.75">
      <c r="B44" s="316"/>
      <c r="C44" s="480"/>
      <c r="D44" s="480"/>
      <c r="E44" s="327"/>
    </row>
    <row r="45" spans="2:5" ht="15.75">
      <c r="B45" s="316"/>
      <c r="C45" s="480"/>
      <c r="D45" s="480"/>
      <c r="E45" s="327"/>
    </row>
    <row r="46" spans="2:5" ht="15.75">
      <c r="B46" s="316"/>
      <c r="C46" s="480"/>
      <c r="D46" s="480"/>
      <c r="E46" s="327"/>
    </row>
    <row r="47" spans="2:5" ht="15.75">
      <c r="B47" s="316"/>
      <c r="C47" s="480"/>
      <c r="D47" s="480"/>
      <c r="E47" s="327"/>
    </row>
    <row r="48" spans="2:5" ht="15.75">
      <c r="B48" s="316"/>
      <c r="C48" s="480"/>
      <c r="D48" s="480"/>
      <c r="E48" s="327"/>
    </row>
    <row r="49" spans="2:5" ht="15.75">
      <c r="B49" s="316"/>
      <c r="C49" s="480"/>
      <c r="D49" s="480"/>
      <c r="E49" s="327"/>
    </row>
    <row r="50" spans="2:5" ht="15.75">
      <c r="B50" s="316"/>
      <c r="C50" s="480"/>
      <c r="D50" s="480"/>
      <c r="E50" s="327"/>
    </row>
    <row r="51" spans="2:5" ht="15.75">
      <c r="B51" s="305" t="s">
        <v>965</v>
      </c>
      <c r="C51" s="480"/>
      <c r="D51" s="480"/>
      <c r="E51" s="336">
        <f>Nhood!E7</f>
      </c>
    </row>
    <row r="52" spans="2:5" ht="15.75">
      <c r="B52" s="305" t="s">
        <v>966</v>
      </c>
      <c r="C52" s="480"/>
      <c r="D52" s="480"/>
      <c r="E52" s="327"/>
    </row>
    <row r="53" spans="2:9" ht="15.75">
      <c r="B53" s="305" t="s">
        <v>967</v>
      </c>
      <c r="C53" s="446">
        <f>IF(C54*0.1&lt;C52,"Exceed 10% Rule","")</f>
      </c>
      <c r="D53" s="446">
        <f>IF(D54*0.1&lt;D52,"Exceed 10% Rule","")</f>
      </c>
      <c r="E53" s="333">
        <f>IF(E54*0.1&lt;E52,"Exceed 10% Rule","")</f>
      </c>
      <c r="G53" s="704" t="str">
        <f>CONCATENATE("Projected Carryover Into ",E1+1,"")</f>
        <v>Projected Carryover Into 2013</v>
      </c>
      <c r="H53" s="705"/>
      <c r="I53" s="706"/>
    </row>
    <row r="54" spans="2:9" ht="15.75">
      <c r="B54" s="307" t="s">
        <v>865</v>
      </c>
      <c r="C54" s="477">
        <f>SUM(C33:C52)</f>
        <v>0</v>
      </c>
      <c r="D54" s="477">
        <f>SUM(D33:D52)</f>
        <v>0</v>
      </c>
      <c r="E54" s="334">
        <f>SUM(E33:E52)</f>
        <v>0</v>
      </c>
      <c r="G54" s="497"/>
      <c r="H54" s="495"/>
      <c r="I54" s="498"/>
    </row>
    <row r="55" spans="2:9" ht="15.75">
      <c r="B55" s="154" t="s">
        <v>570</v>
      </c>
      <c r="C55" s="476">
        <f>C31-C54</f>
        <v>27701</v>
      </c>
      <c r="D55" s="476">
        <f>D31-D54</f>
        <v>28602</v>
      </c>
      <c r="E55" s="326" t="s">
        <v>462</v>
      </c>
      <c r="G55" s="522">
        <f>D55</f>
        <v>28602</v>
      </c>
      <c r="H55" s="523" t="str">
        <f>CONCATENATE("",E1-1," Ending Cash Balance (est.)")</f>
        <v>2011 Ending Cash Balance (est.)</v>
      </c>
      <c r="I55" s="498"/>
    </row>
    <row r="56" spans="2:9" ht="15.75">
      <c r="B56" s="286" t="str">
        <f>CONCATENATE("",$E$1-2,"/",$E$1-1," Budget Authority Amount:")</f>
        <v>2010/2011 Budget Authority Amount:</v>
      </c>
      <c r="C56" s="278">
        <f>inputOth!B31</f>
        <v>0</v>
      </c>
      <c r="D56" s="278">
        <f>inputPrYr!D17</f>
        <v>0</v>
      </c>
      <c r="E56" s="326" t="s">
        <v>462</v>
      </c>
      <c r="F56" s="337"/>
      <c r="G56" s="522">
        <f>E30</f>
        <v>0</v>
      </c>
      <c r="H56" s="524" t="str">
        <f>CONCATENATE("",E1," Non-AV Receipts (est.)")</f>
        <v>2012 Non-AV Receipts (est.)</v>
      </c>
      <c r="I56" s="498"/>
    </row>
    <row r="57" spans="2:9" ht="15.75">
      <c r="B57" s="286"/>
      <c r="C57" s="700" t="s">
        <v>923</v>
      </c>
      <c r="D57" s="701"/>
      <c r="E57" s="96"/>
      <c r="F57" s="485">
        <f>IF(E54/0.95-E54&lt;E57,"Exceeds 5%","")</f>
      </c>
      <c r="G57" s="525">
        <f>E61</f>
        <v>0</v>
      </c>
      <c r="H57" s="524" t="str">
        <f>CONCATENATE("",E1," Ad Valorem Tax (est.)")</f>
        <v>2012 Ad Valorem Tax (est.)</v>
      </c>
      <c r="I57" s="498"/>
    </row>
    <row r="58" spans="2:9" ht="15.75">
      <c r="B58" s="487" t="str">
        <f>CONCATENATE(C72,"     ",D72)</f>
        <v>     </v>
      </c>
      <c r="C58" s="702" t="s">
        <v>924</v>
      </c>
      <c r="D58" s="703"/>
      <c r="E58" s="264">
        <f>E54+E57</f>
        <v>0</v>
      </c>
      <c r="G58" s="522">
        <f>SUM(G55:G57)</f>
        <v>28602</v>
      </c>
      <c r="H58" s="524" t="str">
        <f>CONCATENATE("Total ",E1," Resources Available")</f>
        <v>Total 2012 Resources Available</v>
      </c>
      <c r="I58" s="498"/>
    </row>
    <row r="59" spans="2:9" ht="15.75">
      <c r="B59" s="487" t="str">
        <f>CONCATENATE(C73,"     ",D73)</f>
        <v>     </v>
      </c>
      <c r="C59" s="320"/>
      <c r="D59" s="109" t="s">
        <v>866</v>
      </c>
      <c r="E59" s="100">
        <f>IF(E58-E31&gt;0,E58-E31,0)</f>
        <v>0</v>
      </c>
      <c r="G59" s="526"/>
      <c r="H59" s="524"/>
      <c r="I59" s="498"/>
    </row>
    <row r="60" spans="2:9" ht="15.75">
      <c r="B60" s="109"/>
      <c r="C60" s="469" t="s">
        <v>925</v>
      </c>
      <c r="D60" s="460">
        <f>inputOth!$E$23</f>
        <v>0.03</v>
      </c>
      <c r="E60" s="264">
        <f>ROUND(IF(D60&gt;0,(E59*D60),0),0)</f>
        <v>0</v>
      </c>
      <c r="G60" s="525">
        <f>C54</f>
        <v>0</v>
      </c>
      <c r="H60" s="524" t="str">
        <f>CONCATENATE("Less ",E1-2," Expenditures")</f>
        <v>Less 2010 Expenditures</v>
      </c>
      <c r="I60" s="498"/>
    </row>
    <row r="61" spans="2:9" ht="15.75">
      <c r="B61" s="69"/>
      <c r="C61" s="698" t="str">
        <f>CONCATENATE("Amount of  ",$E$1-1," Ad Valorem Tax")</f>
        <v>Amount of  2011 Ad Valorem Tax</v>
      </c>
      <c r="D61" s="699"/>
      <c r="E61" s="338">
        <f>E59+E60</f>
        <v>0</v>
      </c>
      <c r="G61" s="527">
        <f>G58-G60</f>
        <v>28602</v>
      </c>
      <c r="H61" s="528" t="str">
        <f>CONCATENATE("Projected ",E1+1," carryover (est.)")</f>
        <v>Projected 2013 carryover (est.)</v>
      </c>
      <c r="I61" s="507"/>
    </row>
    <row r="62" spans="2:5" ht="15.75">
      <c r="B62" s="109"/>
      <c r="C62" s="69"/>
      <c r="D62" s="69"/>
      <c r="E62" s="69"/>
    </row>
    <row r="63" spans="2:5" ht="15.75">
      <c r="B63" s="286" t="s">
        <v>477</v>
      </c>
      <c r="C63" s="339">
        <v>8</v>
      </c>
      <c r="D63" s="69"/>
      <c r="E63" s="69"/>
    </row>
    <row r="72" spans="3:4" ht="15.75" hidden="1">
      <c r="C72" s="126">
        <f>IF(C54&gt;C56,"See Tab A","")</f>
      </c>
      <c r="D72" s="126">
        <f>IF(D54&gt;D56,"See Tab C","")</f>
      </c>
    </row>
    <row r="73" spans="3:4" ht="15.75" hidden="1">
      <c r="C73" s="126">
        <f>IF(C55&lt;0,"See Tab B","")</f>
      </c>
      <c r="D73" s="126">
        <f>IF(D55&lt;0,"See Tab D","")</f>
      </c>
    </row>
  </sheetData>
  <sheetProtection sheet="1"/>
  <mergeCells count="4">
    <mergeCell ref="C57:D57"/>
    <mergeCell ref="C58:D58"/>
    <mergeCell ref="G53:I53"/>
    <mergeCell ref="C61:D61"/>
  </mergeCells>
  <conditionalFormatting sqref="E57">
    <cfRule type="cellIs" priority="2" dxfId="350" operator="greaterThan" stopIfTrue="1">
      <formula>$E$54/0.95-$E$54</formula>
    </cfRule>
  </conditionalFormatting>
  <conditionalFormatting sqref="E52">
    <cfRule type="cellIs" priority="3" dxfId="350" operator="greaterThan" stopIfTrue="1">
      <formula>$E$54*0.1</formula>
    </cfRule>
  </conditionalFormatting>
  <conditionalFormatting sqref="E28">
    <cfRule type="cellIs" priority="4" dxfId="350" operator="greaterThan" stopIfTrue="1">
      <formula>$E$30*0.1+E61</formula>
    </cfRule>
  </conditionalFormatting>
  <conditionalFormatting sqref="D28">
    <cfRule type="cellIs" priority="5" dxfId="2" operator="greaterThan" stopIfTrue="1">
      <formula>$D$30*0.1</formula>
    </cfRule>
  </conditionalFormatting>
  <conditionalFormatting sqref="C28">
    <cfRule type="cellIs" priority="6" dxfId="2" operator="greaterThan" stopIfTrue="1">
      <formula>$C$30*0.1</formula>
    </cfRule>
  </conditionalFormatting>
  <conditionalFormatting sqref="C52">
    <cfRule type="cellIs" priority="7" dxfId="2" operator="greaterThan" stopIfTrue="1">
      <formula>$C$54*0.1</formula>
    </cfRule>
  </conditionalFormatting>
  <conditionalFormatting sqref="D52">
    <cfRule type="cellIs" priority="8" dxfId="2" operator="greaterThan" stopIfTrue="1">
      <formula>$D$54*0.1</formula>
    </cfRule>
  </conditionalFormatting>
  <conditionalFormatting sqref="C54">
    <cfRule type="cellIs" priority="9" dxfId="2" operator="greaterThan" stopIfTrue="1">
      <formula>$C$56</formula>
    </cfRule>
  </conditionalFormatting>
  <conditionalFormatting sqref="D54">
    <cfRule type="cellIs" priority="10" dxfId="2" operator="greaterThan" stopIfTrue="1">
      <formula>$D$56</formula>
    </cfRule>
  </conditionalFormatting>
  <conditionalFormatting sqref="C55">
    <cfRule type="cellIs" priority="11" dxfId="2" operator="lessThan" stopIfTrue="1">
      <formula>0</formula>
    </cfRule>
  </conditionalFormatting>
  <conditionalFormatting sqref="D55">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3" r:id="rId1"/>
  <headerFooter alignWithMargins="0">
    <oddHeader>&amp;RState of Kansas
City</oddHeader>
  </headerFooter>
</worksheet>
</file>

<file path=xl/worksheets/sheet17.xml><?xml version="1.0" encoding="utf-8"?>
<worksheet xmlns="http://schemas.openxmlformats.org/spreadsheetml/2006/main" xmlns:r="http://schemas.openxmlformats.org/officeDocument/2006/relationships">
  <dimension ref="B1:J131"/>
  <sheetViews>
    <sheetView zoomScalePageLayoutView="0" workbookViewId="0" topLeftCell="A102">
      <selection activeCell="E116" sqref="E116"/>
    </sheetView>
  </sheetViews>
  <sheetFormatPr defaultColWidth="8.796875" defaultRowHeight="15"/>
  <cols>
    <col min="1" max="1" width="2.3984375" style="53" customWidth="1"/>
    <col min="2" max="2" width="31.09765625" style="53" customWidth="1"/>
    <col min="3" max="4" width="15.796875" style="53" customWidth="1"/>
    <col min="5" max="5" width="16.59765625" style="53" customWidth="1"/>
    <col min="6" max="6" width="8.8984375" style="53" customWidth="1"/>
    <col min="7" max="7" width="7.09765625" style="53" customWidth="1"/>
    <col min="8" max="8" width="8.8984375" style="53" customWidth="1"/>
    <col min="9" max="9" width="5" style="53" customWidth="1"/>
    <col min="10" max="10" width="7.796875" style="53" customWidth="1"/>
    <col min="11" max="16384" width="8.8984375" style="53" customWidth="1"/>
  </cols>
  <sheetData>
    <row r="1" spans="2:5" ht="15.75">
      <c r="B1" s="205" t="str">
        <f>inputPrYr!C3</f>
        <v>MORRIS COUNTY</v>
      </c>
      <c r="C1" s="69"/>
      <c r="D1" s="69"/>
      <c r="E1" s="285">
        <f>inputPrYr!C5</f>
        <v>2012</v>
      </c>
    </row>
    <row r="2" spans="2:5" ht="15.75">
      <c r="B2" s="69"/>
      <c r="C2" s="69"/>
      <c r="D2" s="69"/>
      <c r="E2" s="109"/>
    </row>
    <row r="3" spans="2:5" ht="15.75">
      <c r="B3" s="484" t="s">
        <v>528</v>
      </c>
      <c r="C3" s="69"/>
      <c r="D3" s="69"/>
      <c r="E3" s="298"/>
    </row>
    <row r="4" spans="2:5" ht="15.75">
      <c r="B4" s="191" t="s">
        <v>851</v>
      </c>
      <c r="C4" s="539" t="s">
        <v>240</v>
      </c>
      <c r="D4" s="540" t="s">
        <v>226</v>
      </c>
      <c r="E4" s="536" t="s">
        <v>227</v>
      </c>
    </row>
    <row r="5" spans="2:5" ht="15.75">
      <c r="B5" s="482" t="str">
        <f>inputPrYr!B18</f>
        <v>Road &amp; Bridge</v>
      </c>
      <c r="C5" s="448">
        <f>E1-2</f>
        <v>2010</v>
      </c>
      <c r="D5" s="448">
        <f>E1-1</f>
        <v>2011</v>
      </c>
      <c r="E5" s="299">
        <f>E1</f>
        <v>2012</v>
      </c>
    </row>
    <row r="6" spans="2:5" ht="15.75">
      <c r="B6" s="300" t="s">
        <v>569</v>
      </c>
      <c r="C6" s="302">
        <v>373818</v>
      </c>
      <c r="D6" s="447">
        <f>C113</f>
        <v>407202</v>
      </c>
      <c r="E6" s="264">
        <f>D113</f>
        <v>307773</v>
      </c>
    </row>
    <row r="7" spans="2:5" ht="15.75">
      <c r="B7" s="289" t="s">
        <v>571</v>
      </c>
      <c r="C7" s="168"/>
      <c r="D7" s="168"/>
      <c r="E7" s="112"/>
    </row>
    <row r="8" spans="2:5" ht="15.75">
      <c r="B8" s="300" t="s">
        <v>852</v>
      </c>
      <c r="C8" s="480">
        <v>1454659</v>
      </c>
      <c r="D8" s="447">
        <f>inputPrYr!E18</f>
        <v>1546269</v>
      </c>
      <c r="E8" s="200" t="s">
        <v>462</v>
      </c>
    </row>
    <row r="9" spans="2:5" ht="15.75">
      <c r="B9" s="300" t="s">
        <v>853</v>
      </c>
      <c r="C9" s="480">
        <v>12001</v>
      </c>
      <c r="D9" s="649">
        <v>32990</v>
      </c>
      <c r="E9" s="292"/>
    </row>
    <row r="10" spans="2:5" ht="15.75">
      <c r="B10" s="300" t="s">
        <v>854</v>
      </c>
      <c r="C10" s="480">
        <v>114797</v>
      </c>
      <c r="D10" s="649">
        <v>152734</v>
      </c>
      <c r="E10" s="650">
        <f>mvalloc!D10</f>
        <v>146127</v>
      </c>
    </row>
    <row r="11" spans="2:5" ht="15.75">
      <c r="B11" s="300" t="s">
        <v>855</v>
      </c>
      <c r="C11" s="480">
        <v>3279</v>
      </c>
      <c r="D11" s="649">
        <v>4320</v>
      </c>
      <c r="E11" s="650">
        <f>mvalloc!E10</f>
        <v>3905</v>
      </c>
    </row>
    <row r="12" spans="2:5" ht="15.75">
      <c r="B12" s="168" t="s">
        <v>552</v>
      </c>
      <c r="C12" s="480">
        <v>9278</v>
      </c>
      <c r="D12" s="649">
        <v>11312</v>
      </c>
      <c r="E12" s="650">
        <f>mvalloc!F10</f>
        <v>11817</v>
      </c>
    </row>
    <row r="13" spans="2:5" ht="15.75">
      <c r="B13" s="168" t="s">
        <v>232</v>
      </c>
      <c r="C13" s="480"/>
      <c r="D13" s="649"/>
      <c r="E13" s="650">
        <f>mvalloc!G10</f>
        <v>0</v>
      </c>
    </row>
    <row r="14" spans="2:5" ht="15.75">
      <c r="B14" s="300" t="s">
        <v>313</v>
      </c>
      <c r="C14" s="480">
        <v>6</v>
      </c>
      <c r="D14" s="649"/>
      <c r="E14" s="650"/>
    </row>
    <row r="15" spans="2:5" ht="15.75">
      <c r="B15" s="349" t="s">
        <v>243</v>
      </c>
      <c r="C15" s="480">
        <v>303072</v>
      </c>
      <c r="D15" s="480">
        <v>296508</v>
      </c>
      <c r="E15" s="90">
        <v>294450</v>
      </c>
    </row>
    <row r="16" spans="2:5" ht="15.75">
      <c r="B16" s="349" t="s">
        <v>244</v>
      </c>
      <c r="C16" s="480">
        <v>8347</v>
      </c>
      <c r="D16" s="480">
        <v>15686</v>
      </c>
      <c r="E16" s="90"/>
    </row>
    <row r="17" spans="2:5" ht="15.75">
      <c r="B17" s="350" t="s">
        <v>353</v>
      </c>
      <c r="C17" s="480">
        <v>14333</v>
      </c>
      <c r="D17" s="480">
        <v>14452</v>
      </c>
      <c r="E17" s="90">
        <v>12000</v>
      </c>
    </row>
    <row r="18" spans="2:5" ht="15.75">
      <c r="B18" s="302" t="s">
        <v>354</v>
      </c>
      <c r="C18" s="480">
        <v>311603</v>
      </c>
      <c r="D18" s="480"/>
      <c r="E18" s="96"/>
    </row>
    <row r="19" spans="2:5" ht="15.75">
      <c r="B19" s="302" t="s">
        <v>355</v>
      </c>
      <c r="C19" s="480">
        <v>47005</v>
      </c>
      <c r="D19" s="480">
        <v>45000</v>
      </c>
      <c r="E19" s="96">
        <v>45000</v>
      </c>
    </row>
    <row r="20" spans="2:5" ht="15.75">
      <c r="B20" s="302" t="s">
        <v>356</v>
      </c>
      <c r="C20" s="480">
        <v>28578</v>
      </c>
      <c r="D20" s="480"/>
      <c r="E20" s="96"/>
    </row>
    <row r="21" spans="2:5" ht="15.75">
      <c r="B21" s="304"/>
      <c r="C21" s="480"/>
      <c r="D21" s="480"/>
      <c r="E21" s="96"/>
    </row>
    <row r="22" spans="2:5" ht="15.75">
      <c r="B22" s="304" t="s">
        <v>357</v>
      </c>
      <c r="C22" s="480">
        <v>-166974</v>
      </c>
      <c r="D22" s="480"/>
      <c r="E22" s="96"/>
    </row>
    <row r="23" spans="2:5" ht="15.75">
      <c r="B23" s="302"/>
      <c r="C23" s="480"/>
      <c r="D23" s="480"/>
      <c r="E23" s="96"/>
    </row>
    <row r="24" spans="2:5" ht="15.75">
      <c r="B24" s="302"/>
      <c r="C24" s="480"/>
      <c r="D24" s="480"/>
      <c r="E24" s="96"/>
    </row>
    <row r="25" spans="2:5" ht="15.75">
      <c r="B25" s="302"/>
      <c r="C25" s="480"/>
      <c r="D25" s="480"/>
      <c r="E25" s="96"/>
    </row>
    <row r="26" spans="2:5" ht="15.75">
      <c r="B26" s="302"/>
      <c r="C26" s="480"/>
      <c r="D26" s="480"/>
      <c r="E26" s="96"/>
    </row>
    <row r="27" spans="2:5" ht="15.75">
      <c r="B27" s="302"/>
      <c r="C27" s="480"/>
      <c r="D27" s="480"/>
      <c r="E27" s="96"/>
    </row>
    <row r="28" spans="2:5" ht="15.75">
      <c r="B28" s="302"/>
      <c r="C28" s="480"/>
      <c r="D28" s="480"/>
      <c r="E28" s="96"/>
    </row>
    <row r="29" spans="2:5" ht="15.75">
      <c r="B29" s="302"/>
      <c r="C29" s="480"/>
      <c r="D29" s="480"/>
      <c r="E29" s="96"/>
    </row>
    <row r="30" spans="2:5" ht="15.75">
      <c r="B30" s="302"/>
      <c r="C30" s="480"/>
      <c r="D30" s="480"/>
      <c r="E30" s="96"/>
    </row>
    <row r="31" spans="2:5" ht="15.75">
      <c r="B31" s="302"/>
      <c r="C31" s="480"/>
      <c r="D31" s="480"/>
      <c r="E31" s="96"/>
    </row>
    <row r="32" spans="2:5" ht="15.75">
      <c r="B32" s="302"/>
      <c r="C32" s="480"/>
      <c r="D32" s="480"/>
      <c r="E32" s="96"/>
    </row>
    <row r="33" spans="2:5" ht="15.75">
      <c r="B33" s="302"/>
      <c r="C33" s="480"/>
      <c r="D33" s="480"/>
      <c r="E33" s="96"/>
    </row>
    <row r="34" spans="2:5" ht="15.75">
      <c r="B34" s="302"/>
      <c r="C34" s="480"/>
      <c r="D34" s="480"/>
      <c r="E34" s="96"/>
    </row>
    <row r="35" spans="2:5" ht="15.75">
      <c r="B35" s="302"/>
      <c r="C35" s="480"/>
      <c r="D35" s="480"/>
      <c r="E35" s="96"/>
    </row>
    <row r="36" spans="2:5" ht="15.75">
      <c r="B36" s="302"/>
      <c r="C36" s="480"/>
      <c r="D36" s="480"/>
      <c r="E36" s="96"/>
    </row>
    <row r="37" spans="2:5" ht="15.75">
      <c r="B37" s="302"/>
      <c r="C37" s="480"/>
      <c r="D37" s="480"/>
      <c r="E37" s="96"/>
    </row>
    <row r="38" spans="2:5" ht="15.75">
      <c r="B38" s="302"/>
      <c r="C38" s="480"/>
      <c r="D38" s="480"/>
      <c r="E38" s="96"/>
    </row>
    <row r="39" spans="2:5" ht="15.75">
      <c r="B39" s="302"/>
      <c r="C39" s="480"/>
      <c r="D39" s="480"/>
      <c r="E39" s="96"/>
    </row>
    <row r="40" spans="2:5" ht="15.75">
      <c r="B40" s="302"/>
      <c r="C40" s="480"/>
      <c r="D40" s="480"/>
      <c r="E40" s="96"/>
    </row>
    <row r="41" spans="2:5" ht="15.75">
      <c r="B41" s="302"/>
      <c r="C41" s="480"/>
      <c r="D41" s="480"/>
      <c r="E41" s="96"/>
    </row>
    <row r="42" spans="2:5" ht="15.75">
      <c r="B42" s="302"/>
      <c r="C42" s="480"/>
      <c r="D42" s="480"/>
      <c r="E42" s="96"/>
    </row>
    <row r="43" spans="2:5" ht="15.75">
      <c r="B43" s="302"/>
      <c r="C43" s="480"/>
      <c r="D43" s="480"/>
      <c r="E43" s="96"/>
    </row>
    <row r="44" spans="2:5" ht="15.75">
      <c r="B44" s="302"/>
      <c r="C44" s="480"/>
      <c r="D44" s="480"/>
      <c r="E44" s="96"/>
    </row>
    <row r="45" spans="2:5" ht="15.75">
      <c r="B45" s="302"/>
      <c r="C45" s="480"/>
      <c r="D45" s="649"/>
      <c r="E45" s="292"/>
    </row>
    <row r="46" spans="2:5" ht="15.75">
      <c r="B46" s="302"/>
      <c r="C46" s="480"/>
      <c r="D46" s="649"/>
      <c r="E46" s="292"/>
    </row>
    <row r="47" spans="2:5" ht="15.75">
      <c r="B47" s="302"/>
      <c r="C47" s="480"/>
      <c r="D47" s="649"/>
      <c r="E47" s="292"/>
    </row>
    <row r="48" spans="2:5" ht="15.75">
      <c r="B48" s="302"/>
      <c r="C48" s="480"/>
      <c r="D48" s="649"/>
      <c r="E48" s="292"/>
    </row>
    <row r="49" spans="2:5" ht="15.75">
      <c r="B49" s="302"/>
      <c r="C49" s="480"/>
      <c r="D49" s="649"/>
      <c r="E49" s="292"/>
    </row>
    <row r="50" spans="2:5" ht="15.75">
      <c r="B50" s="302"/>
      <c r="C50" s="480"/>
      <c r="D50" s="649"/>
      <c r="E50" s="292"/>
    </row>
    <row r="51" spans="2:5" ht="15.75">
      <c r="B51" s="302"/>
      <c r="C51" s="480"/>
      <c r="D51" s="649"/>
      <c r="E51" s="292"/>
    </row>
    <row r="52" spans="2:5" ht="15.75">
      <c r="B52" s="304" t="s">
        <v>859</v>
      </c>
      <c r="C52" s="480"/>
      <c r="D52" s="649"/>
      <c r="E52" s="292"/>
    </row>
    <row r="53" spans="2:5" ht="15.75">
      <c r="B53" s="305" t="s">
        <v>966</v>
      </c>
      <c r="C53" s="467"/>
      <c r="D53" s="467"/>
      <c r="E53" s="96"/>
    </row>
    <row r="54" spans="2:5" ht="15.75">
      <c r="B54" s="305" t="s">
        <v>921</v>
      </c>
      <c r="C54" s="446">
        <f>IF(C55*0.1&lt;C53,"Exceed 10% Rule","")</f>
      </c>
      <c r="D54" s="446">
        <f>IF(D55*0.1&lt;D53,"Exceed 10% Rule","")</f>
      </c>
      <c r="E54" s="333">
        <f>IF(E55*0.1+E119&lt;E53,"Exceed 10% Rule","")</f>
      </c>
    </row>
    <row r="55" spans="2:5" ht="15.75">
      <c r="B55" s="307" t="s">
        <v>860</v>
      </c>
      <c r="C55" s="450">
        <f>SUM(C8:C53)</f>
        <v>2139984</v>
      </c>
      <c r="D55" s="450">
        <f>SUM(D8:D53)</f>
        <v>2119271</v>
      </c>
      <c r="E55" s="353">
        <f>SUM(E9:E53)</f>
        <v>513299</v>
      </c>
    </row>
    <row r="56" spans="2:5" ht="15.75">
      <c r="B56" s="307" t="s">
        <v>861</v>
      </c>
      <c r="C56" s="450">
        <f>C6+C55</f>
        <v>2513802</v>
      </c>
      <c r="D56" s="450">
        <f>D6+D55</f>
        <v>2526473</v>
      </c>
      <c r="E56" s="353">
        <f>E6+E55</f>
        <v>821072</v>
      </c>
    </row>
    <row r="57" spans="2:5" ht="15.75">
      <c r="B57" s="69"/>
      <c r="C57" s="205"/>
      <c r="D57" s="205"/>
      <c r="E57" s="205"/>
    </row>
    <row r="58" spans="2:5" ht="15.75">
      <c r="B58" s="286" t="s">
        <v>477</v>
      </c>
      <c r="C58" s="339">
        <v>9</v>
      </c>
      <c r="D58" s="83"/>
      <c r="E58" s="83"/>
    </row>
    <row r="59" spans="2:5" ht="15.75">
      <c r="B59" s="83"/>
      <c r="C59" s="83"/>
      <c r="D59" s="83"/>
      <c r="E59" s="83"/>
    </row>
    <row r="60" spans="2:5" ht="15.75">
      <c r="B60" s="83"/>
      <c r="C60" s="83"/>
      <c r="D60" s="83"/>
      <c r="E60" s="286">
        <f>E1</f>
        <v>2012</v>
      </c>
    </row>
    <row r="61" spans="2:5" ht="15.75">
      <c r="B61" s="205" t="str">
        <f>inputPrYr!C3</f>
        <v>MORRIS COUNTY</v>
      </c>
      <c r="C61" s="205"/>
      <c r="D61" s="205"/>
      <c r="E61" s="109"/>
    </row>
    <row r="62" spans="2:5" ht="15.75">
      <c r="B62" s="69"/>
      <c r="C62" s="205"/>
      <c r="D62" s="205"/>
      <c r="E62" s="109"/>
    </row>
    <row r="63" spans="2:5" ht="15.75">
      <c r="B63" s="309" t="s">
        <v>527</v>
      </c>
      <c r="C63" s="310"/>
      <c r="D63" s="310"/>
      <c r="E63" s="310"/>
    </row>
    <row r="64" spans="2:5" ht="15.75">
      <c r="B64" s="69" t="s">
        <v>851</v>
      </c>
      <c r="C64" s="539" t="str">
        <f aca="true" t="shared" si="0" ref="C64:E65">C4</f>
        <v>Prior Year Actual </v>
      </c>
      <c r="D64" s="540" t="str">
        <f t="shared" si="0"/>
        <v>Current Year Estimate</v>
      </c>
      <c r="E64" s="536" t="str">
        <f t="shared" si="0"/>
        <v>Proposed Budget Year</v>
      </c>
    </row>
    <row r="65" spans="2:5" ht="15.75">
      <c r="B65" s="351" t="str">
        <f>B5</f>
        <v>Road &amp; Bridge</v>
      </c>
      <c r="C65" s="448">
        <f t="shared" si="0"/>
        <v>2010</v>
      </c>
      <c r="D65" s="448">
        <f t="shared" si="0"/>
        <v>2011</v>
      </c>
      <c r="E65" s="311">
        <f t="shared" si="0"/>
        <v>2012</v>
      </c>
    </row>
    <row r="66" spans="2:5" ht="15.75">
      <c r="B66" s="307" t="s">
        <v>861</v>
      </c>
      <c r="C66" s="447">
        <f>C56</f>
        <v>2513802</v>
      </c>
      <c r="D66" s="447">
        <f>D56</f>
        <v>2526473</v>
      </c>
      <c r="E66" s="264">
        <f>E56</f>
        <v>821072</v>
      </c>
    </row>
    <row r="67" spans="2:5" ht="15.75">
      <c r="B67" s="300"/>
      <c r="C67" s="447"/>
      <c r="D67" s="447"/>
      <c r="E67" s="264"/>
    </row>
    <row r="68" spans="2:5" ht="15.75">
      <c r="B68" s="168"/>
      <c r="C68" s="447"/>
      <c r="D68" s="447"/>
      <c r="E68" s="264"/>
    </row>
    <row r="69" spans="2:5" ht="15.75">
      <c r="B69" s="168"/>
      <c r="C69" s="447"/>
      <c r="D69" s="447"/>
      <c r="E69" s="264"/>
    </row>
    <row r="70" spans="2:5" ht="15.75">
      <c r="B70" s="168"/>
      <c r="C70" s="447"/>
      <c r="D70" s="447"/>
      <c r="E70" s="264"/>
    </row>
    <row r="71" spans="2:5" ht="15.75">
      <c r="B71" s="168"/>
      <c r="C71" s="447"/>
      <c r="D71" s="447"/>
      <c r="E71" s="264"/>
    </row>
    <row r="72" spans="2:5" ht="15.75">
      <c r="B72" s="168"/>
      <c r="C72" s="447"/>
      <c r="D72" s="447"/>
      <c r="E72" s="264"/>
    </row>
    <row r="73" spans="2:5" ht="15.75">
      <c r="B73" s="168"/>
      <c r="C73" s="447"/>
      <c r="D73" s="447"/>
      <c r="E73" s="264"/>
    </row>
    <row r="74" spans="2:5" ht="15.75">
      <c r="B74" s="168"/>
      <c r="C74" s="458"/>
      <c r="D74" s="458"/>
      <c r="E74" s="338"/>
    </row>
    <row r="75" spans="2:5" ht="15.75">
      <c r="B75" s="168" t="s">
        <v>245</v>
      </c>
      <c r="C75" s="168"/>
      <c r="D75" s="168"/>
      <c r="E75" s="112"/>
    </row>
    <row r="76" spans="2:5" ht="15.75">
      <c r="B76" s="352"/>
      <c r="C76" s="480"/>
      <c r="D76" s="480"/>
      <c r="E76" s="131"/>
    </row>
    <row r="77" spans="2:5" ht="15.75">
      <c r="B77" s="352" t="s">
        <v>332</v>
      </c>
      <c r="C77" s="480">
        <v>536006</v>
      </c>
      <c r="D77" s="480">
        <v>550000</v>
      </c>
      <c r="E77" s="131">
        <v>565000</v>
      </c>
    </row>
    <row r="78" spans="2:5" ht="15.75">
      <c r="B78" s="352" t="s">
        <v>358</v>
      </c>
      <c r="C78" s="480">
        <v>1432197</v>
      </c>
      <c r="D78" s="480">
        <v>1350000</v>
      </c>
      <c r="E78" s="131">
        <v>1520000</v>
      </c>
    </row>
    <row r="79" spans="2:5" ht="15.75">
      <c r="B79" s="352" t="s">
        <v>359</v>
      </c>
      <c r="C79" s="480">
        <v>120357</v>
      </c>
      <c r="D79" s="480">
        <v>188700</v>
      </c>
      <c r="E79" s="131">
        <v>200000</v>
      </c>
    </row>
    <row r="80" spans="2:5" ht="15.75">
      <c r="B80" s="352" t="s">
        <v>360</v>
      </c>
      <c r="C80" s="480">
        <v>184987</v>
      </c>
      <c r="D80" s="480">
        <v>130000</v>
      </c>
      <c r="E80" s="131">
        <v>150000</v>
      </c>
    </row>
    <row r="81" spans="2:5" ht="15.75">
      <c r="B81" s="352"/>
      <c r="C81" s="480"/>
      <c r="D81" s="480"/>
      <c r="E81" s="131"/>
    </row>
    <row r="82" spans="2:5" ht="15.75">
      <c r="B82" s="352" t="s">
        <v>321</v>
      </c>
      <c r="C82" s="480">
        <v>-166947</v>
      </c>
      <c r="D82" s="480"/>
      <c r="E82" s="131"/>
    </row>
    <row r="83" spans="2:5" ht="15.75">
      <c r="B83" s="352"/>
      <c r="C83" s="480"/>
      <c r="D83" s="480"/>
      <c r="E83" s="131"/>
    </row>
    <row r="84" spans="2:5" ht="15.75">
      <c r="B84" s="352"/>
      <c r="C84" s="480"/>
      <c r="D84" s="480"/>
      <c r="E84" s="131"/>
    </row>
    <row r="85" spans="2:5" ht="15.75">
      <c r="B85" s="352"/>
      <c r="C85" s="480"/>
      <c r="D85" s="480"/>
      <c r="E85" s="131"/>
    </row>
    <row r="86" spans="2:5" ht="15.75">
      <c r="B86" s="352"/>
      <c r="C86" s="480"/>
      <c r="D86" s="480"/>
      <c r="E86" s="131"/>
    </row>
    <row r="87" spans="2:5" ht="15.75">
      <c r="B87" s="352"/>
      <c r="C87" s="480"/>
      <c r="D87" s="480"/>
      <c r="E87" s="131"/>
    </row>
    <row r="88" spans="2:5" ht="15.75">
      <c r="B88" s="352"/>
      <c r="C88" s="480"/>
      <c r="D88" s="480"/>
      <c r="E88" s="131"/>
    </row>
    <row r="89" spans="2:5" ht="15.75">
      <c r="B89" s="352"/>
      <c r="C89" s="480"/>
      <c r="D89" s="480"/>
      <c r="E89" s="131"/>
    </row>
    <row r="90" spans="2:5" ht="15.75">
      <c r="B90" s="352"/>
      <c r="C90" s="480"/>
      <c r="D90" s="480"/>
      <c r="E90" s="131"/>
    </row>
    <row r="91" spans="2:5" ht="15.75">
      <c r="B91" s="352"/>
      <c r="C91" s="480"/>
      <c r="D91" s="480"/>
      <c r="E91" s="131"/>
    </row>
    <row r="92" spans="2:5" ht="15.75">
      <c r="B92" s="352"/>
      <c r="C92" s="480"/>
      <c r="D92" s="480"/>
      <c r="E92" s="131"/>
    </row>
    <row r="93" spans="2:5" ht="15.75">
      <c r="B93" s="352"/>
      <c r="C93" s="480"/>
      <c r="D93" s="480"/>
      <c r="E93" s="131"/>
    </row>
    <row r="94" spans="2:5" ht="15.75">
      <c r="B94" s="352"/>
      <c r="C94" s="480"/>
      <c r="D94" s="480"/>
      <c r="E94" s="131"/>
    </row>
    <row r="95" spans="2:5" ht="15.75">
      <c r="B95" s="352"/>
      <c r="C95" s="480"/>
      <c r="D95" s="480"/>
      <c r="E95" s="131"/>
    </row>
    <row r="96" spans="2:5" ht="15.75">
      <c r="B96" s="352"/>
      <c r="C96" s="480"/>
      <c r="D96" s="480"/>
      <c r="E96" s="131"/>
    </row>
    <row r="97" spans="2:5" ht="15.75">
      <c r="B97" s="352"/>
      <c r="C97" s="480"/>
      <c r="D97" s="480"/>
      <c r="E97" s="131"/>
    </row>
    <row r="98" spans="2:5" ht="15.75">
      <c r="B98" s="352"/>
      <c r="C98" s="480"/>
      <c r="D98" s="480"/>
      <c r="E98" s="131"/>
    </row>
    <row r="99" spans="2:5" ht="15.75">
      <c r="B99" s="352"/>
      <c r="C99" s="480"/>
      <c r="D99" s="480"/>
      <c r="E99" s="131"/>
    </row>
    <row r="100" spans="2:5" ht="15.75">
      <c r="B100" s="352"/>
      <c r="C100" s="480"/>
      <c r="D100" s="480"/>
      <c r="E100" s="131"/>
    </row>
    <row r="101" spans="2:5" ht="15.75">
      <c r="B101" s="352"/>
      <c r="C101" s="480"/>
      <c r="D101" s="480"/>
      <c r="E101" s="131"/>
    </row>
    <row r="102" spans="2:5" ht="15.75">
      <c r="B102" s="352"/>
      <c r="C102" s="480"/>
      <c r="D102" s="480"/>
      <c r="E102" s="131"/>
    </row>
    <row r="103" spans="2:5" ht="15.75">
      <c r="B103" s="352"/>
      <c r="C103" s="480"/>
      <c r="D103" s="480"/>
      <c r="E103" s="131"/>
    </row>
    <row r="104" spans="2:5" ht="15.75">
      <c r="B104" s="352"/>
      <c r="C104" s="480"/>
      <c r="D104" s="480"/>
      <c r="E104" s="131"/>
    </row>
    <row r="105" spans="2:5" ht="15.75">
      <c r="B105" s="352"/>
      <c r="C105" s="480"/>
      <c r="D105" s="480"/>
      <c r="E105" s="131"/>
    </row>
    <row r="106" spans="2:5" ht="15.75">
      <c r="B106" s="352"/>
      <c r="C106" s="480"/>
      <c r="D106" s="480"/>
      <c r="E106" s="131"/>
    </row>
    <row r="107" spans="2:5" ht="15.75">
      <c r="B107" s="352"/>
      <c r="C107" s="480"/>
      <c r="D107" s="480"/>
      <c r="E107" s="131"/>
    </row>
    <row r="108" spans="2:5" ht="15.75">
      <c r="B108" s="352"/>
      <c r="C108" s="480"/>
      <c r="D108" s="480"/>
      <c r="E108" s="131"/>
    </row>
    <row r="109" spans="2:5" ht="15.75">
      <c r="B109" s="305" t="s">
        <v>965</v>
      </c>
      <c r="C109" s="480"/>
      <c r="D109" s="480"/>
      <c r="E109" s="317">
        <f>Nhood!E8</f>
      </c>
    </row>
    <row r="110" spans="2:5" ht="15.75">
      <c r="B110" s="305" t="s">
        <v>966</v>
      </c>
      <c r="C110" s="480"/>
      <c r="D110" s="480"/>
      <c r="E110" s="303"/>
    </row>
    <row r="111" spans="2:10" ht="15.75">
      <c r="B111" s="305" t="s">
        <v>922</v>
      </c>
      <c r="C111" s="446">
        <f>IF(C112*0.1&lt;C110,"Exceed 10% Rule","")</f>
      </c>
      <c r="D111" s="446">
        <f>IF(D112*0.1&lt;D110,"Exceed 10% Rule","")</f>
      </c>
      <c r="E111" s="333">
        <f>IF(E112*0.1&lt;E110,"Exceed 10% Rule","")</f>
      </c>
      <c r="G111" s="693" t="str">
        <f>CONCATENATE("Projected Carryover Into ",E1+1,"")</f>
        <v>Projected Carryover Into 2013</v>
      </c>
      <c r="H111" s="696"/>
      <c r="I111" s="696"/>
      <c r="J111" s="695"/>
    </row>
    <row r="112" spans="2:10" ht="15.75">
      <c r="B112" s="307" t="s">
        <v>865</v>
      </c>
      <c r="C112" s="481">
        <f>SUM(C74:C110)</f>
        <v>2106600</v>
      </c>
      <c r="D112" s="481">
        <f>SUM(D74:D110)</f>
        <v>2218700</v>
      </c>
      <c r="E112" s="355">
        <f>SUM(E74:E110)</f>
        <v>2435000</v>
      </c>
      <c r="G112" s="497"/>
      <c r="H112" s="495"/>
      <c r="I112" s="495"/>
      <c r="J112" s="498"/>
    </row>
    <row r="113" spans="2:10" ht="15.75">
      <c r="B113" s="154" t="s">
        <v>570</v>
      </c>
      <c r="C113" s="447">
        <f>C56-C112</f>
        <v>407202</v>
      </c>
      <c r="D113" s="447">
        <f>D56-D112</f>
        <v>307773</v>
      </c>
      <c r="E113" s="200" t="s">
        <v>462</v>
      </c>
      <c r="G113" s="499">
        <f>D113</f>
        <v>307773</v>
      </c>
      <c r="H113" s="500" t="str">
        <f>CONCATENATE("",E1-1," Ending Cash Balance (est.)")</f>
        <v>2011 Ending Cash Balance (est.)</v>
      </c>
      <c r="I113" s="501"/>
      <c r="J113" s="498"/>
    </row>
    <row r="114" spans="2:10" ht="15.75">
      <c r="B114" s="286" t="str">
        <f>CONCATENATE("",$E$1-2,"/",$E$1-1," Budget Authority Amount:")</f>
        <v>2010/2011 Budget Authority Amount:</v>
      </c>
      <c r="C114" s="278">
        <f>inputOth!B32</f>
        <v>2106600</v>
      </c>
      <c r="D114" s="278">
        <f>inputPrYr!D18</f>
        <v>2218700</v>
      </c>
      <c r="E114" s="200" t="s">
        <v>462</v>
      </c>
      <c r="F114" s="319"/>
      <c r="G114" s="499">
        <f>E55</f>
        <v>513299</v>
      </c>
      <c r="H114" s="502" t="str">
        <f>CONCATENATE("",E1," Non-AV Receipts (est.)")</f>
        <v>2012 Non-AV Receipts (est.)</v>
      </c>
      <c r="I114" s="501"/>
      <c r="J114" s="498"/>
    </row>
    <row r="115" spans="2:10" ht="15.75">
      <c r="B115" s="286"/>
      <c r="C115" s="700" t="s">
        <v>923</v>
      </c>
      <c r="D115" s="701"/>
      <c r="E115" s="96">
        <v>80000</v>
      </c>
      <c r="F115" s="493">
        <f>IF(E112/0.95-E112&lt;E115,"Exceeds 5%","")</f>
      </c>
      <c r="G115" s="503">
        <f>E119</f>
        <v>1744745.84</v>
      </c>
      <c r="H115" s="502" t="str">
        <f>CONCATENATE("",E1," Ad Valorem Tax (est.)")</f>
        <v>2012 Ad Valorem Tax (est.)</v>
      </c>
      <c r="I115" s="501"/>
      <c r="J115" s="498"/>
    </row>
    <row r="116" spans="2:10" ht="15.75">
      <c r="B116" s="487" t="str">
        <f>CONCATENATE(C130,"     ",D130)</f>
        <v>     </v>
      </c>
      <c r="C116" s="702" t="s">
        <v>924</v>
      </c>
      <c r="D116" s="703"/>
      <c r="E116" s="264">
        <f>E112+E115</f>
        <v>2515000</v>
      </c>
      <c r="G116" s="499">
        <f>SUM(G113:G115)</f>
        <v>2565817.84</v>
      </c>
      <c r="H116" s="502" t="str">
        <f>CONCATENATE("Total ",E1," Resources Available")</f>
        <v>Total 2012 Resources Available</v>
      </c>
      <c r="I116" s="501"/>
      <c r="J116" s="498"/>
    </row>
    <row r="117" spans="2:10" ht="15.75">
      <c r="B117" s="487" t="str">
        <f>CONCATENATE(C131,"     ",D131)</f>
        <v>     </v>
      </c>
      <c r="C117" s="320"/>
      <c r="D117" s="109" t="s">
        <v>866</v>
      </c>
      <c r="E117" s="264">
        <f>IF(E116-E56&gt;0,E116-E56,0)</f>
        <v>1693928</v>
      </c>
      <c r="G117" s="504"/>
      <c r="H117" s="502"/>
      <c r="I117" s="502"/>
      <c r="J117" s="498"/>
    </row>
    <row r="118" spans="2:10" ht="15.75">
      <c r="B118" s="286"/>
      <c r="C118" s="469" t="s">
        <v>925</v>
      </c>
      <c r="D118" s="460">
        <f>inputOth!$E$23</f>
        <v>0.03</v>
      </c>
      <c r="E118" s="264">
        <f>IF(D118&gt;0,(E117*D118),0)</f>
        <v>50817.84</v>
      </c>
      <c r="G118" s="503">
        <f>C112*0.05+C112</f>
        <v>2211930</v>
      </c>
      <c r="H118" s="502" t="str">
        <f>CONCATENATE("Less ",E1-2," Expenditures + 5%")</f>
        <v>Less 2010 Expenditures + 5%</v>
      </c>
      <c r="I118" s="501"/>
      <c r="J118" s="498"/>
    </row>
    <row r="119" spans="2:10" ht="15.75">
      <c r="B119" s="69"/>
      <c r="C119" s="698" t="str">
        <f>CONCATENATE("Amount of  ",$E$1-1," Ad Valorem Tax")</f>
        <v>Amount of  2011 Ad Valorem Tax</v>
      </c>
      <c r="D119" s="699"/>
      <c r="E119" s="338">
        <f>E117+E118</f>
        <v>1744745.84</v>
      </c>
      <c r="G119" s="509">
        <f>G116-G118</f>
        <v>353887.83999999985</v>
      </c>
      <c r="H119" s="505" t="str">
        <f>CONCATENATE("Projected ",E1," Carryover (est.)")</f>
        <v>Projected 2012 Carryover (est.)</v>
      </c>
      <c r="I119" s="506"/>
      <c r="J119" s="507"/>
    </row>
    <row r="120" spans="2:5" ht="15.75">
      <c r="B120" s="69"/>
      <c r="C120" s="69"/>
      <c r="D120" s="69"/>
      <c r="E120" s="69"/>
    </row>
    <row r="121" spans="2:5" ht="15.75">
      <c r="B121" s="83"/>
      <c r="C121" s="83" t="str">
        <f>CONCATENATE("Page No. ",C58,"a")</f>
        <v>Page No. 9a</v>
      </c>
      <c r="D121" s="191"/>
      <c r="E121" s="83"/>
    </row>
    <row r="130" spans="3:4" ht="15.75" hidden="1">
      <c r="C130" s="53">
        <f>IF(C112&gt;C114,"See Tab A","")</f>
      </c>
      <c r="D130" s="53">
        <f>IF(D112&gt;D114,"See Tab C","")</f>
      </c>
    </row>
    <row r="131" spans="3:4" ht="15.75" hidden="1">
      <c r="C131" s="53">
        <f>IF(C113&lt;0,"See Tab B","")</f>
      </c>
      <c r="D131" s="53">
        <f>IF(D113&lt;0,"See Tab D","")</f>
      </c>
    </row>
  </sheetData>
  <sheetProtection/>
  <mergeCells count="4">
    <mergeCell ref="C115:D115"/>
    <mergeCell ref="C116:D116"/>
    <mergeCell ref="G111:J111"/>
    <mergeCell ref="C119:D119"/>
  </mergeCells>
  <conditionalFormatting sqref="C53">
    <cfRule type="cellIs" priority="2" dxfId="350" operator="greaterThan" stopIfTrue="1">
      <formula>$C$55*0.1</formula>
    </cfRule>
  </conditionalFormatting>
  <conditionalFormatting sqref="D53">
    <cfRule type="cellIs" priority="3" dxfId="350" operator="greaterThan" stopIfTrue="1">
      <formula>$D$55*0.1</formula>
    </cfRule>
  </conditionalFormatting>
  <conditionalFormatting sqref="E110">
    <cfRule type="cellIs" priority="4" dxfId="350" operator="greaterThan" stopIfTrue="1">
      <formula>$E$112*0.1</formula>
    </cfRule>
  </conditionalFormatting>
  <conditionalFormatting sqref="E115">
    <cfRule type="cellIs" priority="5" dxfId="350" operator="greaterThan" stopIfTrue="1">
      <formula>$E$112/0.95-$E$112</formula>
    </cfRule>
  </conditionalFormatting>
  <conditionalFormatting sqref="E53">
    <cfRule type="cellIs" priority="6" dxfId="350" operator="greaterThan" stopIfTrue="1">
      <formula>$E$55*0.1+E119</formula>
    </cfRule>
  </conditionalFormatting>
  <conditionalFormatting sqref="C110">
    <cfRule type="cellIs" priority="7" dxfId="2" operator="greaterThan" stopIfTrue="1">
      <formula>$C$112*0.1</formula>
    </cfRule>
  </conditionalFormatting>
  <conditionalFormatting sqref="D110">
    <cfRule type="cellIs" priority="8" dxfId="2" operator="greaterThan" stopIfTrue="1">
      <formula>$D$112*0.1</formula>
    </cfRule>
  </conditionalFormatting>
  <conditionalFormatting sqref="C112">
    <cfRule type="cellIs" priority="9" dxfId="2" operator="greaterThan" stopIfTrue="1">
      <formula>$C$114</formula>
    </cfRule>
  </conditionalFormatting>
  <conditionalFormatting sqref="D112">
    <cfRule type="cellIs" priority="10" dxfId="2" operator="greaterThan" stopIfTrue="1">
      <formula>$D$114</formula>
    </cfRule>
  </conditionalFormatting>
  <conditionalFormatting sqref="C113">
    <cfRule type="cellIs" priority="11" dxfId="2" operator="lessThan" stopIfTrue="1">
      <formula>0</formula>
    </cfRule>
  </conditionalFormatting>
  <conditionalFormatting sqref="D113">
    <cfRule type="cellIs" priority="1" dxfId="0" operator="lessThan" stopIfTrue="1">
      <formula>0</formula>
    </cfRule>
  </conditionalFormatting>
  <printOptions/>
  <pageMargins left="0.75" right="0.75" top="1" bottom="1" header="0.5" footer="0.5"/>
  <pageSetup blackAndWhite="1" fitToHeight="2" horizontalDpi="600" verticalDpi="600" orientation="portrait" scale="65" r:id="rId1"/>
  <headerFooter alignWithMargins="0">
    <oddHeader>&amp;RState of Kansas
County</oddHeader>
  </headerFooter>
  <rowBreaks count="1" manualBreakCount="1">
    <brk id="59" max="255" man="1"/>
  </rowBreaks>
</worksheet>
</file>

<file path=xl/worksheets/sheet18.xml><?xml version="1.0" encoding="utf-8"?>
<worksheet xmlns="http://schemas.openxmlformats.org/spreadsheetml/2006/main" xmlns:r="http://schemas.openxmlformats.org/officeDocument/2006/relationships">
  <sheetPr>
    <pageSetUpPr fitToPage="1"/>
  </sheetPr>
  <dimension ref="B1:E46"/>
  <sheetViews>
    <sheetView zoomScalePageLayoutView="0" workbookViewId="0" topLeftCell="A1">
      <selection activeCell="C4" sqref="C4"/>
    </sheetView>
  </sheetViews>
  <sheetFormatPr defaultColWidth="8.796875" defaultRowHeight="15"/>
  <cols>
    <col min="1" max="1" width="2.3984375" style="53" customWidth="1"/>
    <col min="2" max="2" width="28.296875" style="53" customWidth="1"/>
    <col min="3" max="4" width="15.796875" style="53" customWidth="1"/>
    <col min="5" max="5" width="16.19921875" style="53" customWidth="1"/>
    <col min="6" max="16384" width="8.8984375" style="53" customWidth="1"/>
  </cols>
  <sheetData>
    <row r="1" spans="2:5" ht="15.75">
      <c r="B1" s="205" t="str">
        <f>inputPrYr!C3</f>
        <v>MORRIS COUNTY</v>
      </c>
      <c r="C1" s="69"/>
      <c r="D1" s="191"/>
      <c r="E1" s="69">
        <f>inputPrYr!C5</f>
        <v>2012</v>
      </c>
    </row>
    <row r="2" spans="2:5" ht="15.75">
      <c r="B2" s="69"/>
      <c r="C2" s="69"/>
      <c r="D2" s="69"/>
      <c r="E2" s="191"/>
    </row>
    <row r="3" spans="2:5" ht="15.75">
      <c r="B3" s="214" t="s">
        <v>976</v>
      </c>
      <c r="C3" s="310"/>
      <c r="D3" s="310"/>
      <c r="E3" s="310"/>
    </row>
    <row r="4" spans="2:5" ht="15.75">
      <c r="B4" s="191" t="s">
        <v>851</v>
      </c>
      <c r="C4" s="535" t="s">
        <v>479</v>
      </c>
      <c r="D4" s="536" t="s">
        <v>226</v>
      </c>
      <c r="E4" s="536" t="s">
        <v>227</v>
      </c>
    </row>
    <row r="5" spans="2:5" ht="15.75">
      <c r="B5" s="475" t="s">
        <v>926</v>
      </c>
      <c r="C5" s="311">
        <f>E1-2</f>
        <v>2010</v>
      </c>
      <c r="D5" s="311">
        <f>E1-1</f>
        <v>2011</v>
      </c>
      <c r="E5" s="311">
        <f>E1</f>
        <v>2012</v>
      </c>
    </row>
    <row r="6" spans="2:5" ht="15.75">
      <c r="B6" s="261" t="s">
        <v>864</v>
      </c>
      <c r="C6" s="112"/>
      <c r="D6" s="112"/>
      <c r="E6" s="112"/>
    </row>
    <row r="7" spans="2:5" ht="15.75">
      <c r="B7" s="341" t="s">
        <v>980</v>
      </c>
      <c r="C7" s="112"/>
      <c r="D7" s="112"/>
      <c r="E7" s="112"/>
    </row>
    <row r="8" spans="2:5" ht="15.75">
      <c r="B8" s="342" t="s">
        <v>869</v>
      </c>
      <c r="C8" s="303"/>
      <c r="D8" s="303"/>
      <c r="E8" s="303"/>
    </row>
    <row r="9" spans="2:5" ht="15.75">
      <c r="B9" s="342" t="s">
        <v>870</v>
      </c>
      <c r="C9" s="303"/>
      <c r="D9" s="303"/>
      <c r="E9" s="303"/>
    </row>
    <row r="10" spans="2:5" ht="15.75">
      <c r="B10" s="342" t="s">
        <v>871</v>
      </c>
      <c r="C10" s="303"/>
      <c r="D10" s="303"/>
      <c r="E10" s="303"/>
    </row>
    <row r="11" spans="2:5" ht="15.75">
      <c r="B11" s="342" t="s">
        <v>872</v>
      </c>
      <c r="C11" s="303"/>
      <c r="D11" s="303"/>
      <c r="E11" s="303"/>
    </row>
    <row r="12" spans="2:5" ht="15.75">
      <c r="B12" s="261" t="s">
        <v>446</v>
      </c>
      <c r="C12" s="317">
        <f>SUM(C8:C11)</f>
        <v>0</v>
      </c>
      <c r="D12" s="317">
        <f>SUM(D8:D11)</f>
        <v>0</v>
      </c>
      <c r="E12" s="317">
        <f>SUM(E8:E11)</f>
        <v>0</v>
      </c>
    </row>
    <row r="13" spans="2:5" ht="15.75">
      <c r="B13" s="341" t="s">
        <v>981</v>
      </c>
      <c r="C13" s="112"/>
      <c r="D13" s="112"/>
      <c r="E13" s="112"/>
    </row>
    <row r="14" spans="2:5" ht="15.75">
      <c r="B14" s="342" t="s">
        <v>869</v>
      </c>
      <c r="C14" s="303"/>
      <c r="D14" s="303"/>
      <c r="E14" s="303"/>
    </row>
    <row r="15" spans="2:5" ht="15.75">
      <c r="B15" s="342" t="s">
        <v>870</v>
      </c>
      <c r="C15" s="303"/>
      <c r="D15" s="303"/>
      <c r="E15" s="303"/>
    </row>
    <row r="16" spans="2:5" ht="15.75">
      <c r="B16" s="342" t="s">
        <v>871</v>
      </c>
      <c r="C16" s="303"/>
      <c r="D16" s="303"/>
      <c r="E16" s="303"/>
    </row>
    <row r="17" spans="2:5" ht="15.75">
      <c r="B17" s="342" t="s">
        <v>872</v>
      </c>
      <c r="C17" s="303"/>
      <c r="D17" s="303"/>
      <c r="E17" s="303"/>
    </row>
    <row r="18" spans="2:5" ht="15.75">
      <c r="B18" s="261" t="s">
        <v>446</v>
      </c>
      <c r="C18" s="317">
        <f>SUM(C14:C17)</f>
        <v>0</v>
      </c>
      <c r="D18" s="317">
        <f>SUM(D14:D17)</f>
        <v>0</v>
      </c>
      <c r="E18" s="317">
        <f>SUM(E14:E17)</f>
        <v>0</v>
      </c>
    </row>
    <row r="19" spans="2:5" ht="15.75">
      <c r="B19" s="341" t="s">
        <v>982</v>
      </c>
      <c r="C19" s="112"/>
      <c r="D19" s="112"/>
      <c r="E19" s="112"/>
    </row>
    <row r="20" spans="2:5" ht="15.75">
      <c r="B20" s="342" t="s">
        <v>869</v>
      </c>
      <c r="C20" s="303"/>
      <c r="D20" s="303"/>
      <c r="E20" s="303"/>
    </row>
    <row r="21" spans="2:5" ht="15.75">
      <c r="B21" s="342" t="s">
        <v>870</v>
      </c>
      <c r="C21" s="303"/>
      <c r="D21" s="303"/>
      <c r="E21" s="303"/>
    </row>
    <row r="22" spans="2:5" ht="15.75">
      <c r="B22" s="342" t="s">
        <v>871</v>
      </c>
      <c r="C22" s="303"/>
      <c r="D22" s="303"/>
      <c r="E22" s="303"/>
    </row>
    <row r="23" spans="2:5" ht="15.75">
      <c r="B23" s="342" t="s">
        <v>872</v>
      </c>
      <c r="C23" s="303"/>
      <c r="D23" s="303"/>
      <c r="E23" s="303"/>
    </row>
    <row r="24" spans="2:5" ht="15.75">
      <c r="B24" s="261" t="s">
        <v>446</v>
      </c>
      <c r="C24" s="317">
        <f>SUM(C20:C23)</f>
        <v>0</v>
      </c>
      <c r="D24" s="317">
        <f>SUM(D20:D23)</f>
        <v>0</v>
      </c>
      <c r="E24" s="317">
        <f>SUM(E20:E23)</f>
        <v>0</v>
      </c>
    </row>
    <row r="25" spans="2:5" ht="15.75">
      <c r="B25" s="341" t="s">
        <v>983</v>
      </c>
      <c r="C25" s="112"/>
      <c r="D25" s="112"/>
      <c r="E25" s="112"/>
    </row>
    <row r="26" spans="2:5" ht="15.75">
      <c r="B26" s="342" t="s">
        <v>869</v>
      </c>
      <c r="C26" s="303"/>
      <c r="D26" s="303"/>
      <c r="E26" s="303"/>
    </row>
    <row r="27" spans="2:5" ht="15.75">
      <c r="B27" s="342" t="s">
        <v>870</v>
      </c>
      <c r="C27" s="303"/>
      <c r="D27" s="303"/>
      <c r="E27" s="303"/>
    </row>
    <row r="28" spans="2:5" ht="15.75">
      <c r="B28" s="342" t="s">
        <v>871</v>
      </c>
      <c r="C28" s="303"/>
      <c r="D28" s="303"/>
      <c r="E28" s="303"/>
    </row>
    <row r="29" spans="2:5" ht="15.75">
      <c r="B29" s="342" t="s">
        <v>872</v>
      </c>
      <c r="C29" s="303"/>
      <c r="D29" s="303"/>
      <c r="E29" s="303"/>
    </row>
    <row r="30" spans="2:5" ht="15.75">
      <c r="B30" s="261" t="s">
        <v>446</v>
      </c>
      <c r="C30" s="317">
        <f>SUM(C26:C29)</f>
        <v>0</v>
      </c>
      <c r="D30" s="317">
        <f>SUM(D26:D29)</f>
        <v>0</v>
      </c>
      <c r="E30" s="317">
        <f>SUM(E26:E29)</f>
        <v>0</v>
      </c>
    </row>
    <row r="31" spans="2:5" ht="15.75">
      <c r="B31" s="341" t="s">
        <v>984</v>
      </c>
      <c r="C31" s="112"/>
      <c r="D31" s="112"/>
      <c r="E31" s="112"/>
    </row>
    <row r="32" spans="2:5" ht="15.75">
      <c r="B32" s="342" t="s">
        <v>869</v>
      </c>
      <c r="C32" s="303"/>
      <c r="D32" s="303"/>
      <c r="E32" s="303"/>
    </row>
    <row r="33" spans="2:5" ht="15.75">
      <c r="B33" s="342" t="s">
        <v>870</v>
      </c>
      <c r="C33" s="303"/>
      <c r="D33" s="303"/>
      <c r="E33" s="303"/>
    </row>
    <row r="34" spans="2:5" ht="15.75">
      <c r="B34" s="342" t="s">
        <v>871</v>
      </c>
      <c r="C34" s="303"/>
      <c r="D34" s="303"/>
      <c r="E34" s="303"/>
    </row>
    <row r="35" spans="2:5" ht="15.75">
      <c r="B35" s="342" t="s">
        <v>872</v>
      </c>
      <c r="C35" s="303"/>
      <c r="D35" s="303"/>
      <c r="E35" s="303"/>
    </row>
    <row r="36" spans="2:5" ht="15.75">
      <c r="B36" s="261" t="s">
        <v>446</v>
      </c>
      <c r="C36" s="317">
        <f>SUM(C32:C35)</f>
        <v>0</v>
      </c>
      <c r="D36" s="317">
        <f>SUM(D32:D35)</f>
        <v>0</v>
      </c>
      <c r="E36" s="317">
        <f>SUM(E32:E35)</f>
        <v>0</v>
      </c>
    </row>
    <row r="37" spans="2:5" ht="15.75">
      <c r="B37" s="341" t="s">
        <v>476</v>
      </c>
      <c r="C37" s="112"/>
      <c r="D37" s="112"/>
      <c r="E37" s="112"/>
    </row>
    <row r="38" spans="2:5" ht="15.75">
      <c r="B38" s="342" t="s">
        <v>869</v>
      </c>
      <c r="C38" s="303"/>
      <c r="D38" s="303"/>
      <c r="E38" s="303"/>
    </row>
    <row r="39" spans="2:5" ht="15.75">
      <c r="B39" s="342" t="s">
        <v>870</v>
      </c>
      <c r="C39" s="303"/>
      <c r="D39" s="303"/>
      <c r="E39" s="303"/>
    </row>
    <row r="40" spans="2:5" ht="15.75">
      <c r="B40" s="342" t="s">
        <v>871</v>
      </c>
      <c r="C40" s="303"/>
      <c r="D40" s="303"/>
      <c r="E40" s="303"/>
    </row>
    <row r="41" spans="2:5" ht="15.75">
      <c r="B41" s="342" t="s">
        <v>872</v>
      </c>
      <c r="C41" s="303"/>
      <c r="D41" s="303"/>
      <c r="E41" s="303"/>
    </row>
    <row r="42" spans="2:5" ht="15.75">
      <c r="B42" s="261" t="s">
        <v>446</v>
      </c>
      <c r="C42" s="317">
        <f>SUM(C38:C41)</f>
        <v>0</v>
      </c>
      <c r="D42" s="317">
        <f>SUM(D38:D41)</f>
        <v>0</v>
      </c>
      <c r="E42" s="317">
        <f>SUM(E38:E41)</f>
        <v>0</v>
      </c>
    </row>
    <row r="43" spans="2:5" ht="15.75">
      <c r="B43" s="69" t="s">
        <v>263</v>
      </c>
      <c r="C43" s="313">
        <f>SUM(C12+C18+C24+C30+C36+C42)</f>
        <v>0</v>
      </c>
      <c r="D43" s="313">
        <f>SUM(D12+D18+D24+D30+D36+D42)</f>
        <v>0</v>
      </c>
      <c r="E43" s="313">
        <f>SUM(E12+E18+E24+E30+E36+E42)</f>
        <v>0</v>
      </c>
    </row>
    <row r="44" spans="2:5" ht="15.75">
      <c r="B44" s="69"/>
      <c r="C44" s="71"/>
      <c r="D44" s="71"/>
      <c r="E44" s="71"/>
    </row>
    <row r="45" spans="2:5" ht="15.75">
      <c r="B45" s="707" t="s">
        <v>284</v>
      </c>
      <c r="C45" s="708"/>
      <c r="D45" s="708"/>
      <c r="E45" s="71"/>
    </row>
    <row r="46" spans="2:5" ht="15.75">
      <c r="B46" s="286"/>
      <c r="C46" s="86" t="str">
        <f>CONCATENATE("Page No.",road!C58,"b")</f>
        <v>Page No.9b</v>
      </c>
      <c r="D46" s="69"/>
      <c r="E46" s="69"/>
    </row>
  </sheetData>
  <sheetProtection sheet="1"/>
  <mergeCells count="1">
    <mergeCell ref="B45:D45"/>
  </mergeCells>
  <printOptions/>
  <pageMargins left="1.12" right="0.5" top="0.74" bottom="0.34" header="0.5" footer="0"/>
  <pageSetup blackAndWhite="1" fitToHeight="1" fitToWidth="1" horizontalDpi="300" verticalDpi="300" orientation="portrait" scale="87" r:id="rId1"/>
  <headerFooter alignWithMargins="0">
    <oddHeader>&amp;RState of Kansas
County
</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F88"/>
  <sheetViews>
    <sheetView zoomScalePageLayoutView="0" workbookViewId="0" topLeftCell="A61">
      <selection activeCell="E73" sqref="E73"/>
    </sheetView>
  </sheetViews>
  <sheetFormatPr defaultColWidth="8.796875" defaultRowHeight="15"/>
  <cols>
    <col min="1" max="1" width="2.3984375" style="53" customWidth="1"/>
    <col min="2" max="2" width="31.09765625" style="53" customWidth="1"/>
    <col min="3" max="4" width="15.796875" style="53" customWidth="1"/>
    <col min="5" max="5" width="16.3984375" style="53" customWidth="1"/>
    <col min="6" max="16384" width="8.8984375" style="53" customWidth="1"/>
  </cols>
  <sheetData>
    <row r="1" spans="2:5" ht="15.75">
      <c r="B1" s="205" t="str">
        <f>(inputPrYr!C3)</f>
        <v>MORRIS COUNTY</v>
      </c>
      <c r="C1" s="69"/>
      <c r="D1" s="69"/>
      <c r="E1" s="285">
        <f>inputPrYr!C5</f>
        <v>2012</v>
      </c>
    </row>
    <row r="2" spans="2:5" ht="15.75">
      <c r="B2" s="69"/>
      <c r="C2" s="69"/>
      <c r="D2" s="69"/>
      <c r="E2" s="109"/>
    </row>
    <row r="3" spans="2:5" ht="15.75">
      <c r="B3" s="484" t="s">
        <v>528</v>
      </c>
      <c r="C3" s="146"/>
      <c r="D3" s="146"/>
      <c r="E3" s="146"/>
    </row>
    <row r="4" spans="2:5" ht="15.75">
      <c r="B4" s="68" t="s">
        <v>851</v>
      </c>
      <c r="C4" s="539" t="s">
        <v>479</v>
      </c>
      <c r="D4" s="540" t="s">
        <v>226</v>
      </c>
      <c r="E4" s="536" t="s">
        <v>227</v>
      </c>
    </row>
    <row r="5" spans="2:5" ht="15.75">
      <c r="B5" s="472" t="str">
        <f>inputPrYr!$B$19</f>
        <v>Special Bridge</v>
      </c>
      <c r="C5" s="448">
        <f>E1-2</f>
        <v>2010</v>
      </c>
      <c r="D5" s="448">
        <f>E1-1</f>
        <v>2011</v>
      </c>
      <c r="E5" s="311">
        <f>E1</f>
        <v>2012</v>
      </c>
    </row>
    <row r="6" spans="2:5" ht="15.75">
      <c r="B6" s="154" t="s">
        <v>569</v>
      </c>
      <c r="C6" s="480">
        <v>37397</v>
      </c>
      <c r="D6" s="447">
        <f>C34</f>
        <v>30929</v>
      </c>
      <c r="E6" s="264">
        <f>D34</f>
        <v>31165</v>
      </c>
    </row>
    <row r="7" spans="2:5" ht="15.75">
      <c r="B7" s="289" t="s">
        <v>571</v>
      </c>
      <c r="C7" s="168"/>
      <c r="D7" s="168"/>
      <c r="E7" s="112"/>
    </row>
    <row r="8" spans="2:5" ht="15.75">
      <c r="B8" s="154" t="s">
        <v>852</v>
      </c>
      <c r="C8" s="480">
        <v>82757</v>
      </c>
      <c r="D8" s="447">
        <f>inputPrYr!E19</f>
        <v>88784</v>
      </c>
      <c r="E8" s="326" t="s">
        <v>462</v>
      </c>
    </row>
    <row r="9" spans="2:5" ht="15.75">
      <c r="B9" s="154" t="s">
        <v>853</v>
      </c>
      <c r="C9" s="480">
        <v>641</v>
      </c>
      <c r="D9" s="480">
        <v>1880</v>
      </c>
      <c r="E9" s="96"/>
    </row>
    <row r="10" spans="2:5" ht="15.75">
      <c r="B10" s="154" t="s">
        <v>854</v>
      </c>
      <c r="C10" s="480">
        <v>5341</v>
      </c>
      <c r="D10" s="480">
        <v>8683</v>
      </c>
      <c r="E10" s="264">
        <f>mvalloc!D11</f>
        <v>8390</v>
      </c>
    </row>
    <row r="11" spans="2:5" ht="15.75">
      <c r="B11" s="154" t="s">
        <v>855</v>
      </c>
      <c r="C11" s="480">
        <v>151</v>
      </c>
      <c r="D11" s="480">
        <v>246</v>
      </c>
      <c r="E11" s="264">
        <f>mvalloc!E11</f>
        <v>224</v>
      </c>
    </row>
    <row r="12" spans="2:5" ht="15.75">
      <c r="B12" s="168" t="s">
        <v>520</v>
      </c>
      <c r="C12" s="480">
        <v>523</v>
      </c>
      <c r="D12" s="480">
        <v>643</v>
      </c>
      <c r="E12" s="264">
        <f>mvalloc!F11</f>
        <v>679</v>
      </c>
    </row>
    <row r="13" spans="2:5" ht="15.75">
      <c r="B13" s="168" t="s">
        <v>232</v>
      </c>
      <c r="C13" s="480"/>
      <c r="D13" s="480"/>
      <c r="E13" s="264">
        <f>mvalloc!G11</f>
        <v>0</v>
      </c>
    </row>
    <row r="14" spans="2:5" ht="15.75">
      <c r="B14" s="316" t="s">
        <v>361</v>
      </c>
      <c r="C14" s="480">
        <v>2474</v>
      </c>
      <c r="D14" s="480"/>
      <c r="E14" s="96"/>
    </row>
    <row r="15" spans="2:5" ht="15.75">
      <c r="B15" s="316"/>
      <c r="C15" s="480"/>
      <c r="D15" s="480"/>
      <c r="E15" s="96"/>
    </row>
    <row r="16" spans="2:5" ht="15.75">
      <c r="B16" s="316"/>
      <c r="C16" s="480"/>
      <c r="D16" s="480"/>
      <c r="E16" s="96"/>
    </row>
    <row r="17" spans="2:5" ht="15.75">
      <c r="B17" s="304" t="s">
        <v>859</v>
      </c>
      <c r="C17" s="480"/>
      <c r="D17" s="480"/>
      <c r="E17" s="96"/>
    </row>
    <row r="18" spans="2:5" ht="15.75">
      <c r="B18" s="305" t="s">
        <v>966</v>
      </c>
      <c r="C18" s="480"/>
      <c r="D18" s="480"/>
      <c r="E18" s="96"/>
    </row>
    <row r="19" spans="2:5" ht="15.75">
      <c r="B19" s="305" t="s">
        <v>968</v>
      </c>
      <c r="C19" s="446">
        <f>IF(C20*0.1&lt;C18,"Exceed 10% Rule","")</f>
      </c>
      <c r="D19" s="446">
        <f>IF(D20*0.1&lt;D18,"Exceed 10% Rule","")</f>
      </c>
      <c r="E19" s="333">
        <f>IF(E20*0.1+E40&lt;E18,"Exceed 10% Rule","")</f>
      </c>
    </row>
    <row r="20" spans="2:5" ht="15.75">
      <c r="B20" s="307" t="s">
        <v>860</v>
      </c>
      <c r="C20" s="450">
        <f>SUM(C8:C18)</f>
        <v>91887</v>
      </c>
      <c r="D20" s="450">
        <f>SUM(D8:D18)</f>
        <v>100236</v>
      </c>
      <c r="E20" s="353">
        <f>SUM(E8:E18)</f>
        <v>9293</v>
      </c>
    </row>
    <row r="21" spans="2:5" ht="15.75">
      <c r="B21" s="307" t="s">
        <v>861</v>
      </c>
      <c r="C21" s="450">
        <f>C6+C20</f>
        <v>129284</v>
      </c>
      <c r="D21" s="450">
        <f>D6+D20</f>
        <v>131165</v>
      </c>
      <c r="E21" s="353">
        <f>E6+E20</f>
        <v>40458</v>
      </c>
    </row>
    <row r="22" spans="2:5" ht="15.75">
      <c r="B22" s="154" t="s">
        <v>864</v>
      </c>
      <c r="C22" s="305"/>
      <c r="D22" s="305"/>
      <c r="E22" s="164"/>
    </row>
    <row r="23" spans="2:5" ht="15.75">
      <c r="B23" s="316"/>
      <c r="C23" s="480"/>
      <c r="D23" s="480"/>
      <c r="E23" s="96"/>
    </row>
    <row r="24" spans="2:5" ht="15.75">
      <c r="B24" s="316" t="s">
        <v>358</v>
      </c>
      <c r="C24" s="480">
        <v>36055</v>
      </c>
      <c r="D24" s="480">
        <v>40000</v>
      </c>
      <c r="E24" s="96">
        <v>50000</v>
      </c>
    </row>
    <row r="25" spans="2:5" ht="15.75">
      <c r="B25" s="316" t="s">
        <v>359</v>
      </c>
      <c r="C25" s="480">
        <v>62300</v>
      </c>
      <c r="D25" s="480">
        <v>60000</v>
      </c>
      <c r="E25" s="96">
        <v>70000</v>
      </c>
    </row>
    <row r="26" spans="2:5" ht="15.75">
      <c r="B26" s="316"/>
      <c r="C26" s="480"/>
      <c r="D26" s="480"/>
      <c r="E26" s="96"/>
    </row>
    <row r="27" spans="2:5" ht="15.75">
      <c r="B27" s="316"/>
      <c r="C27" s="480"/>
      <c r="D27" s="480"/>
      <c r="E27" s="96"/>
    </row>
    <row r="28" spans="2:5" ht="15.75">
      <c r="B28" s="316"/>
      <c r="C28" s="480"/>
      <c r="D28" s="480"/>
      <c r="E28" s="96"/>
    </row>
    <row r="29" spans="2:5" ht="15.75">
      <c r="B29" s="316"/>
      <c r="C29" s="480"/>
      <c r="D29" s="480"/>
      <c r="E29" s="96"/>
    </row>
    <row r="30" spans="2:5" ht="15.75">
      <c r="B30" s="305" t="s">
        <v>965</v>
      </c>
      <c r="C30" s="480"/>
      <c r="D30" s="480"/>
      <c r="E30" s="100">
        <f>Nhood!E9</f>
      </c>
    </row>
    <row r="31" spans="2:5" ht="15.75">
      <c r="B31" s="305" t="s">
        <v>966</v>
      </c>
      <c r="C31" s="480"/>
      <c r="D31" s="480"/>
      <c r="E31" s="96"/>
    </row>
    <row r="32" spans="2:5" ht="15.75">
      <c r="B32" s="305" t="s">
        <v>967</v>
      </c>
      <c r="C32" s="446">
        <f>IF(C33*0.1&lt;C31,"Exceed 10% Rule","")</f>
      </c>
      <c r="D32" s="446">
        <f>IF(D33*0.1&lt;D31,"Exceed 10% Rule","")</f>
      </c>
      <c r="E32" s="333">
        <f>IF(E33*0.1&lt;E31,"Exceed 10% Rule","")</f>
      </c>
    </row>
    <row r="33" spans="2:5" ht="15.75">
      <c r="B33" s="307" t="s">
        <v>865</v>
      </c>
      <c r="C33" s="450">
        <f>SUM(C23:C31)</f>
        <v>98355</v>
      </c>
      <c r="D33" s="450">
        <f>SUM(D23:D31)</f>
        <v>100000</v>
      </c>
      <c r="E33" s="353">
        <f>SUM(E23:E31)</f>
        <v>120000</v>
      </c>
    </row>
    <row r="34" spans="2:5" ht="15.75">
      <c r="B34" s="154" t="s">
        <v>570</v>
      </c>
      <c r="C34" s="445">
        <f>C21-C33</f>
        <v>30929</v>
      </c>
      <c r="D34" s="445">
        <f>D21-D33</f>
        <v>31165</v>
      </c>
      <c r="E34" s="326" t="s">
        <v>462</v>
      </c>
    </row>
    <row r="35" spans="2:6" ht="15.75">
      <c r="B35" s="286" t="str">
        <f>CONCATENATE("",$E$1-2,"/",$E$1-1," Budget Authority Amount:")</f>
        <v>2010/2011 Budget Authority Amount:</v>
      </c>
      <c r="C35" s="278">
        <f>inputOth!B33</f>
        <v>110000</v>
      </c>
      <c r="D35" s="278">
        <f>inputPrYr!D19</f>
        <v>110000</v>
      </c>
      <c r="E35" s="326" t="s">
        <v>462</v>
      </c>
      <c r="F35" s="319"/>
    </row>
    <row r="36" spans="2:6" ht="15.75">
      <c r="B36" s="286"/>
      <c r="C36" s="700" t="s">
        <v>923</v>
      </c>
      <c r="D36" s="701"/>
      <c r="E36" s="96">
        <v>4000</v>
      </c>
      <c r="F36" s="319">
        <f>IF(E33/0.95-E33&lt;E36,"Exceeds 5%","")</f>
      </c>
    </row>
    <row r="37" spans="2:5" ht="15.75">
      <c r="B37" s="487" t="str">
        <f>CONCATENATE(C85,"     ",D85)</f>
        <v>     </v>
      </c>
      <c r="C37" s="702" t="s">
        <v>924</v>
      </c>
      <c r="D37" s="703"/>
      <c r="E37" s="264">
        <f>E33+E36</f>
        <v>124000</v>
      </c>
    </row>
    <row r="38" spans="2:5" ht="15.75">
      <c r="B38" s="487" t="str">
        <f>CONCATENATE(C86,"      ",D86)</f>
        <v>      </v>
      </c>
      <c r="C38" s="320"/>
      <c r="D38" s="109" t="s">
        <v>866</v>
      </c>
      <c r="E38" s="100">
        <f>IF(E37-E21&gt;0,E37-E21,0)</f>
        <v>83542</v>
      </c>
    </row>
    <row r="39" spans="2:5" ht="15.75">
      <c r="B39" s="354"/>
      <c r="C39" s="469" t="s">
        <v>925</v>
      </c>
      <c r="D39" s="460">
        <f>inputOth!$E$23</f>
        <v>0.03</v>
      </c>
      <c r="E39" s="264">
        <f>ROUND(IF(D39&gt;0,(E38*D39),0),0)</f>
        <v>2506</v>
      </c>
    </row>
    <row r="40" spans="2:5" ht="15.75">
      <c r="B40" s="69"/>
      <c r="C40" s="698" t="str">
        <f>CONCATENATE("Amount of  ",$E$1-1," Ad Valorem Tax")</f>
        <v>Amount of  2011 Ad Valorem Tax</v>
      </c>
      <c r="D40" s="699"/>
      <c r="E40" s="338">
        <f>E38+E39</f>
        <v>86048</v>
      </c>
    </row>
    <row r="41" spans="2:5" ht="15.75">
      <c r="B41" s="69"/>
      <c r="C41" s="146"/>
      <c r="D41" s="146"/>
      <c r="E41" s="146"/>
    </row>
    <row r="42" spans="2:5" ht="15.75">
      <c r="B42" s="68" t="s">
        <v>851</v>
      </c>
      <c r="C42" s="539" t="str">
        <f aca="true" t="shared" si="0" ref="C42:E43">C4</f>
        <v>Prior Year Actual</v>
      </c>
      <c r="D42" s="540" t="str">
        <f t="shared" si="0"/>
        <v>Current Year Estimate</v>
      </c>
      <c r="E42" s="536" t="str">
        <f t="shared" si="0"/>
        <v>Proposed Budget Year</v>
      </c>
    </row>
    <row r="43" spans="2:5" ht="15.75">
      <c r="B43" s="472" t="str">
        <f>inputPrYr!$B$20</f>
        <v>Reappraisal</v>
      </c>
      <c r="C43" s="448">
        <f t="shared" si="0"/>
        <v>2010</v>
      </c>
      <c r="D43" s="448">
        <f t="shared" si="0"/>
        <v>2011</v>
      </c>
      <c r="E43" s="311">
        <f t="shared" si="0"/>
        <v>2012</v>
      </c>
    </row>
    <row r="44" spans="2:5" ht="15.75">
      <c r="B44" s="154" t="s">
        <v>569</v>
      </c>
      <c r="C44" s="480">
        <v>37918</v>
      </c>
      <c r="D44" s="447">
        <f>C71</f>
        <v>62580</v>
      </c>
      <c r="E44" s="264">
        <f>D71</f>
        <v>59476</v>
      </c>
    </row>
    <row r="45" spans="2:5" ht="15.75">
      <c r="B45" s="300" t="s">
        <v>571</v>
      </c>
      <c r="C45" s="168"/>
      <c r="D45" s="168"/>
      <c r="E45" s="112"/>
    </row>
    <row r="46" spans="2:5" ht="15.75">
      <c r="B46" s="154" t="s">
        <v>852</v>
      </c>
      <c r="C46" s="480">
        <v>132543</v>
      </c>
      <c r="D46" s="447">
        <f>inputPrYr!E20</f>
        <v>128784</v>
      </c>
      <c r="E46" s="326" t="s">
        <v>462</v>
      </c>
    </row>
    <row r="47" spans="2:5" ht="15.75">
      <c r="B47" s="154" t="s">
        <v>853</v>
      </c>
      <c r="C47" s="480">
        <v>1421</v>
      </c>
      <c r="D47" s="480">
        <v>3554</v>
      </c>
      <c r="E47" s="96"/>
    </row>
    <row r="48" spans="2:5" ht="15.75">
      <c r="B48" s="154" t="s">
        <v>854</v>
      </c>
      <c r="C48" s="480">
        <v>13568</v>
      </c>
      <c r="D48" s="480">
        <v>13932</v>
      </c>
      <c r="E48" s="264">
        <f>mvalloc!D12</f>
        <v>12170</v>
      </c>
    </row>
    <row r="49" spans="2:5" ht="15.75">
      <c r="B49" s="154" t="s">
        <v>855</v>
      </c>
      <c r="C49" s="480">
        <v>389</v>
      </c>
      <c r="D49" s="480">
        <v>394</v>
      </c>
      <c r="E49" s="264">
        <f>mvalloc!E12</f>
        <v>325</v>
      </c>
    </row>
    <row r="50" spans="2:5" ht="15.75">
      <c r="B50" s="168" t="s">
        <v>520</v>
      </c>
      <c r="C50" s="480">
        <v>1040</v>
      </c>
      <c r="D50" s="480">
        <v>1032</v>
      </c>
      <c r="E50" s="264">
        <f>mvalloc!F12</f>
        <v>984</v>
      </c>
    </row>
    <row r="51" spans="2:5" ht="15.75">
      <c r="B51" s="168" t="s">
        <v>232</v>
      </c>
      <c r="C51" s="480"/>
      <c r="D51" s="480"/>
      <c r="E51" s="264">
        <f>mvalloc!G12</f>
        <v>0</v>
      </c>
    </row>
    <row r="52" spans="2:5" ht="15.75">
      <c r="B52" s="316"/>
      <c r="C52" s="480"/>
      <c r="D52" s="480"/>
      <c r="E52" s="96"/>
    </row>
    <row r="53" spans="2:5" ht="15.75">
      <c r="B53" s="316" t="s">
        <v>362</v>
      </c>
      <c r="C53" s="480">
        <v>2669</v>
      </c>
      <c r="D53" s="480"/>
      <c r="E53" s="96"/>
    </row>
    <row r="54" spans="2:5" ht="15.75">
      <c r="B54" s="316"/>
      <c r="C54" s="480"/>
      <c r="D54" s="480"/>
      <c r="E54" s="96"/>
    </row>
    <row r="55" spans="2:5" ht="15.75">
      <c r="B55" s="304" t="s">
        <v>859</v>
      </c>
      <c r="C55" s="480"/>
      <c r="D55" s="480"/>
      <c r="E55" s="96"/>
    </row>
    <row r="56" spans="2:5" ht="15.75">
      <c r="B56" s="305" t="s">
        <v>966</v>
      </c>
      <c r="C56" s="480"/>
      <c r="D56" s="480"/>
      <c r="E56" s="96"/>
    </row>
    <row r="57" spans="2:5" ht="15.75">
      <c r="B57" s="305" t="s">
        <v>968</v>
      </c>
      <c r="C57" s="446">
        <f>IF(C58*0.1&lt;C56,"Exceed 10% Rule","")</f>
      </c>
      <c r="D57" s="446">
        <f>IF(D58*0.1&lt;D56,"Exceed 10% Rule","")</f>
      </c>
      <c r="E57" s="333">
        <f>IF(E58*0.1+E74&lt;E56,"Exceed 10% Rule","")</f>
      </c>
    </row>
    <row r="58" spans="2:5" ht="15.75">
      <c r="B58" s="307" t="s">
        <v>860</v>
      </c>
      <c r="C58" s="450">
        <f>SUM(C46:C56)</f>
        <v>151630</v>
      </c>
      <c r="D58" s="450">
        <f>SUM(D46:D56)</f>
        <v>147696</v>
      </c>
      <c r="E58" s="353">
        <f>SUM(E46:E56)</f>
        <v>13479</v>
      </c>
    </row>
    <row r="59" spans="2:5" ht="15.75">
      <c r="B59" s="307" t="s">
        <v>861</v>
      </c>
      <c r="C59" s="450">
        <f>C44+C58</f>
        <v>189548</v>
      </c>
      <c r="D59" s="450">
        <f>D44+D58</f>
        <v>210276</v>
      </c>
      <c r="E59" s="353">
        <f>E44+E58</f>
        <v>72955</v>
      </c>
    </row>
    <row r="60" spans="2:5" ht="15.75">
      <c r="B60" s="154" t="s">
        <v>864</v>
      </c>
      <c r="C60" s="305"/>
      <c r="D60" s="305"/>
      <c r="E60" s="164"/>
    </row>
    <row r="61" spans="2:5" ht="15.75">
      <c r="B61" s="316"/>
      <c r="C61" s="480"/>
      <c r="D61" s="480"/>
      <c r="E61" s="96"/>
    </row>
    <row r="62" spans="2:5" ht="15.75">
      <c r="B62" s="316" t="s">
        <v>332</v>
      </c>
      <c r="C62" s="480">
        <v>114801</v>
      </c>
      <c r="D62" s="480">
        <v>122000</v>
      </c>
      <c r="E62" s="96">
        <v>127000</v>
      </c>
    </row>
    <row r="63" spans="2:5" ht="15.75">
      <c r="B63" s="316" t="s">
        <v>358</v>
      </c>
      <c r="C63" s="480">
        <v>6243</v>
      </c>
      <c r="D63" s="480">
        <v>9000</v>
      </c>
      <c r="E63" s="96">
        <v>9000</v>
      </c>
    </row>
    <row r="64" spans="2:5" ht="15.75">
      <c r="B64" s="316" t="s">
        <v>359</v>
      </c>
      <c r="C64" s="480">
        <v>5924</v>
      </c>
      <c r="D64" s="480">
        <v>9800</v>
      </c>
      <c r="E64" s="96">
        <v>10000</v>
      </c>
    </row>
    <row r="65" spans="2:5" ht="15.75">
      <c r="B65" s="316" t="s">
        <v>360</v>
      </c>
      <c r="C65" s="480"/>
      <c r="D65" s="480">
        <v>10000</v>
      </c>
      <c r="E65" s="96">
        <v>10000</v>
      </c>
    </row>
    <row r="66" spans="2:5" ht="15.75">
      <c r="B66" s="316"/>
      <c r="C66" s="480"/>
      <c r="D66" s="480"/>
      <c r="E66" s="96"/>
    </row>
    <row r="67" spans="2:5" ht="15.75">
      <c r="B67" s="305" t="s">
        <v>965</v>
      </c>
      <c r="C67" s="480"/>
      <c r="D67" s="480"/>
      <c r="E67" s="100">
        <f>Nhood!E10</f>
      </c>
    </row>
    <row r="68" spans="2:5" ht="15.75">
      <c r="B68" s="305" t="s">
        <v>966</v>
      </c>
      <c r="C68" s="480"/>
      <c r="D68" s="480"/>
      <c r="E68" s="96"/>
    </row>
    <row r="69" spans="2:5" ht="15.75">
      <c r="B69" s="305" t="s">
        <v>967</v>
      </c>
      <c r="C69" s="446">
        <f>IF(C70*0.1&lt;C68,"Exceed 10% Rule","")</f>
      </c>
      <c r="D69" s="446">
        <f>IF(D70*0.1&lt;D68,"Exceed 10% Rule","")</f>
      </c>
      <c r="E69" s="333">
        <f>IF(E70*0.1&lt;E68,"Exceed 10% Rule","")</f>
      </c>
    </row>
    <row r="70" spans="2:5" ht="15.75">
      <c r="B70" s="307" t="s">
        <v>865</v>
      </c>
      <c r="C70" s="450">
        <f>SUM(C61:C68)</f>
        <v>126968</v>
      </c>
      <c r="D70" s="450">
        <f>SUM(D61:D68)</f>
        <v>150800</v>
      </c>
      <c r="E70" s="353">
        <f>SUM(E61:E68)</f>
        <v>156000</v>
      </c>
    </row>
    <row r="71" spans="2:5" ht="15.75">
      <c r="B71" s="154" t="s">
        <v>570</v>
      </c>
      <c r="C71" s="445">
        <f>C59-C70</f>
        <v>62580</v>
      </c>
      <c r="D71" s="445">
        <f>D59-D70</f>
        <v>59476</v>
      </c>
      <c r="E71" s="326" t="s">
        <v>462</v>
      </c>
    </row>
    <row r="72" spans="2:6" ht="15.75">
      <c r="B72" s="286" t="str">
        <f>CONCATENATE("",$E$1-2,"/",$E$1-1," Budget Authority Amount:")</f>
        <v>2010/2011 Budget Authority Amount:</v>
      </c>
      <c r="C72" s="278">
        <f>inputOth!B34</f>
        <v>169000</v>
      </c>
      <c r="D72" s="278">
        <f>inputPrYr!D20</f>
        <v>156850</v>
      </c>
      <c r="E72" s="326" t="s">
        <v>462</v>
      </c>
      <c r="F72" s="319"/>
    </row>
    <row r="73" spans="2:6" ht="15.75">
      <c r="B73" s="286"/>
      <c r="C73" s="700" t="s">
        <v>923</v>
      </c>
      <c r="D73" s="701"/>
      <c r="E73" s="96">
        <v>4000</v>
      </c>
      <c r="F73" s="319">
        <f>IF(E70/0.95-E70&lt;E73,"Exceeds 5%","")</f>
      </c>
    </row>
    <row r="74" spans="2:5" ht="15.75">
      <c r="B74" s="487" t="str">
        <f>CONCATENATE(C87,"      ",D87)</f>
        <v>      </v>
      </c>
      <c r="C74" s="702" t="s">
        <v>924</v>
      </c>
      <c r="D74" s="703"/>
      <c r="E74" s="264">
        <f>E70+E73</f>
        <v>160000</v>
      </c>
    </row>
    <row r="75" spans="2:5" ht="15.75">
      <c r="B75" s="487" t="str">
        <f>CONCATENATE(C88,"      ",D88)</f>
        <v>      </v>
      </c>
      <c r="C75" s="320"/>
      <c r="D75" s="109" t="s">
        <v>866</v>
      </c>
      <c r="E75" s="100">
        <f>IF(E74-E59&gt;0,E74-E59,0)</f>
        <v>87045</v>
      </c>
    </row>
    <row r="76" spans="2:5" ht="15.75">
      <c r="B76" s="109"/>
      <c r="C76" s="469" t="s">
        <v>925</v>
      </c>
      <c r="D76" s="460">
        <f>inputOth!$E$23</f>
        <v>0.03</v>
      </c>
      <c r="E76" s="264">
        <f>ROUND(IF(D76&gt;0,(E75*D76),0),0)</f>
        <v>2611</v>
      </c>
    </row>
    <row r="77" spans="2:5" ht="15.75">
      <c r="B77" s="69"/>
      <c r="C77" s="698" t="str">
        <f>CONCATENATE("Amount of  ",$E$1-1," Ad Valorem Tax")</f>
        <v>Amount of  2011 Ad Valorem Tax</v>
      </c>
      <c r="D77" s="699"/>
      <c r="E77" s="338">
        <f>E75+E76</f>
        <v>89656</v>
      </c>
    </row>
    <row r="78" spans="2:5" ht="15.75">
      <c r="B78" s="321" t="s">
        <v>477</v>
      </c>
      <c r="C78" s="339">
        <v>10</v>
      </c>
      <c r="D78" s="69"/>
      <c r="E78" s="69"/>
    </row>
    <row r="85" spans="3:4" ht="15.75" hidden="1">
      <c r="C85" s="53">
        <f>IF(C33&gt;C35,"See Tab A","")</f>
      </c>
      <c r="D85" s="53">
        <f>IF(D33&gt;D35,"See Tab C","")</f>
      </c>
    </row>
    <row r="86" spans="3:4" ht="15.75" hidden="1">
      <c r="C86" s="53">
        <f>IF(C34&lt;0,"See Tab B","")</f>
      </c>
      <c r="D86" s="53">
        <f>IF(D34&lt;0,"See Tab D","")</f>
      </c>
    </row>
    <row r="87" spans="3:4" ht="15.75" hidden="1">
      <c r="C87" s="53">
        <f>IF(C70&gt;C72,"See Tab A","")</f>
      </c>
      <c r="D87" s="53">
        <f>IF(D70&gt;D72,"See Tab C","")</f>
      </c>
    </row>
    <row r="88" spans="3:4" ht="15.75" hidden="1">
      <c r="C88" s="53">
        <f>IF(C71&lt;0,"See Tab B","")</f>
      </c>
      <c r="D88" s="53">
        <f>IF(D71&lt;0,"See Tab D","")</f>
      </c>
    </row>
  </sheetData>
  <sheetProtection sheet="1"/>
  <mergeCells count="6">
    <mergeCell ref="C77:D77"/>
    <mergeCell ref="C40:D40"/>
    <mergeCell ref="C36:D36"/>
    <mergeCell ref="C37:D37"/>
    <mergeCell ref="C73:D73"/>
    <mergeCell ref="C74:D74"/>
  </mergeCells>
  <conditionalFormatting sqref="E73">
    <cfRule type="cellIs" priority="4" dxfId="350" operator="greaterThan" stopIfTrue="1">
      <formula>$E$70/0.95-$E$70</formula>
    </cfRule>
  </conditionalFormatting>
  <conditionalFormatting sqref="E68">
    <cfRule type="cellIs" priority="5" dxfId="350" operator="greaterThan" stopIfTrue="1">
      <formula>$E$70*0.1</formula>
    </cfRule>
  </conditionalFormatting>
  <conditionalFormatting sqref="E36">
    <cfRule type="cellIs" priority="6" dxfId="350" operator="greaterThan" stopIfTrue="1">
      <formula>$E$33/0.95-$E$33</formula>
    </cfRule>
  </conditionalFormatting>
  <conditionalFormatting sqref="E31">
    <cfRule type="cellIs" priority="7" dxfId="350" operator="greaterThan" stopIfTrue="1">
      <formula>$E$33*0.1</formula>
    </cfRule>
  </conditionalFormatting>
  <conditionalFormatting sqref="E18">
    <cfRule type="cellIs" priority="8" dxfId="350" operator="greaterThan" stopIfTrue="1">
      <formula>$E$20*0.1+E40</formula>
    </cfRule>
  </conditionalFormatting>
  <conditionalFormatting sqref="E56">
    <cfRule type="cellIs" priority="9" dxfId="350" operator="greaterThan" stopIfTrue="1">
      <formula>$E$58*0.1+E74</formula>
    </cfRule>
  </conditionalFormatting>
  <conditionalFormatting sqref="C68">
    <cfRule type="cellIs" priority="10" dxfId="2" operator="greaterThan" stopIfTrue="1">
      <formula>$C$70*0.1</formula>
    </cfRule>
  </conditionalFormatting>
  <conditionalFormatting sqref="D68">
    <cfRule type="cellIs" priority="11" dxfId="2" operator="greaterThan" stopIfTrue="1">
      <formula>$D$70*0.1</formula>
    </cfRule>
  </conditionalFormatting>
  <conditionalFormatting sqref="D56">
    <cfRule type="cellIs" priority="12" dxfId="2" operator="greaterThan" stopIfTrue="1">
      <formula>$D$58*0.1</formula>
    </cfRule>
  </conditionalFormatting>
  <conditionalFormatting sqref="C56">
    <cfRule type="cellIs" priority="13" dxfId="2" operator="greaterThan" stopIfTrue="1">
      <formula>$C$58*0.1</formula>
    </cfRule>
  </conditionalFormatting>
  <conditionalFormatting sqref="C31">
    <cfRule type="cellIs" priority="14" dxfId="2" operator="greaterThan" stopIfTrue="1">
      <formula>$C$33*0.1</formula>
    </cfRule>
  </conditionalFormatting>
  <conditionalFormatting sqref="D31">
    <cfRule type="cellIs" priority="15" dxfId="2" operator="greaterThan" stopIfTrue="1">
      <formula>$D$33*0.1</formula>
    </cfRule>
  </conditionalFormatting>
  <conditionalFormatting sqref="D33">
    <cfRule type="cellIs" priority="16" dxfId="2" operator="greaterThan" stopIfTrue="1">
      <formula>$D$35</formula>
    </cfRule>
  </conditionalFormatting>
  <conditionalFormatting sqref="C71 C34">
    <cfRule type="cellIs" priority="18" dxfId="2" operator="lessThan" stopIfTrue="1">
      <formula>0</formula>
    </cfRule>
  </conditionalFormatting>
  <conditionalFormatting sqref="C18">
    <cfRule type="cellIs" priority="19" dxfId="350" operator="greaterThan" stopIfTrue="1">
      <formula>$C$21*0.1</formula>
    </cfRule>
  </conditionalFormatting>
  <conditionalFormatting sqref="D18">
    <cfRule type="cellIs" priority="20" dxfId="350" operator="greaterThan" stopIfTrue="1">
      <formula>$D$20*0.1</formula>
    </cfRule>
  </conditionalFormatting>
  <conditionalFormatting sqref="C70">
    <cfRule type="cellIs" priority="21" dxfId="2" operator="greaterThan" stopIfTrue="1">
      <formula>$C$72</formula>
    </cfRule>
  </conditionalFormatting>
  <conditionalFormatting sqref="D70">
    <cfRule type="cellIs" priority="22" dxfId="2" operator="greaterThan" stopIfTrue="1">
      <formula>$D$72</formula>
    </cfRule>
  </conditionalFormatting>
  <conditionalFormatting sqref="D34">
    <cfRule type="cellIs" priority="3" dxfId="0" operator="lessThan" stopIfTrue="1">
      <formula>0</formula>
    </cfRule>
  </conditionalFormatting>
  <conditionalFormatting sqref="D71">
    <cfRule type="cellIs" priority="1" dxfId="0" operator="lessThan" stopIfTrue="1">
      <formula>0</formula>
    </cfRule>
    <cfRule type="cellIs" priority="2" dxfId="0" operator="lessThan" stopIfTrue="1">
      <formula>0</formula>
    </cfRule>
  </conditionalFormatting>
  <printOptions/>
  <pageMargins left="1.12" right="0.5" top="0.74" bottom="0.34" header="0.5" footer="0"/>
  <pageSetup blackAndWhite="1" fitToHeight="1" fitToWidth="1" horizontalDpi="120" verticalDpi="120" orientation="portrait" scale="65" r:id="rId1"/>
  <headerFooter alignWithMargins="0">
    <oddHeader>&amp;RState of Kansas
County
</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F103"/>
  <sheetViews>
    <sheetView zoomScalePageLayoutView="0" workbookViewId="0" topLeftCell="A52">
      <selection activeCell="B49" sqref="B49"/>
    </sheetView>
  </sheetViews>
  <sheetFormatPr defaultColWidth="8.796875" defaultRowHeight="15"/>
  <cols>
    <col min="1" max="1" width="15.796875" style="53" customWidth="1"/>
    <col min="2" max="2" width="20.796875" style="53" customWidth="1"/>
    <col min="3" max="3" width="8.796875" style="53" customWidth="1"/>
    <col min="4" max="5" width="13.296875" style="53" customWidth="1"/>
    <col min="6" max="6" width="10.796875" style="53" customWidth="1"/>
    <col min="7" max="16384" width="8.8984375" style="53" customWidth="1"/>
  </cols>
  <sheetData>
    <row r="1" spans="1:6" ht="15.75">
      <c r="A1" s="658" t="s">
        <v>443</v>
      </c>
      <c r="B1" s="659"/>
      <c r="C1" s="659"/>
      <c r="D1" s="659"/>
      <c r="E1" s="659"/>
      <c r="F1" s="659"/>
    </row>
    <row r="2" spans="1:6" ht="15.75">
      <c r="A2" s="66"/>
      <c r="B2" s="67"/>
      <c r="C2" s="67"/>
      <c r="D2" s="67"/>
      <c r="E2" s="67"/>
      <c r="F2" s="67"/>
    </row>
    <row r="3" spans="1:6" ht="15.75">
      <c r="A3" s="68" t="s">
        <v>607</v>
      </c>
      <c r="B3" s="69"/>
      <c r="C3" s="185" t="s">
        <v>24</v>
      </c>
      <c r="D3" s="185"/>
      <c r="E3" s="70"/>
      <c r="F3" s="71"/>
    </row>
    <row r="4" spans="1:6" ht="15.75">
      <c r="A4" s="68"/>
      <c r="B4" s="69"/>
      <c r="C4" s="69"/>
      <c r="D4" s="69"/>
      <c r="E4" s="72"/>
      <c r="F4" s="71"/>
    </row>
    <row r="5" spans="1:6" ht="15.75">
      <c r="A5" s="68" t="s">
        <v>214</v>
      </c>
      <c r="B5" s="69"/>
      <c r="C5" s="73">
        <v>2012</v>
      </c>
      <c r="D5" s="74"/>
      <c r="E5" s="75"/>
      <c r="F5" s="71"/>
    </row>
    <row r="6" spans="1:6" ht="15.75">
      <c r="A6" s="69"/>
      <c r="B6" s="69"/>
      <c r="C6" s="69"/>
      <c r="D6" s="69"/>
      <c r="E6" s="69"/>
      <c r="F6" s="69"/>
    </row>
    <row r="7" spans="1:6" ht="15.75">
      <c r="A7" s="76" t="s">
        <v>193</v>
      </c>
      <c r="B7" s="77"/>
      <c r="C7" s="77"/>
      <c r="D7" s="77"/>
      <c r="E7" s="77"/>
      <c r="F7" s="77"/>
    </row>
    <row r="8" spans="1:6" ht="15.75">
      <c r="A8" s="76" t="s">
        <v>194</v>
      </c>
      <c r="B8" s="77"/>
      <c r="C8" s="77"/>
      <c r="D8" s="77"/>
      <c r="E8" s="77"/>
      <c r="F8" s="77"/>
    </row>
    <row r="9" spans="1:6" ht="15.75">
      <c r="A9" s="660" t="s">
        <v>411</v>
      </c>
      <c r="B9" s="661"/>
      <c r="C9" s="661"/>
      <c r="D9" s="661"/>
      <c r="E9" s="661"/>
      <c r="F9" s="661"/>
    </row>
    <row r="10" spans="1:6" ht="15.75">
      <c r="A10" s="78"/>
      <c r="B10" s="79"/>
      <c r="C10" s="79"/>
      <c r="D10" s="79"/>
      <c r="E10" s="79"/>
      <c r="F10" s="79"/>
    </row>
    <row r="11" spans="1:6" ht="15.75">
      <c r="A11" s="80" t="str">
        <f>CONCATENATE("The input for the following comes directly from the ",C5-1," Budget:")</f>
        <v>The input for the following comes directly from the 2011 Budget:</v>
      </c>
      <c r="B11" s="81"/>
      <c r="C11" s="81"/>
      <c r="D11" s="81"/>
      <c r="E11" s="69"/>
      <c r="F11" s="69"/>
    </row>
    <row r="12" spans="1:6" ht="15.75">
      <c r="A12" s="82" t="s">
        <v>215</v>
      </c>
      <c r="B12" s="81"/>
      <c r="C12" s="81"/>
      <c r="D12" s="81"/>
      <c r="E12" s="69"/>
      <c r="F12" s="69"/>
    </row>
    <row r="13" spans="1:6" ht="15.75">
      <c r="A13" s="82" t="s">
        <v>422</v>
      </c>
      <c r="B13" s="81"/>
      <c r="C13" s="81"/>
      <c r="D13" s="81"/>
      <c r="E13" s="69"/>
      <c r="F13" s="69"/>
    </row>
    <row r="14" spans="1:6" ht="15.75">
      <c r="A14" s="69"/>
      <c r="B14" s="69"/>
      <c r="C14" s="83"/>
      <c r="D14" s="84">
        <f>C5-1</f>
        <v>2011</v>
      </c>
      <c r="E14" s="85">
        <f>C5-2</f>
        <v>2010</v>
      </c>
      <c r="F14" s="85">
        <f>C5-2</f>
        <v>2010</v>
      </c>
    </row>
    <row r="15" spans="1:6" ht="15.75">
      <c r="A15" s="68" t="s">
        <v>242</v>
      </c>
      <c r="B15" s="69"/>
      <c r="C15" s="86" t="s">
        <v>444</v>
      </c>
      <c r="D15" s="87" t="s">
        <v>421</v>
      </c>
      <c r="E15" s="87" t="s">
        <v>970</v>
      </c>
      <c r="F15" s="87" t="s">
        <v>963</v>
      </c>
    </row>
    <row r="16" spans="1:6" ht="15.75">
      <c r="A16" s="69"/>
      <c r="B16" s="88" t="s">
        <v>445</v>
      </c>
      <c r="C16" s="89" t="s">
        <v>573</v>
      </c>
      <c r="D16" s="90">
        <v>2348211</v>
      </c>
      <c r="E16" s="91">
        <v>1567143</v>
      </c>
      <c r="F16" s="92">
        <v>24.61</v>
      </c>
    </row>
    <row r="17" spans="1:6" ht="15.75">
      <c r="A17" s="69"/>
      <c r="B17" s="88" t="s">
        <v>876</v>
      </c>
      <c r="C17" s="89" t="s">
        <v>216</v>
      </c>
      <c r="D17" s="90"/>
      <c r="E17" s="91"/>
      <c r="F17" s="92"/>
    </row>
    <row r="18" spans="1:6" ht="15.75">
      <c r="A18" s="69"/>
      <c r="B18" s="88" t="s">
        <v>881</v>
      </c>
      <c r="C18" s="89" t="s">
        <v>573</v>
      </c>
      <c r="D18" s="90">
        <v>2218700</v>
      </c>
      <c r="E18" s="91">
        <v>1546269</v>
      </c>
      <c r="F18" s="92">
        <v>24.283</v>
      </c>
    </row>
    <row r="19" spans="1:6" ht="15.75">
      <c r="A19" s="68"/>
      <c r="B19" s="93" t="s">
        <v>25</v>
      </c>
      <c r="C19" s="468" t="s">
        <v>26</v>
      </c>
      <c r="D19" s="90">
        <v>110000</v>
      </c>
      <c r="E19" s="90">
        <v>88784</v>
      </c>
      <c r="F19" s="94">
        <v>1.394</v>
      </c>
    </row>
    <row r="20" spans="1:6" ht="15.75">
      <c r="A20" s="69"/>
      <c r="B20" s="95" t="s">
        <v>27</v>
      </c>
      <c r="C20" s="468" t="s">
        <v>28</v>
      </c>
      <c r="D20" s="90">
        <v>156850</v>
      </c>
      <c r="E20" s="96">
        <v>128784</v>
      </c>
      <c r="F20" s="92">
        <v>2.022</v>
      </c>
    </row>
    <row r="21" spans="1:6" ht="15.75">
      <c r="A21" s="69"/>
      <c r="B21" s="95" t="s">
        <v>29</v>
      </c>
      <c r="C21" s="468" t="s">
        <v>30</v>
      </c>
      <c r="D21" s="90">
        <v>103745</v>
      </c>
      <c r="E21" s="96">
        <v>95083</v>
      </c>
      <c r="F21" s="92">
        <v>1.493</v>
      </c>
    </row>
    <row r="22" spans="1:6" ht="15.75">
      <c r="A22" s="69"/>
      <c r="B22" s="95" t="s">
        <v>31</v>
      </c>
      <c r="C22" s="468" t="s">
        <v>32</v>
      </c>
      <c r="D22" s="90">
        <v>180775</v>
      </c>
      <c r="E22" s="96">
        <v>62694</v>
      </c>
      <c r="F22" s="92">
        <v>0.985</v>
      </c>
    </row>
    <row r="23" spans="1:6" ht="15.75">
      <c r="A23" s="69"/>
      <c r="B23" s="95" t="s">
        <v>873</v>
      </c>
      <c r="C23" s="468" t="s">
        <v>33</v>
      </c>
      <c r="D23" s="90">
        <v>135745</v>
      </c>
      <c r="E23" s="96">
        <v>117685</v>
      </c>
      <c r="F23" s="92">
        <v>1.848</v>
      </c>
    </row>
    <row r="24" spans="1:6" ht="15.75">
      <c r="A24" s="69"/>
      <c r="B24" s="95" t="s">
        <v>467</v>
      </c>
      <c r="C24" s="468" t="s">
        <v>34</v>
      </c>
      <c r="D24" s="90">
        <v>47375</v>
      </c>
      <c r="E24" s="96">
        <v>44266</v>
      </c>
      <c r="F24" s="92">
        <v>0.695</v>
      </c>
    </row>
    <row r="25" spans="1:6" ht="15.75">
      <c r="A25" s="69"/>
      <c r="B25" s="95" t="s">
        <v>35</v>
      </c>
      <c r="C25" s="468" t="s">
        <v>36</v>
      </c>
      <c r="D25" s="90">
        <v>127490</v>
      </c>
      <c r="E25" s="96">
        <v>118627</v>
      </c>
      <c r="F25" s="92">
        <v>1.863</v>
      </c>
    </row>
    <row r="26" spans="1:6" ht="15.75">
      <c r="A26" s="69"/>
      <c r="B26" s="95" t="s">
        <v>878</v>
      </c>
      <c r="C26" s="468" t="s">
        <v>37</v>
      </c>
      <c r="D26" s="90">
        <v>683000</v>
      </c>
      <c r="E26" s="96">
        <v>328377</v>
      </c>
      <c r="F26" s="92">
        <v>5.157</v>
      </c>
    </row>
    <row r="27" spans="1:6" ht="15.75">
      <c r="A27" s="69"/>
      <c r="B27" s="95"/>
      <c r="C27" s="468"/>
      <c r="D27" s="90"/>
      <c r="E27" s="96"/>
      <c r="F27" s="92"/>
    </row>
    <row r="28" spans="1:6" ht="15.75">
      <c r="A28" s="69"/>
      <c r="B28" s="95"/>
      <c r="C28" s="468"/>
      <c r="D28" s="90"/>
      <c r="E28" s="96"/>
      <c r="F28" s="92"/>
    </row>
    <row r="29" spans="1:6" ht="15.75">
      <c r="A29" s="69"/>
      <c r="B29" s="95"/>
      <c r="C29" s="468"/>
      <c r="D29" s="90"/>
      <c r="E29" s="96"/>
      <c r="F29" s="92"/>
    </row>
    <row r="30" spans="1:6" ht="15.75">
      <c r="A30" s="69"/>
      <c r="B30" s="95"/>
      <c r="C30" s="468"/>
      <c r="D30" s="90"/>
      <c r="E30" s="96"/>
      <c r="F30" s="92"/>
    </row>
    <row r="31" spans="1:6" ht="15.75">
      <c r="A31" s="69"/>
      <c r="B31" s="95"/>
      <c r="C31" s="468"/>
      <c r="D31" s="90"/>
      <c r="E31" s="96"/>
      <c r="F31" s="92"/>
    </row>
    <row r="32" spans="1:6" ht="15.75">
      <c r="A32" s="69"/>
      <c r="B32" s="95"/>
      <c r="C32" s="468"/>
      <c r="D32" s="90"/>
      <c r="E32" s="96"/>
      <c r="F32" s="92"/>
    </row>
    <row r="33" spans="1:6" ht="15.75">
      <c r="A33" s="69"/>
      <c r="B33" s="95"/>
      <c r="C33" s="468"/>
      <c r="D33" s="90"/>
      <c r="E33" s="96"/>
      <c r="F33" s="92"/>
    </row>
    <row r="34" spans="1:6" ht="15.75">
      <c r="A34" s="69"/>
      <c r="B34" s="95"/>
      <c r="C34" s="468"/>
      <c r="D34" s="90"/>
      <c r="E34" s="96"/>
      <c r="F34" s="92"/>
    </row>
    <row r="35" spans="1:6" ht="15.75">
      <c r="A35" s="69"/>
      <c r="B35" s="95"/>
      <c r="C35" s="468"/>
      <c r="D35" s="90"/>
      <c r="E35" s="96"/>
      <c r="F35" s="92"/>
    </row>
    <row r="36" spans="1:6" ht="15.75">
      <c r="A36" s="69"/>
      <c r="B36" s="95"/>
      <c r="C36" s="468"/>
      <c r="D36" s="90"/>
      <c r="E36" s="96"/>
      <c r="F36" s="92"/>
    </row>
    <row r="37" spans="1:6" ht="15.75">
      <c r="A37" s="69"/>
      <c r="B37" s="95"/>
      <c r="C37" s="468"/>
      <c r="D37" s="90"/>
      <c r="E37" s="96"/>
      <c r="F37" s="92"/>
    </row>
    <row r="38" spans="1:6" ht="15.75">
      <c r="A38" s="69"/>
      <c r="B38" s="95"/>
      <c r="C38" s="468"/>
      <c r="D38" s="90"/>
      <c r="E38" s="96"/>
      <c r="F38" s="92"/>
    </row>
    <row r="39" spans="1:6" ht="15.75">
      <c r="A39" s="69"/>
      <c r="B39" s="95"/>
      <c r="C39" s="468"/>
      <c r="D39" s="90"/>
      <c r="E39" s="96"/>
      <c r="F39" s="92"/>
    </row>
    <row r="40" spans="1:6" ht="15.75">
      <c r="A40" s="69"/>
      <c r="B40" s="95"/>
      <c r="C40" s="468"/>
      <c r="D40" s="90"/>
      <c r="E40" s="96"/>
      <c r="F40" s="92"/>
    </row>
    <row r="41" spans="1:6" ht="15.75">
      <c r="A41" s="97" t="str">
        <f>CONCATENATE("Total Tax Levy Funds Levy Amounts and Levy Rates for ",C5-1," Budget")</f>
        <v>Total Tax Levy Funds Levy Amounts and Levy Rates for 2011 Budget</v>
      </c>
      <c r="B41" s="98"/>
      <c r="C41" s="98"/>
      <c r="D41" s="99"/>
      <c r="E41" s="100">
        <f>SUM(E16:E40)</f>
        <v>4097712</v>
      </c>
      <c r="F41" s="101">
        <f>SUM(F16:F40)</f>
        <v>64.35</v>
      </c>
    </row>
    <row r="42" spans="1:6" ht="15.75">
      <c r="A42" s="75"/>
      <c r="B42" s="71"/>
      <c r="C42" s="71"/>
      <c r="D42" s="71"/>
      <c r="E42" s="102"/>
      <c r="F42" s="103"/>
    </row>
    <row r="43" spans="1:6" ht="15.75">
      <c r="A43" s="68" t="s">
        <v>217</v>
      </c>
      <c r="B43" s="69"/>
      <c r="C43" s="69"/>
      <c r="D43" s="69"/>
      <c r="E43" s="69"/>
      <c r="F43" s="69"/>
    </row>
    <row r="44" spans="1:6" ht="15.75">
      <c r="A44" s="69"/>
      <c r="B44" s="92" t="s">
        <v>38</v>
      </c>
      <c r="C44" s="69"/>
      <c r="D44" s="104">
        <v>60931</v>
      </c>
      <c r="E44" s="69"/>
      <c r="F44" s="69"/>
    </row>
    <row r="45" spans="1:6" ht="15.75">
      <c r="A45" s="69"/>
      <c r="B45" s="92" t="s">
        <v>882</v>
      </c>
      <c r="C45" s="69"/>
      <c r="D45" s="104">
        <v>387168</v>
      </c>
      <c r="E45" s="69"/>
      <c r="F45" s="69"/>
    </row>
    <row r="46" spans="1:6" ht="15.75">
      <c r="A46" s="69"/>
      <c r="B46" s="92" t="s">
        <v>39</v>
      </c>
      <c r="C46" s="69"/>
      <c r="D46" s="104">
        <v>93500</v>
      </c>
      <c r="E46" s="69"/>
      <c r="F46" s="69"/>
    </row>
    <row r="47" spans="1:6" ht="15.75">
      <c r="A47" s="69"/>
      <c r="B47" s="92" t="s">
        <v>40</v>
      </c>
      <c r="C47" s="69"/>
      <c r="D47" s="104">
        <v>25000</v>
      </c>
      <c r="E47" s="69"/>
      <c r="F47" s="69"/>
    </row>
    <row r="48" spans="1:6" ht="15.75">
      <c r="A48" s="69"/>
      <c r="B48" s="92" t="s">
        <v>41</v>
      </c>
      <c r="C48" s="69"/>
      <c r="D48" s="104">
        <v>35080</v>
      </c>
      <c r="E48" s="69"/>
      <c r="F48" s="69"/>
    </row>
    <row r="49" spans="1:6" ht="15.75">
      <c r="A49" s="69"/>
      <c r="B49" s="92"/>
      <c r="C49" s="69"/>
      <c r="D49" s="104"/>
      <c r="E49" s="69"/>
      <c r="F49" s="69"/>
    </row>
    <row r="50" spans="1:6" ht="15.75">
      <c r="A50" s="69"/>
      <c r="B50" s="92"/>
      <c r="C50" s="69"/>
      <c r="D50" s="104"/>
      <c r="E50" s="69"/>
      <c r="F50" s="69"/>
    </row>
    <row r="51" spans="1:6" ht="15.75">
      <c r="A51" s="69"/>
      <c r="B51" s="92"/>
      <c r="C51" s="69"/>
      <c r="D51" s="104"/>
      <c r="E51" s="69"/>
      <c r="F51" s="69"/>
    </row>
    <row r="52" spans="1:6" ht="15.75">
      <c r="A52" s="69"/>
      <c r="B52" s="92"/>
      <c r="C52" s="69"/>
      <c r="D52" s="104"/>
      <c r="E52" s="69"/>
      <c r="F52" s="69"/>
    </row>
    <row r="53" spans="1:6" ht="15.75">
      <c r="A53" s="69"/>
      <c r="B53" s="92"/>
      <c r="C53" s="69"/>
      <c r="D53" s="104"/>
      <c r="E53" s="69"/>
      <c r="F53" s="69"/>
    </row>
    <row r="54" spans="1:6" ht="15.75">
      <c r="A54" s="97" t="str">
        <f>CONCATENATE("Total Expenditures for ",C5-1," Budgeted Year")</f>
        <v>Total Expenditures for 2011 Budgeted Year</v>
      </c>
      <c r="B54" s="105"/>
      <c r="C54" s="106"/>
      <c r="D54" s="100">
        <f>SUM(D16:D40,D44:D53)</f>
        <v>6713570</v>
      </c>
      <c r="E54" s="69"/>
      <c r="F54" s="69"/>
    </row>
    <row r="55" spans="1:6" ht="15.75">
      <c r="A55" s="69"/>
      <c r="B55" s="107"/>
      <c r="C55" s="69"/>
      <c r="D55" s="71"/>
      <c r="E55" s="69"/>
      <c r="F55" s="69"/>
    </row>
    <row r="56" spans="1:6" ht="15.75">
      <c r="A56" s="68" t="s">
        <v>259</v>
      </c>
      <c r="B56" s="69"/>
      <c r="C56" s="69"/>
      <c r="D56" s="69"/>
      <c r="E56" s="69"/>
      <c r="F56" s="108"/>
    </row>
    <row r="57" spans="1:6" ht="15.75">
      <c r="A57" s="109">
        <v>1</v>
      </c>
      <c r="B57" s="93" t="s">
        <v>42</v>
      </c>
      <c r="C57" s="69"/>
      <c r="D57" s="69"/>
      <c r="E57" s="69"/>
      <c r="F57" s="108"/>
    </row>
    <row r="58" spans="1:6" ht="15.75">
      <c r="A58" s="109">
        <v>2</v>
      </c>
      <c r="B58" s="93" t="s">
        <v>43</v>
      </c>
      <c r="C58" s="69"/>
      <c r="D58" s="69"/>
      <c r="E58" s="69"/>
      <c r="F58" s="108"/>
    </row>
    <row r="59" spans="1:6" ht="15.75">
      <c r="A59" s="109">
        <v>3</v>
      </c>
      <c r="B59" s="93" t="s">
        <v>44</v>
      </c>
      <c r="C59" s="69"/>
      <c r="D59" s="69"/>
      <c r="E59" s="69"/>
      <c r="F59" s="108"/>
    </row>
    <row r="60" spans="1:6" ht="15.75">
      <c r="A60" s="109">
        <v>4</v>
      </c>
      <c r="B60" s="93" t="s">
        <v>45</v>
      </c>
      <c r="C60" s="69"/>
      <c r="D60" s="69"/>
      <c r="E60" s="69"/>
      <c r="F60" s="108"/>
    </row>
    <row r="61" spans="1:6" ht="15.75">
      <c r="A61" s="109">
        <v>5</v>
      </c>
      <c r="B61" s="93"/>
      <c r="C61" s="69"/>
      <c r="D61" s="69"/>
      <c r="E61" s="69"/>
      <c r="F61" s="108"/>
    </row>
    <row r="62" spans="1:6" ht="15.75">
      <c r="A62" s="68"/>
      <c r="B62" s="69"/>
      <c r="C62" s="69"/>
      <c r="D62" s="69"/>
      <c r="E62" s="69"/>
      <c r="F62" s="108"/>
    </row>
    <row r="63" spans="1:6" ht="15.75">
      <c r="A63" s="68"/>
      <c r="B63" s="69"/>
      <c r="C63" s="69"/>
      <c r="D63" s="69"/>
      <c r="E63" s="69"/>
      <c r="F63" s="108"/>
    </row>
    <row r="64" spans="1:6" ht="15.75">
      <c r="A64" s="68" t="str">
        <f>CONCATENATE("County's Final Assessed Valuation for ",C5-1," (November 1,",C5-2," Abstract):")</f>
        <v>County's Final Assessed Valuation for 2011 (November 1,2010 Abstract):</v>
      </c>
      <c r="B64" s="69"/>
      <c r="C64" s="69"/>
      <c r="D64" s="69"/>
      <c r="E64" s="96">
        <v>63678096</v>
      </c>
      <c r="F64" s="110"/>
    </row>
    <row r="65" spans="1:6" ht="15.75">
      <c r="A65" s="69"/>
      <c r="B65" s="69"/>
      <c r="C65" s="69"/>
      <c r="D65" s="69"/>
      <c r="E65" s="69"/>
      <c r="F65" s="69"/>
    </row>
    <row r="66" spans="1:6" ht="15.75">
      <c r="A66" s="82" t="str">
        <f>CONCATENATE("From the ",C5-1," Budget:")</f>
        <v>From the 2011 Budget:</v>
      </c>
      <c r="B66" s="111"/>
      <c r="C66" s="69"/>
      <c r="D66" s="656" t="str">
        <f>CONCATENATE("",C5-3," Tax Rate (",C5-2," Column)")</f>
        <v>2009 Tax Rate (2010 Column)</v>
      </c>
      <c r="E66" s="654"/>
      <c r="F66" s="69"/>
    </row>
    <row r="67" spans="1:6" ht="15.75">
      <c r="A67" s="82" t="s">
        <v>407</v>
      </c>
      <c r="B67" s="81"/>
      <c r="C67" s="69"/>
      <c r="D67" s="657"/>
      <c r="E67" s="655"/>
      <c r="F67" s="69"/>
    </row>
    <row r="68" spans="1:6" ht="15.75">
      <c r="A68" s="69"/>
      <c r="B68" s="112" t="str">
        <f>B16</f>
        <v>General</v>
      </c>
      <c r="C68" s="69"/>
      <c r="D68" s="92">
        <v>19.643</v>
      </c>
      <c r="E68" s="107"/>
      <c r="F68" s="69"/>
    </row>
    <row r="69" spans="1:6" ht="15.75">
      <c r="A69" s="69"/>
      <c r="B69" s="112" t="str">
        <f>B17</f>
        <v>Debt Service</v>
      </c>
      <c r="C69" s="69"/>
      <c r="D69" s="92"/>
      <c r="E69" s="107"/>
      <c r="F69" s="69"/>
    </row>
    <row r="70" spans="1:6" ht="15.75">
      <c r="A70" s="69"/>
      <c r="B70" s="112" t="str">
        <f>B18</f>
        <v>Road &amp; Bridge</v>
      </c>
      <c r="C70" s="69"/>
      <c r="D70" s="92">
        <v>23.888</v>
      </c>
      <c r="E70" s="107"/>
      <c r="F70" s="69"/>
    </row>
    <row r="71" spans="1:6" ht="15.75">
      <c r="A71" s="69"/>
      <c r="B71" s="112" t="str">
        <f>B19</f>
        <v>Special Bridge</v>
      </c>
      <c r="C71" s="69"/>
      <c r="D71" s="92">
        <v>1.358</v>
      </c>
      <c r="E71" s="107"/>
      <c r="F71" s="69"/>
    </row>
    <row r="72" spans="1:6" ht="15.75">
      <c r="A72" s="69"/>
      <c r="B72" s="112" t="str">
        <f aca="true" t="shared" si="0" ref="B72:B92">B20</f>
        <v>Reappraisal</v>
      </c>
      <c r="C72" s="69"/>
      <c r="D72" s="92">
        <v>2.179</v>
      </c>
      <c r="E72" s="107"/>
      <c r="F72" s="69"/>
    </row>
    <row r="73" spans="1:6" ht="15.75">
      <c r="A73" s="69"/>
      <c r="B73" s="112" t="str">
        <f t="shared" si="0"/>
        <v>County Health</v>
      </c>
      <c r="C73" s="69"/>
      <c r="D73" s="92">
        <v>1.453</v>
      </c>
      <c r="E73" s="107"/>
      <c r="F73" s="69"/>
    </row>
    <row r="74" spans="1:6" ht="15.75">
      <c r="A74" s="69"/>
      <c r="B74" s="112" t="str">
        <f t="shared" si="0"/>
        <v>Noxious Weed</v>
      </c>
      <c r="C74" s="69"/>
      <c r="D74" s="92">
        <v>0.134</v>
      </c>
      <c r="E74" s="107"/>
      <c r="F74" s="69"/>
    </row>
    <row r="75" spans="1:6" ht="15.75">
      <c r="A75" s="69"/>
      <c r="B75" s="112" t="str">
        <f t="shared" si="0"/>
        <v>Ambulance</v>
      </c>
      <c r="C75" s="69"/>
      <c r="D75" s="92">
        <v>1.779</v>
      </c>
      <c r="E75" s="107"/>
      <c r="F75" s="69"/>
    </row>
    <row r="76" spans="1:6" ht="15.75">
      <c r="A76" s="69"/>
      <c r="B76" s="112" t="str">
        <f t="shared" si="0"/>
        <v>Mental Health</v>
      </c>
      <c r="C76" s="69"/>
      <c r="D76" s="92">
        <v>0.663</v>
      </c>
      <c r="E76" s="107"/>
      <c r="F76" s="69"/>
    </row>
    <row r="77" spans="1:6" ht="15.75">
      <c r="A77" s="69"/>
      <c r="B77" s="112" t="str">
        <f t="shared" si="0"/>
        <v>Hospital Maintenance</v>
      </c>
      <c r="C77" s="69"/>
      <c r="D77" s="92">
        <v>1.798</v>
      </c>
      <c r="E77" s="107"/>
      <c r="F77" s="69"/>
    </row>
    <row r="78" spans="1:6" ht="15.75">
      <c r="A78" s="69"/>
      <c r="B78" s="112" t="str">
        <f t="shared" si="0"/>
        <v>Employee Benefits</v>
      </c>
      <c r="C78" s="69"/>
      <c r="D78" s="92">
        <v>7.349</v>
      </c>
      <c r="E78" s="107"/>
      <c r="F78" s="69"/>
    </row>
    <row r="79" spans="1:6" ht="15.75">
      <c r="A79" s="69"/>
      <c r="B79" s="112">
        <f t="shared" si="0"/>
        <v>0</v>
      </c>
      <c r="C79" s="69"/>
      <c r="D79" s="92"/>
      <c r="E79" s="107"/>
      <c r="F79" s="69"/>
    </row>
    <row r="80" spans="1:6" ht="15.75">
      <c r="A80" s="69"/>
      <c r="B80" s="112">
        <f t="shared" si="0"/>
        <v>0</v>
      </c>
      <c r="C80" s="69"/>
      <c r="D80" s="92"/>
      <c r="E80" s="107"/>
      <c r="F80" s="69"/>
    </row>
    <row r="81" spans="1:6" ht="15.75">
      <c r="A81" s="69"/>
      <c r="B81" s="112">
        <f t="shared" si="0"/>
        <v>0</v>
      </c>
      <c r="C81" s="69"/>
      <c r="D81" s="92"/>
      <c r="E81" s="107"/>
      <c r="F81" s="69"/>
    </row>
    <row r="82" spans="1:6" ht="15.75">
      <c r="A82" s="69"/>
      <c r="B82" s="112">
        <f t="shared" si="0"/>
        <v>0</v>
      </c>
      <c r="C82" s="69"/>
      <c r="D82" s="92"/>
      <c r="E82" s="107"/>
      <c r="F82" s="69"/>
    </row>
    <row r="83" spans="1:6" ht="15.75">
      <c r="A83" s="69"/>
      <c r="B83" s="112">
        <f t="shared" si="0"/>
        <v>0</v>
      </c>
      <c r="C83" s="69"/>
      <c r="D83" s="92"/>
      <c r="E83" s="107"/>
      <c r="F83" s="69"/>
    </row>
    <row r="84" spans="1:6" ht="15.75">
      <c r="A84" s="69"/>
      <c r="B84" s="112">
        <f t="shared" si="0"/>
        <v>0</v>
      </c>
      <c r="C84" s="69"/>
      <c r="D84" s="92"/>
      <c r="E84" s="107"/>
      <c r="F84" s="69"/>
    </row>
    <row r="85" spans="1:6" ht="15.75">
      <c r="A85" s="69"/>
      <c r="B85" s="112">
        <f t="shared" si="0"/>
        <v>0</v>
      </c>
      <c r="C85" s="69"/>
      <c r="D85" s="92"/>
      <c r="E85" s="107"/>
      <c r="F85" s="69"/>
    </row>
    <row r="86" spans="1:6" ht="15.75">
      <c r="A86" s="69"/>
      <c r="B86" s="112">
        <f t="shared" si="0"/>
        <v>0</v>
      </c>
      <c r="C86" s="69"/>
      <c r="D86" s="92"/>
      <c r="E86" s="107"/>
      <c r="F86" s="69"/>
    </row>
    <row r="87" spans="1:6" ht="15.75">
      <c r="A87" s="69"/>
      <c r="B87" s="112">
        <f t="shared" si="0"/>
        <v>0</v>
      </c>
      <c r="C87" s="69"/>
      <c r="D87" s="92"/>
      <c r="E87" s="107"/>
      <c r="F87" s="69"/>
    </row>
    <row r="88" spans="1:6" ht="15.75">
      <c r="A88" s="69"/>
      <c r="B88" s="112">
        <f t="shared" si="0"/>
        <v>0</v>
      </c>
      <c r="C88" s="69"/>
      <c r="D88" s="92"/>
      <c r="E88" s="107"/>
      <c r="F88" s="69"/>
    </row>
    <row r="89" spans="1:6" ht="15.75">
      <c r="A89" s="69"/>
      <c r="B89" s="112">
        <f t="shared" si="0"/>
        <v>0</v>
      </c>
      <c r="C89" s="69"/>
      <c r="D89" s="92"/>
      <c r="E89" s="107"/>
      <c r="F89" s="69"/>
    </row>
    <row r="90" spans="1:6" ht="15.75">
      <c r="A90" s="69"/>
      <c r="B90" s="112">
        <f t="shared" si="0"/>
        <v>0</v>
      </c>
      <c r="C90" s="69"/>
      <c r="D90" s="92"/>
      <c r="E90" s="107"/>
      <c r="F90" s="69"/>
    </row>
    <row r="91" spans="1:6" ht="15.75">
      <c r="A91" s="69"/>
      <c r="B91" s="112">
        <f t="shared" si="0"/>
        <v>0</v>
      </c>
      <c r="C91" s="69"/>
      <c r="D91" s="92"/>
      <c r="E91" s="107"/>
      <c r="F91" s="69"/>
    </row>
    <row r="92" spans="1:6" ht="15.75">
      <c r="A92" s="69"/>
      <c r="B92" s="112">
        <f t="shared" si="0"/>
        <v>0</v>
      </c>
      <c r="C92" s="69"/>
      <c r="D92" s="92"/>
      <c r="E92" s="107"/>
      <c r="F92" s="69"/>
    </row>
    <row r="93" spans="1:6" ht="15.75">
      <c r="A93" s="69" t="s">
        <v>446</v>
      </c>
      <c r="B93" s="69"/>
      <c r="C93" s="69"/>
      <c r="D93" s="101">
        <f>SUM(D68:D92)</f>
        <v>60.244000000000014</v>
      </c>
      <c r="E93" s="103"/>
      <c r="F93" s="69"/>
    </row>
    <row r="94" spans="1:6" ht="15.75">
      <c r="A94" s="69"/>
      <c r="B94" s="69"/>
      <c r="C94" s="69"/>
      <c r="D94" s="69"/>
      <c r="E94" s="69"/>
      <c r="F94" s="69"/>
    </row>
    <row r="95" spans="1:6" ht="15.75">
      <c r="A95" s="113" t="str">
        <f>CONCATENATE("Total Tax Levied (",C5-2," budget column)")</f>
        <v>Total Tax Levied (2010 budget column)</v>
      </c>
      <c r="B95" s="114"/>
      <c r="C95" s="98"/>
      <c r="D95" s="96">
        <v>3806610</v>
      </c>
      <c r="E95" s="71"/>
      <c r="F95" s="110"/>
    </row>
    <row r="96" spans="1:6" ht="15.75">
      <c r="A96" s="115" t="str">
        <f>CONCATENATE("Assessed Valuation  (",C5-2," budget column)")</f>
        <v>Assessed Valuation  (2010 budget column)</v>
      </c>
      <c r="B96" s="116"/>
      <c r="C96" s="99"/>
      <c r="D96" s="96">
        <v>63187622</v>
      </c>
      <c r="E96" s="71"/>
      <c r="F96" s="110"/>
    </row>
    <row r="97" spans="1:6" ht="15.75">
      <c r="A97" s="75"/>
      <c r="B97" s="71"/>
      <c r="C97" s="71"/>
      <c r="D97" s="71"/>
      <c r="E97" s="71"/>
      <c r="F97" s="108"/>
    </row>
    <row r="98" spans="1:6" ht="15.75">
      <c r="A98" s="117" t="str">
        <f>CONCATENATE("From the ",C5-1," Budget, Budget Summary Page")</f>
        <v>From the 2011 Budget, Budget Summary Page</v>
      </c>
      <c r="B98" s="118"/>
      <c r="C98" s="110"/>
      <c r="D98" s="110"/>
      <c r="E98" s="110"/>
      <c r="F98" s="110"/>
    </row>
    <row r="99" spans="1:6" ht="15.75">
      <c r="A99" s="81" t="s">
        <v>246</v>
      </c>
      <c r="B99" s="81"/>
      <c r="C99" s="119"/>
      <c r="D99" s="120">
        <f>C5-3</f>
        <v>2009</v>
      </c>
      <c r="E99" s="121">
        <f>C5-2</f>
        <v>2010</v>
      </c>
      <c r="F99" s="110"/>
    </row>
    <row r="100" spans="1:6" ht="15.75">
      <c r="A100" s="122" t="s">
        <v>247</v>
      </c>
      <c r="B100" s="122"/>
      <c r="C100" s="123"/>
      <c r="D100" s="90"/>
      <c r="E100" s="90"/>
      <c r="F100" s="110"/>
    </row>
    <row r="101" spans="1:6" s="126" customFormat="1" ht="15.75">
      <c r="A101" s="124" t="s">
        <v>248</v>
      </c>
      <c r="B101" s="124"/>
      <c r="C101" s="125"/>
      <c r="D101" s="90">
        <v>905000</v>
      </c>
      <c r="E101" s="90">
        <v>885000</v>
      </c>
      <c r="F101" s="119"/>
    </row>
    <row r="102" spans="1:6" s="126" customFormat="1" ht="15.75">
      <c r="A102" s="124" t="s">
        <v>249</v>
      </c>
      <c r="B102" s="124"/>
      <c r="C102" s="125"/>
      <c r="D102" s="90"/>
      <c r="E102" s="90"/>
      <c r="F102" s="119"/>
    </row>
    <row r="103" spans="1:6" s="126" customFormat="1" ht="15.75">
      <c r="A103" s="124" t="s">
        <v>250</v>
      </c>
      <c r="B103" s="124"/>
      <c r="C103" s="125"/>
      <c r="D103" s="90"/>
      <c r="E103" s="90">
        <v>64201</v>
      </c>
      <c r="F103" s="119"/>
    </row>
    <row r="104" s="126" customFormat="1" ht="15.75"/>
  </sheetData>
  <sheetProtection/>
  <mergeCells count="4">
    <mergeCell ref="E66:E67"/>
    <mergeCell ref="D66:D67"/>
    <mergeCell ref="A1:F1"/>
    <mergeCell ref="A9:F9"/>
  </mergeCells>
  <printOptions/>
  <pageMargins left="0.5" right="0.5" top="1" bottom="0.5" header="0.5" footer="0.5"/>
  <pageSetup blackAndWhite="1" fitToHeight="2" fitToWidth="1" horizontalDpi="120" verticalDpi="120" orientation="portrait" scale="90" r:id="rId1"/>
</worksheet>
</file>

<file path=xl/worksheets/sheet20.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22">
      <selection activeCell="E26" sqref="E26"/>
    </sheetView>
  </sheetViews>
  <sheetFormatPr defaultColWidth="8.796875" defaultRowHeight="15"/>
  <cols>
    <col min="1" max="1" width="2.3984375" style="53" customWidth="1"/>
    <col min="2" max="2" width="31.09765625" style="53" customWidth="1"/>
    <col min="3" max="4" width="15.796875" style="53" customWidth="1"/>
    <col min="5" max="5" width="16.3984375" style="53" customWidth="1"/>
    <col min="6" max="16384" width="8.8984375" style="53" customWidth="1"/>
  </cols>
  <sheetData>
    <row r="1" spans="2:5" ht="15.75">
      <c r="B1" s="205" t="str">
        <f>(inputPrYr!C3)</f>
        <v>MORRIS COUNTY</v>
      </c>
      <c r="C1" s="69"/>
      <c r="D1" s="69"/>
      <c r="E1" s="285">
        <f>inputPrYr!C5</f>
        <v>2012</v>
      </c>
    </row>
    <row r="2" spans="2:5" ht="15.75">
      <c r="B2" s="69"/>
      <c r="C2" s="69"/>
      <c r="D2" s="69"/>
      <c r="E2" s="109"/>
    </row>
    <row r="3" spans="2:5" ht="15.75">
      <c r="B3" s="214"/>
      <c r="C3" s="322"/>
      <c r="D3" s="322"/>
      <c r="E3" s="323"/>
    </row>
    <row r="4" spans="2:5" ht="15.75">
      <c r="B4" s="484" t="s">
        <v>528</v>
      </c>
      <c r="C4" s="146"/>
      <c r="D4" s="146"/>
      <c r="E4" s="146"/>
    </row>
    <row r="5" spans="2:5" ht="15.75">
      <c r="B5" s="68" t="s">
        <v>851</v>
      </c>
      <c r="C5" s="539" t="s">
        <v>479</v>
      </c>
      <c r="D5" s="540" t="s">
        <v>226</v>
      </c>
      <c r="E5" s="536" t="s">
        <v>227</v>
      </c>
    </row>
    <row r="6" spans="2:5" ht="15.75">
      <c r="B6" s="472" t="str">
        <f>inputPrYr!$B$21</f>
        <v>County Health</v>
      </c>
      <c r="C6" s="448">
        <f>E1-2</f>
        <v>2010</v>
      </c>
      <c r="D6" s="448">
        <f>E1-1</f>
        <v>2011</v>
      </c>
      <c r="E6" s="311">
        <f>E1</f>
        <v>2012</v>
      </c>
    </row>
    <row r="7" spans="2:5" ht="15.75">
      <c r="B7" s="154" t="s">
        <v>569</v>
      </c>
      <c r="C7" s="480">
        <v>4764</v>
      </c>
      <c r="D7" s="447">
        <f>C34</f>
        <v>912</v>
      </c>
      <c r="E7" s="264">
        <f>D34</f>
        <v>4910</v>
      </c>
    </row>
    <row r="8" spans="2:5" ht="15.75">
      <c r="B8" s="289" t="s">
        <v>571</v>
      </c>
      <c r="C8" s="168"/>
      <c r="D8" s="168"/>
      <c r="E8" s="112"/>
    </row>
    <row r="9" spans="2:5" ht="15.75">
      <c r="B9" s="154" t="s">
        <v>852</v>
      </c>
      <c r="C9" s="480">
        <v>88398</v>
      </c>
      <c r="D9" s="447">
        <f>inputPrYr!E21</f>
        <v>95083</v>
      </c>
      <c r="E9" s="326" t="s">
        <v>462</v>
      </c>
    </row>
    <row r="10" spans="2:5" ht="15.75">
      <c r="B10" s="154" t="s">
        <v>853</v>
      </c>
      <c r="C10" s="480">
        <v>977</v>
      </c>
      <c r="D10" s="480">
        <v>2419</v>
      </c>
      <c r="E10" s="96"/>
    </row>
    <row r="11" spans="2:5" ht="15.75">
      <c r="B11" s="154" t="s">
        <v>854</v>
      </c>
      <c r="C11" s="480">
        <v>8836</v>
      </c>
      <c r="D11" s="480">
        <v>9290</v>
      </c>
      <c r="E11" s="264">
        <f>mvalloc!D13</f>
        <v>8986</v>
      </c>
    </row>
    <row r="12" spans="2:5" ht="15.75">
      <c r="B12" s="154" t="s">
        <v>855</v>
      </c>
      <c r="C12" s="480">
        <v>252</v>
      </c>
      <c r="D12" s="480">
        <v>263</v>
      </c>
      <c r="E12" s="264">
        <f>mvalloc!E13</f>
        <v>240</v>
      </c>
    </row>
    <row r="13" spans="2:5" ht="15.75">
      <c r="B13" s="168" t="s">
        <v>520</v>
      </c>
      <c r="C13" s="480">
        <v>761</v>
      </c>
      <c r="D13" s="480">
        <v>688</v>
      </c>
      <c r="E13" s="264">
        <f>mvalloc!F13</f>
        <v>727</v>
      </c>
    </row>
    <row r="14" spans="2:5" ht="15.75">
      <c r="B14" s="168" t="s">
        <v>232</v>
      </c>
      <c r="C14" s="480"/>
      <c r="D14" s="480"/>
      <c r="E14" s="264">
        <f>mvalloc!G13</f>
        <v>0</v>
      </c>
    </row>
    <row r="15" spans="2:5" ht="15.75">
      <c r="B15" s="316"/>
      <c r="C15" s="480"/>
      <c r="D15" s="480"/>
      <c r="E15" s="96"/>
    </row>
    <row r="16" spans="2:5" ht="15.75">
      <c r="B16" s="316"/>
      <c r="C16" s="480"/>
      <c r="D16" s="480"/>
      <c r="E16" s="96"/>
    </row>
    <row r="17" spans="2:5" ht="15.75">
      <c r="B17" s="316"/>
      <c r="C17" s="480"/>
      <c r="D17" s="480"/>
      <c r="E17" s="96"/>
    </row>
    <row r="18" spans="2:5" ht="15.75">
      <c r="B18" s="304" t="s">
        <v>859</v>
      </c>
      <c r="C18" s="480"/>
      <c r="D18" s="480"/>
      <c r="E18" s="96"/>
    </row>
    <row r="19" spans="2:5" ht="15.75">
      <c r="B19" s="305" t="s">
        <v>966</v>
      </c>
      <c r="C19" s="480"/>
      <c r="D19" s="480"/>
      <c r="E19" s="96"/>
    </row>
    <row r="20" spans="2:5" ht="15.75">
      <c r="B20" s="305" t="s">
        <v>968</v>
      </c>
      <c r="C20" s="446">
        <f>IF(C21*0.1&lt;C19,"Exceed 10% Rule","")</f>
      </c>
      <c r="D20" s="446">
        <f>IF(D21*0.1&lt;D19,"Exceed 10% Rule","")</f>
      </c>
      <c r="E20" s="333">
        <f>IF(E21*0.1+E40&lt;E19,"Exceed 10% Rule","")</f>
      </c>
    </row>
    <row r="21" spans="2:5" ht="15.75">
      <c r="B21" s="307" t="s">
        <v>860</v>
      </c>
      <c r="C21" s="450">
        <f>SUM(C9:C19)</f>
        <v>99224</v>
      </c>
      <c r="D21" s="450">
        <f>SUM(D9:D19)</f>
        <v>107743</v>
      </c>
      <c r="E21" s="353">
        <f>SUM(E9:E19)</f>
        <v>9953</v>
      </c>
    </row>
    <row r="22" spans="2:5" ht="15.75">
      <c r="B22" s="307" t="s">
        <v>861</v>
      </c>
      <c r="C22" s="450">
        <f>C7+C21</f>
        <v>103988</v>
      </c>
      <c r="D22" s="450">
        <f>D7+D21</f>
        <v>108655</v>
      </c>
      <c r="E22" s="353">
        <f>E7+E21</f>
        <v>14863</v>
      </c>
    </row>
    <row r="23" spans="2:5" ht="15.75">
      <c r="B23" s="154" t="s">
        <v>864</v>
      </c>
      <c r="C23" s="305"/>
      <c r="D23" s="305"/>
      <c r="E23" s="164"/>
    </row>
    <row r="24" spans="2:5" ht="15.75">
      <c r="B24" s="316"/>
      <c r="C24" s="480"/>
      <c r="D24" s="480"/>
      <c r="E24" s="96"/>
    </row>
    <row r="25" spans="2:5" ht="15.75">
      <c r="B25" s="316" t="s">
        <v>363</v>
      </c>
      <c r="C25" s="480">
        <v>63076</v>
      </c>
      <c r="D25" s="480">
        <v>63745</v>
      </c>
      <c r="E25" s="96">
        <v>64443</v>
      </c>
    </row>
    <row r="26" spans="2:5" ht="15.75">
      <c r="B26" s="316" t="s">
        <v>364</v>
      </c>
      <c r="C26" s="480">
        <v>40000</v>
      </c>
      <c r="D26" s="480">
        <v>40000</v>
      </c>
      <c r="E26" s="96">
        <v>40000</v>
      </c>
    </row>
    <row r="27" spans="2:5" ht="15.75">
      <c r="B27" s="316"/>
      <c r="C27" s="480"/>
      <c r="D27" s="480"/>
      <c r="E27" s="96"/>
    </row>
    <row r="28" spans="2:5" ht="15.75">
      <c r="B28" s="316"/>
      <c r="C28" s="480"/>
      <c r="D28" s="480"/>
      <c r="E28" s="96"/>
    </row>
    <row r="29" spans="2:5" ht="15.75">
      <c r="B29" s="316"/>
      <c r="C29" s="480"/>
      <c r="D29" s="480"/>
      <c r="E29" s="96"/>
    </row>
    <row r="30" spans="2:5" ht="15.75">
      <c r="B30" s="305" t="s">
        <v>965</v>
      </c>
      <c r="C30" s="480"/>
      <c r="D30" s="480"/>
      <c r="E30" s="100">
        <f>Nhood!E11</f>
      </c>
    </row>
    <row r="31" spans="2:5" ht="15.75">
      <c r="B31" s="305" t="s">
        <v>966</v>
      </c>
      <c r="C31" s="480"/>
      <c r="D31" s="480"/>
      <c r="E31" s="96"/>
    </row>
    <row r="32" spans="2:5" ht="15.75">
      <c r="B32" s="305" t="s">
        <v>967</v>
      </c>
      <c r="C32" s="446">
        <f>IF(C33*0.1&lt;C31,"Exceed 10% Rule","")</f>
      </c>
      <c r="D32" s="446">
        <f>IF(D33*0.1&lt;D31,"Exceed 10% Rule","")</f>
      </c>
      <c r="E32" s="333">
        <f>IF(E33*0.1&lt;E31,"Exceed 10% Rule","")</f>
      </c>
    </row>
    <row r="33" spans="2:5" ht="15.75">
      <c r="B33" s="307" t="s">
        <v>865</v>
      </c>
      <c r="C33" s="450">
        <f>SUM(C24:C31)</f>
        <v>103076</v>
      </c>
      <c r="D33" s="450">
        <f>SUM(D24:D31)</f>
        <v>103745</v>
      </c>
      <c r="E33" s="353">
        <f>SUM(E24:E31)</f>
        <v>104443</v>
      </c>
    </row>
    <row r="34" spans="2:5" ht="15.75">
      <c r="B34" s="154" t="s">
        <v>570</v>
      </c>
      <c r="C34" s="445">
        <f>C22-C33</f>
        <v>912</v>
      </c>
      <c r="D34" s="445">
        <f>D22-D33</f>
        <v>4910</v>
      </c>
      <c r="E34" s="326" t="s">
        <v>462</v>
      </c>
    </row>
    <row r="35" spans="2:6" ht="15.75">
      <c r="B35" s="286" t="str">
        <f>CONCATENATE("",$E$1-2,"/",$E$1-1," Budget Authority Amount:")</f>
        <v>2010/2011 Budget Authority Amount:</v>
      </c>
      <c r="C35" s="278">
        <f>inputOth!B35</f>
        <v>103076</v>
      </c>
      <c r="D35" s="278">
        <f>inputPrYr!D21</f>
        <v>103745</v>
      </c>
      <c r="E35" s="326" t="s">
        <v>462</v>
      </c>
      <c r="F35" s="319"/>
    </row>
    <row r="36" spans="2:6" ht="15.75">
      <c r="B36" s="286"/>
      <c r="C36" s="700" t="s">
        <v>923</v>
      </c>
      <c r="D36" s="701"/>
      <c r="E36" s="96">
        <v>2000</v>
      </c>
      <c r="F36" s="319">
        <f>IF(E33/0.95-E33&lt;E36,"Exceeds 5%","")</f>
      </c>
    </row>
    <row r="37" spans="2:5" ht="15.75">
      <c r="B37" s="487" t="str">
        <f>CONCATENATE(C85,"     ",D85)</f>
        <v>     </v>
      </c>
      <c r="C37" s="702" t="s">
        <v>924</v>
      </c>
      <c r="D37" s="703"/>
      <c r="E37" s="264">
        <f>E33+E36</f>
        <v>106443</v>
      </c>
    </row>
    <row r="38" spans="2:5" ht="15.75">
      <c r="B38" s="487" t="str">
        <f>CONCATENATE(C86,"      ",D86)</f>
        <v>      </v>
      </c>
      <c r="C38" s="320"/>
      <c r="D38" s="109" t="s">
        <v>866</v>
      </c>
      <c r="E38" s="100">
        <f>IF(E37-E22&gt;0,E37-E22,0)</f>
        <v>91580</v>
      </c>
    </row>
    <row r="39" spans="2:5" ht="15.75">
      <c r="B39" s="109"/>
      <c r="C39" s="469" t="s">
        <v>925</v>
      </c>
      <c r="D39" s="460">
        <f>inputOth!$E$23</f>
        <v>0.03</v>
      </c>
      <c r="E39" s="264">
        <f>ROUND(IF(D39&gt;0,(E38*D39),0),0)</f>
        <v>2747</v>
      </c>
    </row>
    <row r="40" spans="2:5" ht="15.75">
      <c r="B40" s="69"/>
      <c r="C40" s="698" t="str">
        <f>CONCATENATE("Amount of  ",$E$1-1," Ad Valorem Tax")</f>
        <v>Amount of  2011 Ad Valorem Tax</v>
      </c>
      <c r="D40" s="699"/>
      <c r="E40" s="338">
        <f>E38+E39</f>
        <v>94327</v>
      </c>
    </row>
    <row r="41" spans="2:5" ht="15.75">
      <c r="B41" s="68" t="s">
        <v>851</v>
      </c>
      <c r="C41" s="146"/>
      <c r="D41" s="146"/>
      <c r="E41" s="146"/>
    </row>
    <row r="42" spans="2:5" ht="15.75">
      <c r="B42" s="69"/>
      <c r="C42" s="539" t="str">
        <f aca="true" t="shared" si="0" ref="C42:E43">C5</f>
        <v>Prior Year Actual</v>
      </c>
      <c r="D42" s="540" t="str">
        <f t="shared" si="0"/>
        <v>Current Year Estimate</v>
      </c>
      <c r="E42" s="536" t="str">
        <f t="shared" si="0"/>
        <v>Proposed Budget Year</v>
      </c>
    </row>
    <row r="43" spans="2:5" ht="15.75">
      <c r="B43" s="472" t="str">
        <f>inputPrYr!$B$22</f>
        <v>Noxious Weed</v>
      </c>
      <c r="C43" s="448">
        <f t="shared" si="0"/>
        <v>2010</v>
      </c>
      <c r="D43" s="448">
        <f t="shared" si="0"/>
        <v>2011</v>
      </c>
      <c r="E43" s="311">
        <f t="shared" si="0"/>
        <v>2012</v>
      </c>
    </row>
    <row r="44" spans="2:5" ht="15.75">
      <c r="B44" s="154" t="s">
        <v>569</v>
      </c>
      <c r="C44" s="480">
        <v>143339</v>
      </c>
      <c r="D44" s="447">
        <f>C71</f>
        <v>84472</v>
      </c>
      <c r="E44" s="264">
        <f>D71</f>
        <v>45187</v>
      </c>
    </row>
    <row r="45" spans="2:5" ht="15.75">
      <c r="B45" s="300" t="s">
        <v>571</v>
      </c>
      <c r="C45" s="168"/>
      <c r="D45" s="168"/>
      <c r="E45" s="112"/>
    </row>
    <row r="46" spans="2:5" ht="15.75">
      <c r="B46" s="154" t="s">
        <v>852</v>
      </c>
      <c r="C46" s="480">
        <v>7859</v>
      </c>
      <c r="D46" s="447">
        <f>inputPrYr!E22</f>
        <v>62694</v>
      </c>
      <c r="E46" s="326" t="s">
        <v>462</v>
      </c>
    </row>
    <row r="47" spans="2:5" ht="15.75">
      <c r="B47" s="154" t="s">
        <v>853</v>
      </c>
      <c r="C47" s="480">
        <v>637</v>
      </c>
      <c r="D47" s="480">
        <v>1077</v>
      </c>
      <c r="E47" s="96"/>
    </row>
    <row r="48" spans="2:5" ht="15.75">
      <c r="B48" s="154" t="s">
        <v>854</v>
      </c>
      <c r="C48" s="480">
        <v>6718</v>
      </c>
      <c r="D48" s="480">
        <v>857</v>
      </c>
      <c r="E48" s="264">
        <f>mvalloc!D14</f>
        <v>5925</v>
      </c>
    </row>
    <row r="49" spans="2:5" ht="15.75">
      <c r="B49" s="154" t="s">
        <v>855</v>
      </c>
      <c r="C49" s="480">
        <v>197</v>
      </c>
      <c r="D49" s="480">
        <v>24</v>
      </c>
      <c r="E49" s="264">
        <f>mvalloc!E14</f>
        <v>158</v>
      </c>
    </row>
    <row r="50" spans="2:5" ht="15.75">
      <c r="B50" s="168" t="s">
        <v>520</v>
      </c>
      <c r="C50" s="480">
        <v>257</v>
      </c>
      <c r="D50" s="480">
        <v>63</v>
      </c>
      <c r="E50" s="264">
        <f>mvalloc!F14</f>
        <v>479</v>
      </c>
    </row>
    <row r="51" spans="2:5" ht="15.75">
      <c r="B51" s="168" t="s">
        <v>232</v>
      </c>
      <c r="C51" s="480"/>
      <c r="D51" s="480"/>
      <c r="E51" s="264">
        <f>mvalloc!G14</f>
        <v>0</v>
      </c>
    </row>
    <row r="52" spans="2:5" ht="15.75">
      <c r="B52" s="316"/>
      <c r="C52" s="480"/>
      <c r="D52" s="480"/>
      <c r="E52" s="96"/>
    </row>
    <row r="53" spans="2:5" ht="15.75">
      <c r="B53" s="316" t="s">
        <v>365</v>
      </c>
      <c r="C53" s="480">
        <v>87513</v>
      </c>
      <c r="D53" s="480">
        <v>72000</v>
      </c>
      <c r="E53" s="96">
        <v>72000</v>
      </c>
    </row>
    <row r="54" spans="2:5" ht="15.75">
      <c r="B54" s="316"/>
      <c r="C54" s="480"/>
      <c r="D54" s="480"/>
      <c r="E54" s="96"/>
    </row>
    <row r="55" spans="2:5" ht="15.75">
      <c r="B55" s="304" t="s">
        <v>859</v>
      </c>
      <c r="C55" s="480"/>
      <c r="D55" s="480"/>
      <c r="E55" s="96"/>
    </row>
    <row r="56" spans="2:5" ht="15.75">
      <c r="B56" s="305" t="s">
        <v>966</v>
      </c>
      <c r="C56" s="480"/>
      <c r="D56" s="480"/>
      <c r="E56" s="96"/>
    </row>
    <row r="57" spans="2:5" ht="15.75">
      <c r="B57" s="305" t="s">
        <v>968</v>
      </c>
      <c r="C57" s="446">
        <f>IF(C58*0.1&lt;C56,"Exceed 10% Rule","")</f>
      </c>
      <c r="D57" s="446">
        <f>IF(D58*0.1&lt;D56,"Exceed 10% Rule","")</f>
      </c>
      <c r="E57" s="333">
        <f>IF(E58*0.1+E77&lt;E56,"Exceed 10% Rule","")</f>
      </c>
    </row>
    <row r="58" spans="2:5" ht="15.75">
      <c r="B58" s="307" t="s">
        <v>860</v>
      </c>
      <c r="C58" s="450">
        <f>SUM(C46:C56)</f>
        <v>103181</v>
      </c>
      <c r="D58" s="450">
        <f>SUM(D46:D56)</f>
        <v>136715</v>
      </c>
      <c r="E58" s="353">
        <f>SUM(E47:E56)</f>
        <v>78562</v>
      </c>
    </row>
    <row r="59" spans="2:5" ht="15.75">
      <c r="B59" s="307" t="s">
        <v>861</v>
      </c>
      <c r="C59" s="450">
        <f>C44+C58</f>
        <v>246520</v>
      </c>
      <c r="D59" s="450">
        <f>D44+D58</f>
        <v>221187</v>
      </c>
      <c r="E59" s="353">
        <f>E44+E58</f>
        <v>123749</v>
      </c>
    </row>
    <row r="60" spans="2:5" ht="15.75">
      <c r="B60" s="154" t="s">
        <v>864</v>
      </c>
      <c r="C60" s="305"/>
      <c r="D60" s="305"/>
      <c r="E60" s="164"/>
    </row>
    <row r="61" spans="2:5" ht="15.75">
      <c r="B61" s="316"/>
      <c r="C61" s="480"/>
      <c r="D61" s="480"/>
      <c r="E61" s="96"/>
    </row>
    <row r="62" spans="2:5" ht="15.75">
      <c r="B62" s="316" t="s">
        <v>332</v>
      </c>
      <c r="C62" s="480">
        <v>13275</v>
      </c>
      <c r="D62" s="480">
        <v>16000</v>
      </c>
      <c r="E62" s="96">
        <v>17000</v>
      </c>
    </row>
    <row r="63" spans="2:5" ht="15.75">
      <c r="B63" s="316" t="s">
        <v>358</v>
      </c>
      <c r="C63" s="480">
        <v>145401</v>
      </c>
      <c r="D63" s="480">
        <v>155000</v>
      </c>
      <c r="E63" s="96">
        <v>160000</v>
      </c>
    </row>
    <row r="64" spans="2:5" ht="15.75">
      <c r="B64" s="316" t="s">
        <v>359</v>
      </c>
      <c r="C64" s="480">
        <v>3372</v>
      </c>
      <c r="D64" s="480">
        <v>5000</v>
      </c>
      <c r="E64" s="96">
        <v>6000</v>
      </c>
    </row>
    <row r="65" spans="2:5" ht="15.75">
      <c r="B65" s="316" t="s">
        <v>360</v>
      </c>
      <c r="C65" s="480"/>
      <c r="D65" s="480"/>
      <c r="E65" s="96"/>
    </row>
    <row r="66" spans="2:5" ht="15.75">
      <c r="B66" s="316"/>
      <c r="C66" s="480"/>
      <c r="D66" s="480"/>
      <c r="E66" s="96"/>
    </row>
    <row r="67" spans="2:5" ht="15.75">
      <c r="B67" s="305" t="s">
        <v>965</v>
      </c>
      <c r="C67" s="480"/>
      <c r="D67" s="480"/>
      <c r="E67" s="100">
        <f>Nhood!E12</f>
      </c>
    </row>
    <row r="68" spans="2:5" ht="15.75">
      <c r="B68" s="305" t="s">
        <v>966</v>
      </c>
      <c r="C68" s="480"/>
      <c r="D68" s="480"/>
      <c r="E68" s="96"/>
    </row>
    <row r="69" spans="2:5" ht="15.75">
      <c r="B69" s="305" t="s">
        <v>967</v>
      </c>
      <c r="C69" s="446">
        <f>IF(C70*0.1&lt;C68,"Exceed 10% Rule","")</f>
      </c>
      <c r="D69" s="446">
        <f>IF(D70*0.1&lt;D68,"Exceed 10% Rule","")</f>
      </c>
      <c r="E69" s="333">
        <f>IF(E70*0.1&lt;E68,"Exceed 10% Rule","")</f>
      </c>
    </row>
    <row r="70" spans="2:5" ht="15.75">
      <c r="B70" s="307" t="s">
        <v>865</v>
      </c>
      <c r="C70" s="450">
        <f>SUM(C61:C68)</f>
        <v>162048</v>
      </c>
      <c r="D70" s="450">
        <f>SUM(D61:D68)</f>
        <v>176000</v>
      </c>
      <c r="E70" s="353">
        <f>SUM(E61:E68)</f>
        <v>183000</v>
      </c>
    </row>
    <row r="71" spans="2:5" ht="15.75">
      <c r="B71" s="154" t="s">
        <v>570</v>
      </c>
      <c r="C71" s="445">
        <f>C59-C70</f>
        <v>84472</v>
      </c>
      <c r="D71" s="445">
        <f>D59-D70</f>
        <v>45187</v>
      </c>
      <c r="E71" s="326" t="s">
        <v>462</v>
      </c>
    </row>
    <row r="72" spans="2:6" ht="15.75">
      <c r="B72" s="286" t="str">
        <f>CONCATENATE("",$E$1-2,"/",$E$1-1," Budget Authority Amount:")</f>
        <v>2010/2011 Budget Authority Amount:</v>
      </c>
      <c r="C72" s="278">
        <f>inputOth!B36</f>
        <v>175250</v>
      </c>
      <c r="D72" s="278">
        <f>inputPrYr!D22</f>
        <v>180775</v>
      </c>
      <c r="E72" s="326" t="s">
        <v>462</v>
      </c>
      <c r="F72" s="319"/>
    </row>
    <row r="73" spans="2:6" ht="15.75">
      <c r="B73" s="286"/>
      <c r="C73" s="700" t="s">
        <v>923</v>
      </c>
      <c r="D73" s="701"/>
      <c r="E73" s="96">
        <v>3000</v>
      </c>
      <c r="F73" s="319">
        <f>IF(E70/0.95-E70&lt;E73,"Exceeds 5%","")</f>
      </c>
    </row>
    <row r="74" spans="2:5" ht="15.75">
      <c r="B74" s="487" t="str">
        <f>CONCATENATE(C87,"      ",D87)</f>
        <v>      </v>
      </c>
      <c r="C74" s="702" t="s">
        <v>924</v>
      </c>
      <c r="D74" s="703"/>
      <c r="E74" s="264">
        <f>E70+E73</f>
        <v>186000</v>
      </c>
    </row>
    <row r="75" spans="2:5" ht="15.75">
      <c r="B75" s="487" t="str">
        <f>CONCATENATE(C88,"      ",D88)</f>
        <v>      </v>
      </c>
      <c r="C75" s="320"/>
      <c r="D75" s="109" t="s">
        <v>866</v>
      </c>
      <c r="E75" s="100">
        <f>IF(E74-E59&gt;0,E74-E59,0)</f>
        <v>62251</v>
      </c>
    </row>
    <row r="76" spans="2:5" ht="15.75">
      <c r="B76" s="109"/>
      <c r="C76" s="469" t="s">
        <v>925</v>
      </c>
      <c r="D76" s="460">
        <f>inputOth!$E$23</f>
        <v>0.03</v>
      </c>
      <c r="E76" s="264">
        <f>ROUND(IF(D76&gt;0,(E75*D76),0),0)</f>
        <v>1868</v>
      </c>
    </row>
    <row r="77" spans="2:5" ht="15.75">
      <c r="B77" s="69"/>
      <c r="C77" s="698" t="str">
        <f>CONCATENATE("Amount of  ",$E$1-1," Ad Valorem Tax")</f>
        <v>Amount of  2011 Ad Valorem Tax</v>
      </c>
      <c r="D77" s="699"/>
      <c r="E77" s="338">
        <f>E75+E76</f>
        <v>64119</v>
      </c>
    </row>
    <row r="78" spans="2:5" ht="15.75">
      <c r="B78" s="321" t="s">
        <v>477</v>
      </c>
      <c r="C78" s="339">
        <v>11</v>
      </c>
      <c r="D78" s="69"/>
      <c r="E78" s="69"/>
    </row>
    <row r="85" spans="3:4" ht="15.75" hidden="1">
      <c r="C85" s="53">
        <f>IF(C33&gt;C35,"See Tab A","")</f>
      </c>
      <c r="D85" s="53">
        <f>IF(D33&gt;D35,"See Tab C","")</f>
      </c>
    </row>
    <row r="86" spans="3:4" ht="15.75" hidden="1">
      <c r="C86" s="53">
        <f>IF(C34&lt;0,"See Tab B","")</f>
      </c>
      <c r="D86" s="53">
        <f>IF(D34&lt;0,"See Tab D","")</f>
      </c>
    </row>
    <row r="87" spans="3:4" ht="15.75" hidden="1">
      <c r="C87" s="53">
        <f>IF(C70&gt;C72,"See Tab A","")</f>
      </c>
      <c r="D87" s="53">
        <f>IF(D70&gt;D72,"See Tab C","")</f>
      </c>
    </row>
    <row r="88" spans="3:4" ht="15.75" hidden="1">
      <c r="C88" s="53">
        <f>IF(C71&lt;0,"See Tab B","")</f>
      </c>
      <c r="D88" s="53">
        <f>IF(D71&lt;0,"See Tab D","")</f>
      </c>
    </row>
    <row r="91" spans="3:4" ht="15.75">
      <c r="C91" s="53">
        <f>IF(C74&lt;0,"See Tab B","")</f>
      </c>
      <c r="D91" s="53">
        <f>IF(D74&lt;0,"See Tab D","")</f>
      </c>
    </row>
  </sheetData>
  <sheetProtection sheet="1"/>
  <mergeCells count="6">
    <mergeCell ref="C77:D77"/>
    <mergeCell ref="C40:D40"/>
    <mergeCell ref="C36:D36"/>
    <mergeCell ref="C37:D37"/>
    <mergeCell ref="C73:D73"/>
    <mergeCell ref="C74:D74"/>
  </mergeCells>
  <conditionalFormatting sqref="E36">
    <cfRule type="cellIs" priority="3" dxfId="350" operator="greaterThan" stopIfTrue="1">
      <formula>$E$33/0.95-$E$33</formula>
    </cfRule>
  </conditionalFormatting>
  <conditionalFormatting sqref="E68">
    <cfRule type="cellIs" priority="4" dxfId="350" operator="greaterThan" stopIfTrue="1">
      <formula>$E$70*0.1</formula>
    </cfRule>
  </conditionalFormatting>
  <conditionalFormatting sqref="C19">
    <cfRule type="cellIs" priority="5" dxfId="350" operator="greaterThan" stopIfTrue="1">
      <formula>$C$21*0.1</formula>
    </cfRule>
  </conditionalFormatting>
  <conditionalFormatting sqref="D19">
    <cfRule type="cellIs" priority="6" dxfId="350" operator="greaterThan" stopIfTrue="1">
      <formula>$D$21*0.1</formula>
    </cfRule>
  </conditionalFormatting>
  <conditionalFormatting sqref="E31">
    <cfRule type="cellIs" priority="7" dxfId="350" operator="greaterThan" stopIfTrue="1">
      <formula>$E$33*0.1</formula>
    </cfRule>
  </conditionalFormatting>
  <conditionalFormatting sqref="E73">
    <cfRule type="cellIs" priority="8" dxfId="350" operator="greaterThan" stopIfTrue="1">
      <formula>$E$70/0.95-$E$70</formula>
    </cfRule>
  </conditionalFormatting>
  <conditionalFormatting sqref="E19">
    <cfRule type="cellIs" priority="9" dxfId="350" operator="greaterThan" stopIfTrue="1">
      <formula>$E$21*0.1+E40</formula>
    </cfRule>
  </conditionalFormatting>
  <conditionalFormatting sqref="E56">
    <cfRule type="cellIs" priority="10" dxfId="350" operator="greaterThan" stopIfTrue="1">
      <formula>$E$58*0.1+E77</formula>
    </cfRule>
  </conditionalFormatting>
  <conditionalFormatting sqref="C68">
    <cfRule type="cellIs" priority="11" dxfId="2" operator="greaterThan" stopIfTrue="1">
      <formula>$C$70*0.1</formula>
    </cfRule>
  </conditionalFormatting>
  <conditionalFormatting sqref="D68">
    <cfRule type="cellIs" priority="12" dxfId="2" operator="greaterThan" stopIfTrue="1">
      <formula>$D$70*0.1</formula>
    </cfRule>
  </conditionalFormatting>
  <conditionalFormatting sqref="D56">
    <cfRule type="cellIs" priority="13" dxfId="2" operator="greaterThan" stopIfTrue="1">
      <formula>$D$58*0.1</formula>
    </cfRule>
  </conditionalFormatting>
  <conditionalFormatting sqref="C56">
    <cfRule type="cellIs" priority="14" dxfId="2" operator="greaterThan" stopIfTrue="1">
      <formula>$C$58*0.1</formula>
    </cfRule>
  </conditionalFormatting>
  <conditionalFormatting sqref="C31">
    <cfRule type="cellIs" priority="15" dxfId="2" operator="greaterThan" stopIfTrue="1">
      <formula>$C$33*0.1</formula>
    </cfRule>
  </conditionalFormatting>
  <conditionalFormatting sqref="D31">
    <cfRule type="cellIs" priority="16" dxfId="2" operator="greaterThan" stopIfTrue="1">
      <formula>$D$33*0.1</formula>
    </cfRule>
  </conditionalFormatting>
  <conditionalFormatting sqref="D33">
    <cfRule type="cellIs" priority="17" dxfId="2" operator="greaterThan" stopIfTrue="1">
      <formula>$D$35</formula>
    </cfRule>
  </conditionalFormatting>
  <conditionalFormatting sqref="C71 C34">
    <cfRule type="cellIs" priority="19" dxfId="2" operator="lessThan" stopIfTrue="1">
      <formula>0</formula>
    </cfRule>
  </conditionalFormatting>
  <conditionalFormatting sqref="C70">
    <cfRule type="cellIs" priority="20" dxfId="2" operator="greaterThan" stopIfTrue="1">
      <formula>$C$72</formula>
    </cfRule>
  </conditionalFormatting>
  <conditionalFormatting sqref="D70">
    <cfRule type="cellIs" priority="21" dxfId="2" operator="greaterThan" stopIfTrue="1">
      <formula>$D$72</formula>
    </cfRule>
  </conditionalFormatting>
  <conditionalFormatting sqref="D71 D34">
    <cfRule type="cellIs" priority="2" dxfId="0" operator="lessThan" stopIfTrue="1">
      <formula>0</formula>
    </cfRule>
  </conditionalFormatting>
  <printOptions/>
  <pageMargins left="1.12" right="0.5" top="0.74" bottom="0.34" header="0.5" footer="0"/>
  <pageSetup blackAndWhite="1" fitToHeight="1" fitToWidth="1" horizontalDpi="120" verticalDpi="120" orientation="portrait" scale="59" r:id="rId1"/>
  <headerFooter alignWithMargins="0">
    <oddHeader>&amp;RState of Kansas
County
</oddHeader>
  </headerFooter>
</worksheet>
</file>

<file path=xl/worksheets/sheet21.xml><?xml version="1.0" encoding="utf-8"?>
<worksheet xmlns="http://schemas.openxmlformats.org/spreadsheetml/2006/main" xmlns:r="http://schemas.openxmlformats.org/officeDocument/2006/relationships">
  <sheetPr>
    <pageSetUpPr fitToPage="1"/>
  </sheetPr>
  <dimension ref="B1:F88"/>
  <sheetViews>
    <sheetView zoomScalePageLayoutView="0" workbookViewId="0" topLeftCell="A69">
      <selection activeCell="E26" sqref="E26"/>
    </sheetView>
  </sheetViews>
  <sheetFormatPr defaultColWidth="8.796875" defaultRowHeight="15"/>
  <cols>
    <col min="1" max="1" width="2.3984375" style="53" customWidth="1"/>
    <col min="2" max="2" width="31.09765625" style="53" customWidth="1"/>
    <col min="3" max="4" width="15.796875" style="53" customWidth="1"/>
    <col min="5" max="5" width="16.69921875" style="53" customWidth="1"/>
    <col min="6" max="16384" width="8.8984375" style="53" customWidth="1"/>
  </cols>
  <sheetData>
    <row r="1" spans="2:5" ht="15.75">
      <c r="B1" s="205" t="str">
        <f>(inputPrYr!C3)</f>
        <v>MORRIS COUNTY</v>
      </c>
      <c r="C1" s="69"/>
      <c r="D1" s="69"/>
      <c r="E1" s="285">
        <f>inputPrYr!C5</f>
        <v>2012</v>
      </c>
    </row>
    <row r="2" spans="2:5" ht="15.75">
      <c r="B2" s="69"/>
      <c r="C2" s="69"/>
      <c r="D2" s="69"/>
      <c r="E2" s="109"/>
    </row>
    <row r="3" spans="2:5" ht="15.75">
      <c r="B3" s="214"/>
      <c r="C3" s="322"/>
      <c r="D3" s="322"/>
      <c r="E3" s="323"/>
    </row>
    <row r="4" spans="2:5" ht="15.75">
      <c r="B4" s="484" t="s">
        <v>528</v>
      </c>
      <c r="C4" s="146"/>
      <c r="D4" s="146"/>
      <c r="E4" s="146"/>
    </row>
    <row r="5" spans="2:5" ht="15.75">
      <c r="B5" s="68" t="s">
        <v>851</v>
      </c>
      <c r="C5" s="539" t="s">
        <v>479</v>
      </c>
      <c r="D5" s="540" t="s">
        <v>226</v>
      </c>
      <c r="E5" s="536" t="s">
        <v>227</v>
      </c>
    </row>
    <row r="6" spans="2:5" ht="15.75">
      <c r="B6" s="472" t="str">
        <f>inputPrYr!$B$23</f>
        <v>Ambulance</v>
      </c>
      <c r="C6" s="448">
        <f>E1-2</f>
        <v>2010</v>
      </c>
      <c r="D6" s="448">
        <f>E1-1</f>
        <v>2011</v>
      </c>
      <c r="E6" s="311">
        <f>E1</f>
        <v>2012</v>
      </c>
    </row>
    <row r="7" spans="2:5" ht="15.75">
      <c r="B7" s="154" t="s">
        <v>569</v>
      </c>
      <c r="C7" s="480">
        <v>8411</v>
      </c>
      <c r="D7" s="447">
        <f>C34</f>
        <v>3545</v>
      </c>
      <c r="E7" s="264">
        <f>D34</f>
        <v>8993</v>
      </c>
    </row>
    <row r="8" spans="2:5" ht="15.75">
      <c r="B8" s="289" t="s">
        <v>571</v>
      </c>
      <c r="C8" s="168"/>
      <c r="D8" s="168"/>
      <c r="E8" s="112"/>
    </row>
    <row r="9" spans="2:5" ht="15.75">
      <c r="B9" s="154" t="s">
        <v>852</v>
      </c>
      <c r="C9" s="480">
        <v>108228</v>
      </c>
      <c r="D9" s="447">
        <f>inputPrYr!E23</f>
        <v>117685</v>
      </c>
      <c r="E9" s="326" t="s">
        <v>462</v>
      </c>
    </row>
    <row r="10" spans="2:5" ht="15.75">
      <c r="B10" s="154" t="s">
        <v>853</v>
      </c>
      <c r="C10" s="480">
        <v>1196</v>
      </c>
      <c r="D10" s="480">
        <v>2965</v>
      </c>
      <c r="E10" s="96"/>
    </row>
    <row r="11" spans="2:5" ht="15.75">
      <c r="B11" s="154" t="s">
        <v>854</v>
      </c>
      <c r="C11" s="480">
        <v>10927</v>
      </c>
      <c r="D11" s="480">
        <v>11378</v>
      </c>
      <c r="E11" s="264">
        <f>mvalloc!D15</f>
        <v>11122</v>
      </c>
    </row>
    <row r="12" spans="2:5" ht="15.75">
      <c r="B12" s="154" t="s">
        <v>855</v>
      </c>
      <c r="C12" s="480">
        <v>310</v>
      </c>
      <c r="D12" s="480">
        <v>322</v>
      </c>
      <c r="E12" s="264">
        <f>mvalloc!E15</f>
        <v>297</v>
      </c>
    </row>
    <row r="13" spans="2:5" ht="15.75">
      <c r="B13" s="168" t="s">
        <v>520</v>
      </c>
      <c r="C13" s="480">
        <v>963</v>
      </c>
      <c r="D13" s="480">
        <v>843</v>
      </c>
      <c r="E13" s="264">
        <f>mvalloc!F15</f>
        <v>899</v>
      </c>
    </row>
    <row r="14" spans="2:5" ht="15.75">
      <c r="B14" s="168" t="s">
        <v>232</v>
      </c>
      <c r="C14" s="480"/>
      <c r="D14" s="480"/>
      <c r="E14" s="264">
        <f>mvalloc!G15</f>
        <v>0</v>
      </c>
    </row>
    <row r="15" spans="2:5" ht="15.75">
      <c r="B15" s="316"/>
      <c r="C15" s="480"/>
      <c r="D15" s="480"/>
      <c r="E15" s="96"/>
    </row>
    <row r="16" spans="2:5" ht="15.75">
      <c r="B16" s="316" t="s">
        <v>366</v>
      </c>
      <c r="C16" s="480">
        <v>8586</v>
      </c>
      <c r="D16" s="480">
        <v>8000</v>
      </c>
      <c r="E16" s="96">
        <v>8000</v>
      </c>
    </row>
    <row r="17" spans="2:5" ht="15.75">
      <c r="B17" s="316"/>
      <c r="C17" s="480"/>
      <c r="D17" s="480"/>
      <c r="E17" s="96"/>
    </row>
    <row r="18" spans="2:5" ht="15.75">
      <c r="B18" s="304" t="s">
        <v>859</v>
      </c>
      <c r="C18" s="480"/>
      <c r="D18" s="480"/>
      <c r="E18" s="96"/>
    </row>
    <row r="19" spans="2:5" ht="15.75">
      <c r="B19" s="305" t="s">
        <v>966</v>
      </c>
      <c r="C19" s="480"/>
      <c r="D19" s="480"/>
      <c r="E19" s="96"/>
    </row>
    <row r="20" spans="2:5" ht="15.75">
      <c r="B20" s="305" t="s">
        <v>968</v>
      </c>
      <c r="C20" s="446">
        <f>IF(C21*0.1&lt;C19,"Exceed 10% Rule","")</f>
      </c>
      <c r="D20" s="446">
        <f>IF(D21*0.1&lt;D19,"Exceed 10% Rule","")</f>
      </c>
      <c r="E20" s="333">
        <f>IF(E21*0.1+E40&lt;E19,"Exceed 10% Rule","")</f>
      </c>
    </row>
    <row r="21" spans="2:5" ht="15.75">
      <c r="B21" s="307" t="s">
        <v>860</v>
      </c>
      <c r="C21" s="450">
        <f>SUM(C9:C19)</f>
        <v>130210</v>
      </c>
      <c r="D21" s="450">
        <f>SUM(D9:D19)</f>
        <v>141193</v>
      </c>
      <c r="E21" s="353">
        <f>SUM(E9:E19)</f>
        <v>20318</v>
      </c>
    </row>
    <row r="22" spans="2:5" ht="15.75">
      <c r="B22" s="307" t="s">
        <v>861</v>
      </c>
      <c r="C22" s="450">
        <f>C7+C21</f>
        <v>138621</v>
      </c>
      <c r="D22" s="450">
        <f>D7+D21</f>
        <v>144738</v>
      </c>
      <c r="E22" s="353">
        <f>E7+E21</f>
        <v>29311</v>
      </c>
    </row>
    <row r="23" spans="2:5" ht="15.75">
      <c r="B23" s="154" t="s">
        <v>864</v>
      </c>
      <c r="C23" s="305"/>
      <c r="D23" s="305"/>
      <c r="E23" s="164"/>
    </row>
    <row r="24" spans="2:5" ht="15.75">
      <c r="B24" s="316"/>
      <c r="C24" s="480"/>
      <c r="D24" s="480"/>
      <c r="E24" s="96"/>
    </row>
    <row r="25" spans="2:5" ht="15.75">
      <c r="B25" s="316" t="s">
        <v>363</v>
      </c>
      <c r="C25" s="480">
        <v>63076</v>
      </c>
      <c r="D25" s="480">
        <v>63745</v>
      </c>
      <c r="E25" s="96">
        <v>64443</v>
      </c>
    </row>
    <row r="26" spans="2:5" ht="15.75">
      <c r="B26" s="316" t="s">
        <v>367</v>
      </c>
      <c r="C26" s="480">
        <v>72000</v>
      </c>
      <c r="D26" s="480">
        <v>72000</v>
      </c>
      <c r="E26" s="96">
        <v>72000</v>
      </c>
    </row>
    <row r="27" spans="2:5" ht="15.75">
      <c r="B27" s="316"/>
      <c r="C27" s="480"/>
      <c r="D27" s="480"/>
      <c r="E27" s="96"/>
    </row>
    <row r="28" spans="2:5" ht="15.75">
      <c r="B28" s="316"/>
      <c r="C28" s="480"/>
      <c r="D28" s="480"/>
      <c r="E28" s="96"/>
    </row>
    <row r="29" spans="2:5" ht="15.75">
      <c r="B29" s="316"/>
      <c r="C29" s="480"/>
      <c r="D29" s="480"/>
      <c r="E29" s="96"/>
    </row>
    <row r="30" spans="2:5" ht="15.75">
      <c r="B30" s="305" t="s">
        <v>965</v>
      </c>
      <c r="C30" s="480"/>
      <c r="D30" s="480"/>
      <c r="E30" s="100">
        <f>Nhood!E13</f>
      </c>
    </row>
    <row r="31" spans="2:5" ht="15.75">
      <c r="B31" s="305" t="s">
        <v>966</v>
      </c>
      <c r="C31" s="480"/>
      <c r="D31" s="480"/>
      <c r="E31" s="96"/>
    </row>
    <row r="32" spans="2:5" ht="15.75">
      <c r="B32" s="305" t="s">
        <v>967</v>
      </c>
      <c r="C32" s="446">
        <f>IF(C33*0.1&lt;C31,"Exceed 10% Rule","")</f>
      </c>
      <c r="D32" s="446">
        <f>IF(D33*0.1&lt;D31,"Exceed 10% Rule","")</f>
      </c>
      <c r="E32" s="333">
        <f>IF(E33*0.1&lt;E31,"Exceed 10% Rule","")</f>
      </c>
    </row>
    <row r="33" spans="2:5" ht="15.75">
      <c r="B33" s="307" t="s">
        <v>865</v>
      </c>
      <c r="C33" s="450">
        <f>SUM(C24:C31)</f>
        <v>135076</v>
      </c>
      <c r="D33" s="450">
        <f>SUM(D24:D31)</f>
        <v>135745</v>
      </c>
      <c r="E33" s="353">
        <f>SUM(E24:E31)</f>
        <v>136443</v>
      </c>
    </row>
    <row r="34" spans="2:5" ht="15.75">
      <c r="B34" s="154" t="s">
        <v>570</v>
      </c>
      <c r="C34" s="445">
        <f>C22-C33</f>
        <v>3545</v>
      </c>
      <c r="D34" s="445">
        <f>D22-D33</f>
        <v>8993</v>
      </c>
      <c r="E34" s="326" t="s">
        <v>462</v>
      </c>
    </row>
    <row r="35" spans="2:6" ht="15.75">
      <c r="B35" s="286" t="str">
        <f>CONCATENATE("",$E$1-2,"/",$E$1-1," Budget Authority Amount:")</f>
        <v>2010/2011 Budget Authority Amount:</v>
      </c>
      <c r="C35" s="278">
        <f>inputOth!B37</f>
        <v>135076</v>
      </c>
      <c r="D35" s="278">
        <f>inputPrYr!D23</f>
        <v>135745</v>
      </c>
      <c r="E35" s="326" t="s">
        <v>462</v>
      </c>
      <c r="F35" s="319"/>
    </row>
    <row r="36" spans="2:6" ht="15.75">
      <c r="B36" s="286"/>
      <c r="C36" s="700" t="s">
        <v>923</v>
      </c>
      <c r="D36" s="701"/>
      <c r="E36" s="96">
        <v>3000</v>
      </c>
      <c r="F36" s="319">
        <f>IF(E33/0.95-E33&lt;E36,"Exceeds 5%","")</f>
      </c>
    </row>
    <row r="37" spans="2:5" ht="15.75">
      <c r="B37" s="487" t="str">
        <f>CONCATENATE(C85,"     ",D85)</f>
        <v>     </v>
      </c>
      <c r="C37" s="702" t="s">
        <v>924</v>
      </c>
      <c r="D37" s="703"/>
      <c r="E37" s="264">
        <f>E33+E36</f>
        <v>139443</v>
      </c>
    </row>
    <row r="38" spans="2:5" ht="15.75">
      <c r="B38" s="487" t="str">
        <f>CONCATENATE(C86,"      ",D86)</f>
        <v>      </v>
      </c>
      <c r="C38" s="320"/>
      <c r="D38" s="109" t="s">
        <v>866</v>
      </c>
      <c r="E38" s="100">
        <f>IF(E37-E22&gt;0,E37-E22,0)</f>
        <v>110132</v>
      </c>
    </row>
    <row r="39" spans="2:5" ht="15.75">
      <c r="B39" s="109"/>
      <c r="C39" s="469" t="s">
        <v>925</v>
      </c>
      <c r="D39" s="460">
        <f>inputOth!$E$23</f>
        <v>0.03</v>
      </c>
      <c r="E39" s="264">
        <f>ROUND(IF(D39&gt;0,(E38*D39),0),0)</f>
        <v>3304</v>
      </c>
    </row>
    <row r="40" spans="2:5" ht="15.75">
      <c r="B40" s="69"/>
      <c r="C40" s="698" t="str">
        <f>CONCATENATE("Amount of  ",$E$1-1," Ad Valorem Tax")</f>
        <v>Amount of  2011 Ad Valorem Tax</v>
      </c>
      <c r="D40" s="699"/>
      <c r="E40" s="338">
        <f>E38+E39</f>
        <v>113436</v>
      </c>
    </row>
    <row r="41" spans="2:5" ht="15.75">
      <c r="B41" s="69"/>
      <c r="C41" s="146"/>
      <c r="D41" s="146"/>
      <c r="E41" s="146"/>
    </row>
    <row r="42" spans="2:5" ht="15.75">
      <c r="B42" s="68" t="s">
        <v>851</v>
      </c>
      <c r="C42" s="539" t="str">
        <f aca="true" t="shared" si="0" ref="C42:E43">C5</f>
        <v>Prior Year Actual</v>
      </c>
      <c r="D42" s="540" t="str">
        <f t="shared" si="0"/>
        <v>Current Year Estimate</v>
      </c>
      <c r="E42" s="536" t="str">
        <f t="shared" si="0"/>
        <v>Proposed Budget Year</v>
      </c>
    </row>
    <row r="43" spans="2:5" ht="15.75">
      <c r="B43" s="472" t="str">
        <f>inputPrYr!$B$24</f>
        <v>Mental Health</v>
      </c>
      <c r="C43" s="448">
        <f t="shared" si="0"/>
        <v>2010</v>
      </c>
      <c r="D43" s="448">
        <f t="shared" si="0"/>
        <v>2011</v>
      </c>
      <c r="E43" s="311">
        <f t="shared" si="0"/>
        <v>2012</v>
      </c>
    </row>
    <row r="44" spans="2:5" ht="15.75">
      <c r="B44" s="154" t="s">
        <v>569</v>
      </c>
      <c r="C44" s="480">
        <v>2442</v>
      </c>
      <c r="D44" s="447">
        <f>C71</f>
        <v>357</v>
      </c>
      <c r="E44" s="264">
        <f>D71</f>
        <v>3032</v>
      </c>
    </row>
    <row r="45" spans="2:5" ht="15.75">
      <c r="B45" s="300" t="s">
        <v>571</v>
      </c>
      <c r="C45" s="168"/>
      <c r="D45" s="168"/>
      <c r="E45" s="112"/>
    </row>
    <row r="46" spans="2:5" ht="15.75">
      <c r="B46" s="154" t="s">
        <v>852</v>
      </c>
      <c r="C46" s="480">
        <v>40338</v>
      </c>
      <c r="D46" s="447">
        <f>inputPrYr!E24</f>
        <v>44266</v>
      </c>
      <c r="E46" s="326" t="s">
        <v>462</v>
      </c>
    </row>
    <row r="47" spans="2:5" ht="15.75">
      <c r="B47" s="154" t="s">
        <v>853</v>
      </c>
      <c r="C47" s="480">
        <v>451</v>
      </c>
      <c r="D47" s="480">
        <v>1111</v>
      </c>
      <c r="E47" s="96"/>
    </row>
    <row r="48" spans="2:5" ht="15.75">
      <c r="B48" s="154" t="s">
        <v>854</v>
      </c>
      <c r="C48" s="480">
        <v>4015</v>
      </c>
      <c r="D48" s="480">
        <v>4239</v>
      </c>
      <c r="E48" s="264">
        <f>mvalloc!D16</f>
        <v>4183</v>
      </c>
    </row>
    <row r="49" spans="2:5" ht="15.75">
      <c r="B49" s="154" t="s">
        <v>855</v>
      </c>
      <c r="C49" s="480">
        <v>114</v>
      </c>
      <c r="D49" s="480">
        <v>120</v>
      </c>
      <c r="E49" s="264">
        <f>mvalloc!E16</f>
        <v>112</v>
      </c>
    </row>
    <row r="50" spans="2:5" ht="15.75">
      <c r="B50" s="168" t="s">
        <v>520</v>
      </c>
      <c r="C50" s="480">
        <v>372</v>
      </c>
      <c r="D50" s="480">
        <v>314</v>
      </c>
      <c r="E50" s="264">
        <f>mvalloc!F16</f>
        <v>338</v>
      </c>
    </row>
    <row r="51" spans="2:5" ht="15.75">
      <c r="B51" s="168" t="s">
        <v>232</v>
      </c>
      <c r="C51" s="480"/>
      <c r="D51" s="480"/>
      <c r="E51" s="264">
        <f>mvalloc!G16</f>
        <v>0</v>
      </c>
    </row>
    <row r="52" spans="2:5" ht="15.75">
      <c r="B52" s="316"/>
      <c r="C52" s="480"/>
      <c r="D52" s="480"/>
      <c r="E52" s="96"/>
    </row>
    <row r="53" spans="2:5" ht="15.75">
      <c r="B53" s="316"/>
      <c r="C53" s="480"/>
      <c r="D53" s="480"/>
      <c r="E53" s="96"/>
    </row>
    <row r="54" spans="2:5" ht="15.75">
      <c r="B54" s="316"/>
      <c r="C54" s="480"/>
      <c r="D54" s="480"/>
      <c r="E54" s="96"/>
    </row>
    <row r="55" spans="2:5" ht="15.75">
      <c r="B55" s="304" t="s">
        <v>859</v>
      </c>
      <c r="C55" s="480"/>
      <c r="D55" s="480"/>
      <c r="E55" s="96"/>
    </row>
    <row r="56" spans="2:5" ht="15.75">
      <c r="B56" s="305" t="s">
        <v>966</v>
      </c>
      <c r="C56" s="480"/>
      <c r="D56" s="480"/>
      <c r="E56" s="96"/>
    </row>
    <row r="57" spans="2:5" ht="15.75">
      <c r="B57" s="305" t="s">
        <v>968</v>
      </c>
      <c r="C57" s="446">
        <f>IF(C58*0.1&lt;C56,"Exceed 10% Rule","")</f>
      </c>
      <c r="D57" s="446">
        <f>IF(D58*0.1&lt;D56,"Exceed 10% Rule","")</f>
      </c>
      <c r="E57" s="333">
        <f>IF(E58*0.1+E77&lt;E56,"Exceed 10% Rule","")</f>
      </c>
    </row>
    <row r="58" spans="2:5" ht="15.75">
      <c r="B58" s="307" t="s">
        <v>860</v>
      </c>
      <c r="C58" s="450">
        <f>SUM(C46:C56)</f>
        <v>45290</v>
      </c>
      <c r="D58" s="450">
        <f>SUM(D46:D56)</f>
        <v>50050</v>
      </c>
      <c r="E58" s="353">
        <f>SUM(E46:E56)</f>
        <v>4633</v>
      </c>
    </row>
    <row r="59" spans="2:5" ht="15.75">
      <c r="B59" s="307" t="s">
        <v>861</v>
      </c>
      <c r="C59" s="450">
        <f>C44+C58</f>
        <v>47732</v>
      </c>
      <c r="D59" s="450">
        <f>D44+D58</f>
        <v>50407</v>
      </c>
      <c r="E59" s="353">
        <f>E44+E58</f>
        <v>7665</v>
      </c>
    </row>
    <row r="60" spans="2:5" ht="15.75">
      <c r="B60" s="154" t="s">
        <v>864</v>
      </c>
      <c r="C60" s="305"/>
      <c r="D60" s="305"/>
      <c r="E60" s="164"/>
    </row>
    <row r="61" spans="2:5" ht="15.75">
      <c r="B61" s="316"/>
      <c r="C61" s="480"/>
      <c r="D61" s="480"/>
      <c r="E61" s="96"/>
    </row>
    <row r="62" spans="2:5" ht="15.75">
      <c r="B62" s="316" t="s">
        <v>368</v>
      </c>
      <c r="C62" s="480">
        <v>35375</v>
      </c>
      <c r="D62" s="480">
        <v>35375</v>
      </c>
      <c r="E62" s="96">
        <v>45000</v>
      </c>
    </row>
    <row r="63" spans="2:5" ht="15.75">
      <c r="B63" s="316" t="s">
        <v>369</v>
      </c>
      <c r="C63" s="480">
        <v>12000</v>
      </c>
      <c r="D63" s="480">
        <v>12000</v>
      </c>
      <c r="E63" s="96">
        <v>12000</v>
      </c>
    </row>
    <row r="64" spans="2:5" ht="15.75">
      <c r="B64" s="316"/>
      <c r="C64" s="480"/>
      <c r="D64" s="480"/>
      <c r="E64" s="96"/>
    </row>
    <row r="65" spans="2:5" ht="15.75">
      <c r="B65" s="316"/>
      <c r="C65" s="480"/>
      <c r="D65" s="480"/>
      <c r="E65" s="96"/>
    </row>
    <row r="66" spans="2:5" ht="15.75">
      <c r="B66" s="316"/>
      <c r="C66" s="480"/>
      <c r="D66" s="480"/>
      <c r="E66" s="96"/>
    </row>
    <row r="67" spans="2:5" ht="15.75">
      <c r="B67" s="305" t="s">
        <v>965</v>
      </c>
      <c r="C67" s="480"/>
      <c r="D67" s="480"/>
      <c r="E67" s="100">
        <f>Nhood!E14</f>
      </c>
    </row>
    <row r="68" spans="2:5" ht="15.75">
      <c r="B68" s="305" t="s">
        <v>966</v>
      </c>
      <c r="C68" s="480"/>
      <c r="D68" s="480"/>
      <c r="E68" s="96"/>
    </row>
    <row r="69" spans="2:5" ht="15.75">
      <c r="B69" s="305" t="s">
        <v>967</v>
      </c>
      <c r="C69" s="446">
        <f>IF(C70*0.1&lt;C68,"Exceed 10% Rule","")</f>
      </c>
      <c r="D69" s="446">
        <f>IF(D70*0.1&lt;D68,"Exceed 10% Rule","")</f>
      </c>
      <c r="E69" s="333">
        <f>IF(E70*0.1&lt;E68,"Exceed 10% Rule","")</f>
      </c>
    </row>
    <row r="70" spans="2:5" ht="15.75">
      <c r="B70" s="307" t="s">
        <v>865</v>
      </c>
      <c r="C70" s="450">
        <f>SUM(C61:C68)</f>
        <v>47375</v>
      </c>
      <c r="D70" s="450">
        <f>SUM(D61:D68)</f>
        <v>47375</v>
      </c>
      <c r="E70" s="353">
        <f>SUM(E61:E68)</f>
        <v>57000</v>
      </c>
    </row>
    <row r="71" spans="2:5" ht="15.75">
      <c r="B71" s="154" t="s">
        <v>570</v>
      </c>
      <c r="C71" s="445">
        <f>C59-C70</f>
        <v>357</v>
      </c>
      <c r="D71" s="445">
        <f>D59-D70</f>
        <v>3032</v>
      </c>
      <c r="E71" s="326" t="s">
        <v>462</v>
      </c>
    </row>
    <row r="72" spans="2:6" ht="15.75">
      <c r="B72" s="286" t="str">
        <f>CONCATENATE("",$E$1-2,"/",$E$1-1," Budget Authority Amount:")</f>
        <v>2010/2011 Budget Authority Amount:</v>
      </c>
      <c r="C72" s="278">
        <f>inputOth!B38</f>
        <v>47375</v>
      </c>
      <c r="D72" s="278">
        <f>inputPrYr!D24</f>
        <v>47375</v>
      </c>
      <c r="E72" s="326" t="s">
        <v>462</v>
      </c>
      <c r="F72" s="319"/>
    </row>
    <row r="73" spans="2:6" ht="15.75">
      <c r="B73" s="286"/>
      <c r="C73" s="700" t="s">
        <v>923</v>
      </c>
      <c r="D73" s="701"/>
      <c r="E73" s="96">
        <v>2000</v>
      </c>
      <c r="F73" s="319">
        <f>IF(E70/0.95-E70&lt;E73,"Exceeds 5%","")</f>
      </c>
    </row>
    <row r="74" spans="2:5" ht="15.75">
      <c r="B74" s="487" t="str">
        <f>CONCATENATE(C87,"      ",D87)</f>
        <v>      </v>
      </c>
      <c r="C74" s="702" t="s">
        <v>924</v>
      </c>
      <c r="D74" s="703"/>
      <c r="E74" s="264">
        <f>E70+E73</f>
        <v>59000</v>
      </c>
    </row>
    <row r="75" spans="2:5" ht="15.75">
      <c r="B75" s="487" t="str">
        <f>CONCATENATE(C88,"      ",D88)</f>
        <v>      </v>
      </c>
      <c r="C75" s="320"/>
      <c r="D75" s="109" t="s">
        <v>866</v>
      </c>
      <c r="E75" s="100">
        <f>IF(E74-E59&gt;0,E74-E59,0)</f>
        <v>51335</v>
      </c>
    </row>
    <row r="76" spans="2:5" ht="15.75">
      <c r="B76" s="109"/>
      <c r="C76" s="469" t="s">
        <v>925</v>
      </c>
      <c r="D76" s="460">
        <f>inputOth!$E$23</f>
        <v>0.03</v>
      </c>
      <c r="E76" s="264">
        <f>ROUND(IF(D76&gt;0,(E75*D76),0),0)</f>
        <v>1540</v>
      </c>
    </row>
    <row r="77" spans="2:5" ht="15.75">
      <c r="B77" s="69"/>
      <c r="C77" s="698" t="str">
        <f>CONCATENATE("Amount of  ",$E$1-1," Ad Valorem Tax")</f>
        <v>Amount of  2011 Ad Valorem Tax</v>
      </c>
      <c r="D77" s="699"/>
      <c r="E77" s="338">
        <f>E75+E76</f>
        <v>52875</v>
      </c>
    </row>
    <row r="78" spans="2:5" ht="15.75">
      <c r="B78" s="321" t="s">
        <v>477</v>
      </c>
      <c r="C78" s="339">
        <v>12</v>
      </c>
      <c r="D78" s="69"/>
      <c r="E78" s="69"/>
    </row>
    <row r="85" spans="3:4" ht="15.75" hidden="1">
      <c r="C85" s="53">
        <f>IF(C33&gt;C35,"See Tab A","")</f>
      </c>
      <c r="D85" s="53">
        <f>IF(D33&gt;D35,"See Tab C","")</f>
      </c>
    </row>
    <row r="86" spans="3:4" ht="15.75" hidden="1">
      <c r="C86" s="53">
        <f>IF(C34&lt;0,"See Tab B","")</f>
      </c>
      <c r="D86" s="53">
        <f>IF(D34&lt;0,"See Tab D","")</f>
      </c>
    </row>
    <row r="87" spans="3:4" ht="15.75" hidden="1">
      <c r="C87" s="53">
        <f>IF(C70&gt;C72,"See Tab A","")</f>
      </c>
      <c r="D87" s="53">
        <f>IF(D70&gt;D72,"See Tab C","")</f>
      </c>
    </row>
    <row r="88" spans="3:4" ht="15.75" hidden="1">
      <c r="C88" s="53">
        <f>IF(C71&lt;0,"See Tab B","")</f>
      </c>
      <c r="D88" s="53">
        <f>IF(D71&lt;0,"See Tab D","")</f>
      </c>
    </row>
  </sheetData>
  <sheetProtection sheet="1"/>
  <mergeCells count="6">
    <mergeCell ref="C77:D77"/>
    <mergeCell ref="C40:D40"/>
    <mergeCell ref="C36:D36"/>
    <mergeCell ref="C37:D37"/>
    <mergeCell ref="C73:D73"/>
    <mergeCell ref="C74:D74"/>
  </mergeCells>
  <conditionalFormatting sqref="E36">
    <cfRule type="cellIs" priority="3" dxfId="350" operator="greaterThan" stopIfTrue="1">
      <formula>$E$33/0.95-$E$33</formula>
    </cfRule>
  </conditionalFormatting>
  <conditionalFormatting sqref="E73">
    <cfRule type="cellIs" priority="4" dxfId="350" operator="greaterThan" stopIfTrue="1">
      <formula>$E$70/0.95-$E$70</formula>
    </cfRule>
  </conditionalFormatting>
  <conditionalFormatting sqref="E68">
    <cfRule type="cellIs" priority="5" dxfId="350" operator="greaterThan" stopIfTrue="1">
      <formula>$E$70*0.1</formula>
    </cfRule>
  </conditionalFormatting>
  <conditionalFormatting sqref="C19">
    <cfRule type="cellIs" priority="6" dxfId="350" operator="greaterThan" stopIfTrue="1">
      <formula>$C$21*0.1</formula>
    </cfRule>
  </conditionalFormatting>
  <conditionalFormatting sqref="D19">
    <cfRule type="cellIs" priority="7" dxfId="350" operator="greaterThan" stopIfTrue="1">
      <formula>$D$21*0.1</formula>
    </cfRule>
  </conditionalFormatting>
  <conditionalFormatting sqref="E31">
    <cfRule type="cellIs" priority="8" dxfId="350" operator="greaterThan" stopIfTrue="1">
      <formula>$E$33*0.1</formula>
    </cfRule>
  </conditionalFormatting>
  <conditionalFormatting sqref="E19">
    <cfRule type="cellIs" priority="9" dxfId="350" operator="greaterThan" stopIfTrue="1">
      <formula>$E$21*0.1+E40</formula>
    </cfRule>
  </conditionalFormatting>
  <conditionalFormatting sqref="E56">
    <cfRule type="cellIs" priority="10" dxfId="350" operator="greaterThan" stopIfTrue="1">
      <formula>$E$58*0.1+E77</formula>
    </cfRule>
  </conditionalFormatting>
  <conditionalFormatting sqref="C68">
    <cfRule type="cellIs" priority="11" dxfId="2" operator="greaterThan" stopIfTrue="1">
      <formula>$C$70*0.1</formula>
    </cfRule>
  </conditionalFormatting>
  <conditionalFormatting sqref="D68">
    <cfRule type="cellIs" priority="12" dxfId="2" operator="greaterThan" stopIfTrue="1">
      <formula>$D$70*0.1</formula>
    </cfRule>
  </conditionalFormatting>
  <conditionalFormatting sqref="D56">
    <cfRule type="cellIs" priority="13" dxfId="2" operator="greaterThan" stopIfTrue="1">
      <formula>$D$58*0.1</formula>
    </cfRule>
  </conditionalFormatting>
  <conditionalFormatting sqref="C56">
    <cfRule type="cellIs" priority="14" dxfId="2" operator="greaterThan" stopIfTrue="1">
      <formula>$C$58*0.1</formula>
    </cfRule>
  </conditionalFormatting>
  <conditionalFormatting sqref="C31">
    <cfRule type="cellIs" priority="15" dxfId="2" operator="greaterThan" stopIfTrue="1">
      <formula>$C$33*0.1</formula>
    </cfRule>
  </conditionalFormatting>
  <conditionalFormatting sqref="D31">
    <cfRule type="cellIs" priority="16" dxfId="2" operator="greaterThan" stopIfTrue="1">
      <formula>$D$33*0.1</formula>
    </cfRule>
  </conditionalFormatting>
  <conditionalFormatting sqref="C33">
    <cfRule type="cellIs" priority="17" dxfId="2" operator="greaterThan" stopIfTrue="1">
      <formula>$C$35</formula>
    </cfRule>
  </conditionalFormatting>
  <conditionalFormatting sqref="D33">
    <cfRule type="cellIs" priority="18" dxfId="2" operator="greaterThan" stopIfTrue="1">
      <formula>$D$35</formula>
    </cfRule>
  </conditionalFormatting>
  <conditionalFormatting sqref="C34 C71">
    <cfRule type="cellIs" priority="19" dxfId="2" operator="lessThan" stopIfTrue="1">
      <formula>0</formula>
    </cfRule>
  </conditionalFormatting>
  <conditionalFormatting sqref="C70">
    <cfRule type="cellIs" priority="20" dxfId="2" operator="greaterThan" stopIfTrue="1">
      <formula>$C$72</formula>
    </cfRule>
  </conditionalFormatting>
  <conditionalFormatting sqref="D70">
    <cfRule type="cellIs" priority="21" dxfId="2" operator="greaterThan" stopIfTrue="1">
      <formula>$D$72</formula>
    </cfRule>
  </conditionalFormatting>
  <conditionalFormatting sqref="D34 D71">
    <cfRule type="cellIs" priority="2" dxfId="0" operator="lessThan" stopIfTrue="1">
      <formula>0</formula>
    </cfRule>
  </conditionalFormatting>
  <printOptions/>
  <pageMargins left="1.12" right="0.5" top="0.74" bottom="0.34" header="0.5" footer="0"/>
  <pageSetup blackAndWhite="1" fitToHeight="1" fitToWidth="1" horizontalDpi="120" verticalDpi="120" orientation="portrait" scale="65" r:id="rId1"/>
  <headerFooter alignWithMargins="0">
    <oddHeader>&amp;RState of Kansas
County
</oddHeader>
  </headerFooter>
</worksheet>
</file>

<file path=xl/worksheets/sheet2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5"/>
  <sheetData/>
  <sheetProtection/>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sheetPr>
    <pageSetUpPr fitToPage="1"/>
  </sheetPr>
  <dimension ref="B1:F88"/>
  <sheetViews>
    <sheetView zoomScalePageLayoutView="0" workbookViewId="0" topLeftCell="A67">
      <selection activeCell="E26" sqref="E26"/>
    </sheetView>
  </sheetViews>
  <sheetFormatPr defaultColWidth="8.796875" defaultRowHeight="15"/>
  <cols>
    <col min="1" max="1" width="2.3984375" style="53" customWidth="1"/>
    <col min="2" max="2" width="31.09765625" style="53" customWidth="1"/>
    <col min="3" max="4" width="15.796875" style="53" customWidth="1"/>
    <col min="5" max="5" width="16.296875" style="53" customWidth="1"/>
    <col min="6" max="16384" width="8.8984375" style="53" customWidth="1"/>
  </cols>
  <sheetData>
    <row r="1" spans="2:5" ht="15.75">
      <c r="B1" s="205" t="str">
        <f>(inputPrYr!C3)</f>
        <v>MORRIS COUNTY</v>
      </c>
      <c r="C1" s="69"/>
      <c r="D1" s="69"/>
      <c r="E1" s="285">
        <f>inputPrYr!C5</f>
        <v>2012</v>
      </c>
    </row>
    <row r="2" spans="2:5" ht="15.75">
      <c r="B2" s="69"/>
      <c r="C2" s="69"/>
      <c r="D2" s="69"/>
      <c r="E2" s="109"/>
    </row>
    <row r="3" spans="2:5" ht="15.75">
      <c r="B3" s="214"/>
      <c r="C3" s="322"/>
      <c r="D3" s="322"/>
      <c r="E3" s="323"/>
    </row>
    <row r="4" spans="2:5" ht="15.75">
      <c r="B4" s="484" t="s">
        <v>528</v>
      </c>
      <c r="C4" s="146"/>
      <c r="D4" s="146"/>
      <c r="E4" s="146"/>
    </row>
    <row r="5" spans="2:5" ht="15.75">
      <c r="B5" s="68" t="s">
        <v>851</v>
      </c>
      <c r="C5" s="539" t="s">
        <v>479</v>
      </c>
      <c r="D5" s="540" t="s">
        <v>226</v>
      </c>
      <c r="E5" s="536" t="s">
        <v>227</v>
      </c>
    </row>
    <row r="6" spans="2:5" ht="15.75">
      <c r="B6" s="472" t="str">
        <f>inputPrYr!$B$25</f>
        <v>Hospital Maintenance</v>
      </c>
      <c r="C6" s="448">
        <f>E1-2</f>
        <v>2010</v>
      </c>
      <c r="D6" s="448">
        <f>E1-1</f>
        <v>2011</v>
      </c>
      <c r="E6" s="311">
        <f>E1</f>
        <v>2012</v>
      </c>
    </row>
    <row r="7" spans="2:5" ht="15.75">
      <c r="B7" s="154" t="s">
        <v>569</v>
      </c>
      <c r="C7" s="480">
        <v>4076</v>
      </c>
      <c r="D7" s="447">
        <f>C34</f>
        <v>613</v>
      </c>
      <c r="E7" s="264">
        <f>D34</f>
        <v>7369</v>
      </c>
    </row>
    <row r="8" spans="2:5" ht="15.75">
      <c r="B8" s="289" t="s">
        <v>571</v>
      </c>
      <c r="C8" s="168"/>
      <c r="D8" s="168"/>
      <c r="E8" s="112"/>
    </row>
    <row r="9" spans="2:5" ht="15.75">
      <c r="B9" s="154" t="s">
        <v>852</v>
      </c>
      <c r="C9" s="480">
        <v>109391</v>
      </c>
      <c r="D9" s="447">
        <f>inputPrYr!E25</f>
        <v>118627</v>
      </c>
      <c r="E9" s="326" t="s">
        <v>462</v>
      </c>
    </row>
    <row r="10" spans="2:5" ht="15.75">
      <c r="B10" s="154" t="s">
        <v>853</v>
      </c>
      <c r="C10" s="480">
        <v>1188</v>
      </c>
      <c r="D10" s="480">
        <v>2949</v>
      </c>
      <c r="E10" s="96"/>
    </row>
    <row r="11" spans="2:5" ht="15.75">
      <c r="B11" s="154" t="s">
        <v>854</v>
      </c>
      <c r="C11" s="480">
        <v>10860</v>
      </c>
      <c r="D11" s="480">
        <v>11494</v>
      </c>
      <c r="E11" s="264">
        <f>mvalloc!D17</f>
        <v>11211</v>
      </c>
    </row>
    <row r="12" spans="2:5" ht="15.75">
      <c r="B12" s="154" t="s">
        <v>855</v>
      </c>
      <c r="C12" s="480">
        <v>309</v>
      </c>
      <c r="D12" s="480">
        <v>325</v>
      </c>
      <c r="E12" s="264">
        <f>mvalloc!E17</f>
        <v>300</v>
      </c>
    </row>
    <row r="13" spans="2:5" ht="15.75">
      <c r="B13" s="168" t="s">
        <v>520</v>
      </c>
      <c r="C13" s="480">
        <v>941</v>
      </c>
      <c r="D13" s="480">
        <v>851</v>
      </c>
      <c r="E13" s="264">
        <f>mvalloc!F17</f>
        <v>907</v>
      </c>
    </row>
    <row r="14" spans="2:5" ht="15.75">
      <c r="B14" s="168" t="s">
        <v>232</v>
      </c>
      <c r="C14" s="480"/>
      <c r="D14" s="480"/>
      <c r="E14" s="264">
        <f>mvalloc!G17</f>
        <v>0</v>
      </c>
    </row>
    <row r="15" spans="2:5" ht="15.75">
      <c r="B15" s="316"/>
      <c r="C15" s="480"/>
      <c r="D15" s="480"/>
      <c r="E15" s="96"/>
    </row>
    <row r="16" spans="2:5" ht="15.75">
      <c r="B16" s="316"/>
      <c r="C16" s="480"/>
      <c r="D16" s="480"/>
      <c r="E16" s="96"/>
    </row>
    <row r="17" spans="2:5" ht="15.75">
      <c r="B17" s="316"/>
      <c r="C17" s="480"/>
      <c r="D17" s="480"/>
      <c r="E17" s="96"/>
    </row>
    <row r="18" spans="2:5" ht="15.75">
      <c r="B18" s="304" t="s">
        <v>859</v>
      </c>
      <c r="C18" s="480"/>
      <c r="D18" s="480"/>
      <c r="E18" s="96"/>
    </row>
    <row r="19" spans="2:5" ht="15.75">
      <c r="B19" s="305" t="s">
        <v>966</v>
      </c>
      <c r="C19" s="480"/>
      <c r="D19" s="480"/>
      <c r="E19" s="96"/>
    </row>
    <row r="20" spans="2:5" ht="15.75">
      <c r="B20" s="305" t="s">
        <v>968</v>
      </c>
      <c r="C20" s="446">
        <f>IF(C21*0.1&lt;C19,"Exceed 10% Rule","")</f>
      </c>
      <c r="D20" s="446">
        <f>IF(D21*0.1&lt;D19,"Exceed 10% Rule","")</f>
      </c>
      <c r="E20" s="333">
        <f>IF(E21*0.1+E40&lt;E19,"Exceed 10% Rule","")</f>
      </c>
    </row>
    <row r="21" spans="2:5" ht="15.75">
      <c r="B21" s="307" t="s">
        <v>860</v>
      </c>
      <c r="C21" s="450">
        <f>SUM(C9:C19)</f>
        <v>122689</v>
      </c>
      <c r="D21" s="450">
        <f>SUM(D9:D19)</f>
        <v>134246</v>
      </c>
      <c r="E21" s="353">
        <f>SUM(E9:E19)</f>
        <v>12418</v>
      </c>
    </row>
    <row r="22" spans="2:5" ht="15.75">
      <c r="B22" s="307" t="s">
        <v>861</v>
      </c>
      <c r="C22" s="450">
        <f>C7+C21</f>
        <v>126765</v>
      </c>
      <c r="D22" s="450">
        <f>D7+D21</f>
        <v>134859</v>
      </c>
      <c r="E22" s="353">
        <f>E7+E21</f>
        <v>19787</v>
      </c>
    </row>
    <row r="23" spans="2:5" ht="15.75">
      <c r="B23" s="154" t="s">
        <v>864</v>
      </c>
      <c r="C23" s="305"/>
      <c r="D23" s="305"/>
      <c r="E23" s="164"/>
    </row>
    <row r="24" spans="2:5" ht="15.75">
      <c r="B24" s="316"/>
      <c r="C24" s="480"/>
      <c r="D24" s="480"/>
      <c r="E24" s="96"/>
    </row>
    <row r="25" spans="2:5" ht="15.75">
      <c r="B25" s="316" t="s">
        <v>370</v>
      </c>
      <c r="C25" s="480">
        <v>126152</v>
      </c>
      <c r="D25" s="480">
        <v>127490</v>
      </c>
      <c r="E25" s="96">
        <v>128886</v>
      </c>
    </row>
    <row r="26" spans="2:5" ht="15.75">
      <c r="B26" s="316"/>
      <c r="C26" s="480"/>
      <c r="D26" s="480"/>
      <c r="E26" s="96"/>
    </row>
    <row r="27" spans="2:5" ht="15.75">
      <c r="B27" s="316"/>
      <c r="C27" s="480"/>
      <c r="D27" s="480"/>
      <c r="E27" s="96"/>
    </row>
    <row r="28" spans="2:5" ht="15.75">
      <c r="B28" s="316"/>
      <c r="C28" s="480"/>
      <c r="D28" s="480"/>
      <c r="E28" s="96"/>
    </row>
    <row r="29" spans="2:5" ht="15.75">
      <c r="B29" s="316"/>
      <c r="C29" s="480"/>
      <c r="D29" s="480"/>
      <c r="E29" s="96"/>
    </row>
    <row r="30" spans="2:5" ht="15.75">
      <c r="B30" s="305" t="s">
        <v>965</v>
      </c>
      <c r="C30" s="480"/>
      <c r="D30" s="480"/>
      <c r="E30" s="100">
        <f>Nhood!E15</f>
      </c>
    </row>
    <row r="31" spans="2:5" ht="15.75">
      <c r="B31" s="305" t="s">
        <v>966</v>
      </c>
      <c r="C31" s="480"/>
      <c r="D31" s="480"/>
      <c r="E31" s="96"/>
    </row>
    <row r="32" spans="2:5" ht="15.75">
      <c r="B32" s="305" t="s">
        <v>967</v>
      </c>
      <c r="C32" s="446">
        <f>IF(C33*0.1&lt;C31,"Exceed 10% Rule","")</f>
      </c>
      <c r="D32" s="446">
        <f>IF(D33*0.1&lt;D31,"Exceed 10% Rule","")</f>
      </c>
      <c r="E32" s="333">
        <f>IF(E33*0.1&lt;E31,"Exceed 10% Rule","")</f>
      </c>
    </row>
    <row r="33" spans="2:5" ht="15.75">
      <c r="B33" s="307" t="s">
        <v>865</v>
      </c>
      <c r="C33" s="450">
        <f>SUM(C24:C31)</f>
        <v>126152</v>
      </c>
      <c r="D33" s="450">
        <f>SUM(D24:D31)</f>
        <v>127490</v>
      </c>
      <c r="E33" s="353">
        <f>SUM(E24:E31)</f>
        <v>128886</v>
      </c>
    </row>
    <row r="34" spans="2:5" ht="15.75">
      <c r="B34" s="154" t="s">
        <v>570</v>
      </c>
      <c r="C34" s="445">
        <f>C22-C33</f>
        <v>613</v>
      </c>
      <c r="D34" s="445">
        <f>D22-D33</f>
        <v>7369</v>
      </c>
      <c r="E34" s="326" t="s">
        <v>462</v>
      </c>
    </row>
    <row r="35" spans="2:6" ht="15.75">
      <c r="B35" s="286" t="str">
        <f>CONCATENATE("",$E$1-2,"/",$E$1-1," Budget Authority Amount:")</f>
        <v>2010/2011 Budget Authority Amount:</v>
      </c>
      <c r="C35" s="278">
        <f>inputOth!B39</f>
        <v>126152</v>
      </c>
      <c r="D35" s="278">
        <f>inputPrYr!D25</f>
        <v>127490</v>
      </c>
      <c r="E35" s="326" t="s">
        <v>462</v>
      </c>
      <c r="F35" s="319"/>
    </row>
    <row r="36" spans="2:6" ht="15.75">
      <c r="B36" s="286"/>
      <c r="C36" s="700" t="s">
        <v>923</v>
      </c>
      <c r="D36" s="701"/>
      <c r="E36" s="96">
        <v>3000</v>
      </c>
      <c r="F36" s="319">
        <f>IF(E33/0.95-E33&lt;E36,"Exceeds 5%","")</f>
      </c>
    </row>
    <row r="37" spans="2:5" ht="15.75">
      <c r="B37" s="487" t="str">
        <f>CONCATENATE(C85,"     ",D85)</f>
        <v>     </v>
      </c>
      <c r="C37" s="702" t="s">
        <v>924</v>
      </c>
      <c r="D37" s="703"/>
      <c r="E37" s="264">
        <f>E33+E36</f>
        <v>131886</v>
      </c>
    </row>
    <row r="38" spans="2:5" ht="15.75">
      <c r="B38" s="487" t="str">
        <f>CONCATENATE(C86,"      ",D86)</f>
        <v>      </v>
      </c>
      <c r="C38" s="320"/>
      <c r="D38" s="109" t="s">
        <v>866</v>
      </c>
      <c r="E38" s="100">
        <f>IF(E37-E22&gt;0,E37-E22,0)</f>
        <v>112099</v>
      </c>
    </row>
    <row r="39" spans="2:5" ht="15.75">
      <c r="B39" s="109"/>
      <c r="C39" s="469" t="s">
        <v>925</v>
      </c>
      <c r="D39" s="460">
        <f>inputOth!$E$23</f>
        <v>0.03</v>
      </c>
      <c r="E39" s="264">
        <f>ROUND(IF(D39&gt;0,(E38*D39),0),0)</f>
        <v>3363</v>
      </c>
    </row>
    <row r="40" spans="2:5" ht="15.75">
      <c r="B40" s="69"/>
      <c r="C40" s="698" t="str">
        <f>CONCATENATE("Amount of  ",$E$1-1," Ad Valorem Tax")</f>
        <v>Amount of  2011 Ad Valorem Tax</v>
      </c>
      <c r="D40" s="699"/>
      <c r="E40" s="338">
        <f>E38+E39</f>
        <v>115462</v>
      </c>
    </row>
    <row r="41" spans="2:5" ht="15.75">
      <c r="B41" s="69"/>
      <c r="C41" s="146"/>
      <c r="D41" s="146"/>
      <c r="E41" s="146"/>
    </row>
    <row r="42" spans="2:5" ht="15.75">
      <c r="B42" s="68" t="s">
        <v>851</v>
      </c>
      <c r="C42" s="539" t="str">
        <f aca="true" t="shared" si="0" ref="C42:E43">C5</f>
        <v>Prior Year Actual</v>
      </c>
      <c r="D42" s="540" t="str">
        <f t="shared" si="0"/>
        <v>Current Year Estimate</v>
      </c>
      <c r="E42" s="536" t="str">
        <f t="shared" si="0"/>
        <v>Proposed Budget Year</v>
      </c>
    </row>
    <row r="43" spans="2:5" ht="15.75">
      <c r="B43" s="472" t="str">
        <f>inputPrYr!$B$26</f>
        <v>Employee Benefits</v>
      </c>
      <c r="C43" s="448">
        <f t="shared" si="0"/>
        <v>2010</v>
      </c>
      <c r="D43" s="448">
        <f t="shared" si="0"/>
        <v>2011</v>
      </c>
      <c r="E43" s="311">
        <f t="shared" si="0"/>
        <v>2012</v>
      </c>
    </row>
    <row r="44" spans="2:5" ht="15.75">
      <c r="B44" s="154" t="s">
        <v>569</v>
      </c>
      <c r="C44" s="480">
        <v>366055</v>
      </c>
      <c r="D44" s="447">
        <f>C71</f>
        <v>420858</v>
      </c>
      <c r="E44" s="264">
        <f>D71</f>
        <v>200685</v>
      </c>
    </row>
    <row r="45" spans="2:5" ht="15.75">
      <c r="B45" s="300" t="s">
        <v>571</v>
      </c>
      <c r="C45" s="168"/>
      <c r="D45" s="168"/>
      <c r="E45" s="112"/>
    </row>
    <row r="46" spans="2:5" ht="15.75">
      <c r="B46" s="154" t="s">
        <v>852</v>
      </c>
      <c r="C46" s="480">
        <v>446726</v>
      </c>
      <c r="D46" s="447">
        <f>inputPrYr!E26</f>
        <v>328377</v>
      </c>
      <c r="E46" s="326" t="s">
        <v>462</v>
      </c>
    </row>
    <row r="47" spans="2:5" ht="15.75">
      <c r="B47" s="154" t="s">
        <v>853</v>
      </c>
      <c r="C47" s="480">
        <v>5170</v>
      </c>
      <c r="D47" s="480">
        <v>12655</v>
      </c>
      <c r="E47" s="96"/>
    </row>
    <row r="48" spans="2:5" ht="15.75">
      <c r="B48" s="154" t="s">
        <v>854</v>
      </c>
      <c r="C48" s="480">
        <v>51467</v>
      </c>
      <c r="D48" s="480">
        <v>46986</v>
      </c>
      <c r="E48" s="264">
        <f>mvalloc!D18</f>
        <v>31033</v>
      </c>
    </row>
    <row r="49" spans="2:5" ht="15.75">
      <c r="B49" s="154" t="s">
        <v>855</v>
      </c>
      <c r="C49" s="480">
        <v>1482</v>
      </c>
      <c r="D49" s="480">
        <v>1329</v>
      </c>
      <c r="E49" s="264">
        <f>mvalloc!E18</f>
        <v>829</v>
      </c>
    </row>
    <row r="50" spans="2:5" ht="15.75">
      <c r="B50" s="168" t="s">
        <v>520</v>
      </c>
      <c r="C50" s="480">
        <v>3549</v>
      </c>
      <c r="D50" s="480">
        <v>3480</v>
      </c>
      <c r="E50" s="264">
        <f>mvalloc!F18</f>
        <v>2510</v>
      </c>
    </row>
    <row r="51" spans="2:5" ht="15.75">
      <c r="B51" s="168" t="s">
        <v>232</v>
      </c>
      <c r="C51" s="480"/>
      <c r="D51" s="480"/>
      <c r="E51" s="264">
        <f>mvalloc!G18</f>
        <v>0</v>
      </c>
    </row>
    <row r="52" spans="2:5" ht="15.75">
      <c r="B52" s="316"/>
      <c r="C52" s="480"/>
      <c r="D52" s="480"/>
      <c r="E52" s="96"/>
    </row>
    <row r="53" spans="2:5" ht="15.75">
      <c r="B53" s="316" t="s">
        <v>313</v>
      </c>
      <c r="C53" s="480">
        <v>3</v>
      </c>
      <c r="D53" s="480"/>
      <c r="E53" s="96"/>
    </row>
    <row r="54" spans="2:5" ht="15.75">
      <c r="B54" s="316" t="s">
        <v>371</v>
      </c>
      <c r="C54" s="480">
        <v>115932</v>
      </c>
      <c r="D54" s="480"/>
      <c r="E54" s="96"/>
    </row>
    <row r="55" spans="2:5" ht="15.75">
      <c r="B55" s="304" t="s">
        <v>859</v>
      </c>
      <c r="C55" s="480"/>
      <c r="D55" s="480"/>
      <c r="E55" s="96"/>
    </row>
    <row r="56" spans="2:5" ht="15.75">
      <c r="B56" s="305" t="s">
        <v>966</v>
      </c>
      <c r="C56" s="480"/>
      <c r="D56" s="480"/>
      <c r="E56" s="96"/>
    </row>
    <row r="57" spans="2:5" ht="15.75">
      <c r="B57" s="305" t="s">
        <v>968</v>
      </c>
      <c r="C57" s="446">
        <f>IF(C58*0.1&lt;C56,"Exceed 10% Rule","")</f>
      </c>
      <c r="D57" s="446">
        <f>IF(D58*0.1&lt;D56,"Exceed 10% Rule","")</f>
      </c>
      <c r="E57" s="333">
        <f>IF(E58*0.1+E77&lt;E56,"Exceed 10% Rule","")</f>
      </c>
    </row>
    <row r="58" spans="2:5" ht="15.75">
      <c r="B58" s="307" t="s">
        <v>860</v>
      </c>
      <c r="C58" s="450">
        <f>SUM(C46:C56)</f>
        <v>624329</v>
      </c>
      <c r="D58" s="450">
        <f>SUM(D46:D56)</f>
        <v>392827</v>
      </c>
      <c r="E58" s="353">
        <f>SUM(E46:E56)</f>
        <v>34372</v>
      </c>
    </row>
    <row r="59" spans="2:5" ht="15.75">
      <c r="B59" s="307" t="s">
        <v>861</v>
      </c>
      <c r="C59" s="450">
        <f>C44+C58</f>
        <v>990384</v>
      </c>
      <c r="D59" s="450">
        <f>D44+D58</f>
        <v>813685</v>
      </c>
      <c r="E59" s="353">
        <f>E44+E58</f>
        <v>235057</v>
      </c>
    </row>
    <row r="60" spans="2:5" ht="15.75">
      <c r="B60" s="154" t="s">
        <v>864</v>
      </c>
      <c r="C60" s="305"/>
      <c r="D60" s="305"/>
      <c r="E60" s="164"/>
    </row>
    <row r="61" spans="2:5" ht="15.75">
      <c r="B61" s="316" t="s">
        <v>372</v>
      </c>
      <c r="C61" s="480">
        <v>107408</v>
      </c>
      <c r="D61" s="480">
        <v>110000</v>
      </c>
      <c r="E61" s="96">
        <v>115000</v>
      </c>
    </row>
    <row r="62" spans="2:5" ht="15.75">
      <c r="B62" s="316" t="s">
        <v>373</v>
      </c>
      <c r="C62" s="480">
        <v>118242</v>
      </c>
      <c r="D62" s="480">
        <v>125000</v>
      </c>
      <c r="E62" s="96">
        <v>130000</v>
      </c>
    </row>
    <row r="63" spans="2:5" ht="15.75">
      <c r="B63" s="316" t="s">
        <v>374</v>
      </c>
      <c r="C63" s="480">
        <v>2814</v>
      </c>
      <c r="D63" s="480">
        <v>5000</v>
      </c>
      <c r="E63" s="96">
        <v>22000</v>
      </c>
    </row>
    <row r="64" spans="2:5" ht="15.75">
      <c r="B64" s="316" t="s">
        <v>375</v>
      </c>
      <c r="C64" s="480">
        <v>41273</v>
      </c>
      <c r="D64" s="480">
        <v>43000</v>
      </c>
      <c r="E64" s="96">
        <v>47000</v>
      </c>
    </row>
    <row r="65" spans="2:5" ht="15.75">
      <c r="B65" s="316" t="s">
        <v>376</v>
      </c>
      <c r="C65" s="480">
        <v>299789</v>
      </c>
      <c r="D65" s="480">
        <v>330000</v>
      </c>
      <c r="E65" s="96">
        <v>335000</v>
      </c>
    </row>
    <row r="66" spans="2:5" ht="15.75">
      <c r="B66" s="316"/>
      <c r="C66" s="480"/>
      <c r="D66" s="480"/>
      <c r="E66" s="96"/>
    </row>
    <row r="67" spans="2:5" ht="15.75">
      <c r="B67" s="305" t="s">
        <v>965</v>
      </c>
      <c r="C67" s="480"/>
      <c r="D67" s="480"/>
      <c r="E67" s="100">
        <f>Nhood!E16</f>
      </c>
    </row>
    <row r="68" spans="2:5" ht="15.75">
      <c r="B68" s="305" t="s">
        <v>966</v>
      </c>
      <c r="C68" s="480"/>
      <c r="D68" s="480"/>
      <c r="E68" s="96"/>
    </row>
    <row r="69" spans="2:5" ht="15.75">
      <c r="B69" s="305" t="s">
        <v>967</v>
      </c>
      <c r="C69" s="446">
        <f>IF(C70*0.1&lt;C68,"Exceed 10% Rule","")</f>
      </c>
      <c r="D69" s="446">
        <f>IF(D70*0.1&lt;D68,"Exceed 10% Rule","")</f>
      </c>
      <c r="E69" s="333">
        <f>IF(E70*0.1&lt;E68,"Exceed 10% Rule","")</f>
      </c>
    </row>
    <row r="70" spans="2:5" ht="15.75">
      <c r="B70" s="307" t="s">
        <v>865</v>
      </c>
      <c r="C70" s="450">
        <f>SUM(C61:C68)</f>
        <v>569526</v>
      </c>
      <c r="D70" s="450">
        <f>SUM(D61:D68)</f>
        <v>613000</v>
      </c>
      <c r="E70" s="353">
        <f>SUM(E61:E68)</f>
        <v>649000</v>
      </c>
    </row>
    <row r="71" spans="2:5" ht="15.75">
      <c r="B71" s="154" t="s">
        <v>570</v>
      </c>
      <c r="C71" s="445">
        <f>C59-C70</f>
        <v>420858</v>
      </c>
      <c r="D71" s="445">
        <f>D59-D70</f>
        <v>200685</v>
      </c>
      <c r="E71" s="326" t="s">
        <v>462</v>
      </c>
    </row>
    <row r="72" spans="2:6" ht="15.75">
      <c r="B72" s="286" t="str">
        <f>CONCATENATE("",$E$1-2,"/",$E$1-1," Budget Authority Amount:")</f>
        <v>2010/2011 Budget Authority Amount:</v>
      </c>
      <c r="C72" s="278">
        <f>inputOth!B40</f>
        <v>674400</v>
      </c>
      <c r="D72" s="278">
        <f>inputPrYr!D26</f>
        <v>683000</v>
      </c>
      <c r="E72" s="326" t="s">
        <v>462</v>
      </c>
      <c r="F72" s="319"/>
    </row>
    <row r="73" spans="2:6" ht="15.75">
      <c r="B73" s="286"/>
      <c r="C73" s="700" t="s">
        <v>923</v>
      </c>
      <c r="D73" s="701"/>
      <c r="E73" s="96">
        <v>20000</v>
      </c>
      <c r="F73" s="319">
        <f>IF(E70/0.95-E70&lt;E73,"Exceeds 5%","")</f>
      </c>
    </row>
    <row r="74" spans="2:5" ht="15.75">
      <c r="B74" s="487" t="str">
        <f>CONCATENATE(C87,"      ",D87)</f>
        <v>      </v>
      </c>
      <c r="C74" s="702" t="s">
        <v>924</v>
      </c>
      <c r="D74" s="703"/>
      <c r="E74" s="264">
        <f>E70+E73</f>
        <v>669000</v>
      </c>
    </row>
    <row r="75" spans="2:5" ht="15.75">
      <c r="B75" s="487" t="str">
        <f>CONCATENATE(C88,"      ",D88)</f>
        <v>      </v>
      </c>
      <c r="C75" s="320"/>
      <c r="D75" s="109" t="s">
        <v>866</v>
      </c>
      <c r="E75" s="100">
        <f>IF(E74-E59&gt;0,E74-E59,0)</f>
        <v>433943</v>
      </c>
    </row>
    <row r="76" spans="2:5" ht="15.75">
      <c r="B76" s="109"/>
      <c r="C76" s="469" t="s">
        <v>925</v>
      </c>
      <c r="D76" s="460">
        <f>inputOth!$E$23</f>
        <v>0.03</v>
      </c>
      <c r="E76" s="264">
        <f>ROUND(IF(D76&gt;0,(E75*D76),0),0)</f>
        <v>13018</v>
      </c>
    </row>
    <row r="77" spans="2:5" ht="15.75">
      <c r="B77" s="69"/>
      <c r="C77" s="698" t="str">
        <f>CONCATENATE("Amount of  ",$E$1-1," Ad Valorem Tax")</f>
        <v>Amount of  2011 Ad Valorem Tax</v>
      </c>
      <c r="D77" s="699"/>
      <c r="E77" s="338">
        <f>E75+E76</f>
        <v>446961</v>
      </c>
    </row>
    <row r="78" spans="2:5" ht="15.75">
      <c r="B78" s="321" t="s">
        <v>477</v>
      </c>
      <c r="C78" s="339">
        <v>13</v>
      </c>
      <c r="D78" s="69"/>
      <c r="E78" s="69"/>
    </row>
    <row r="85" spans="3:4" ht="15.75" hidden="1">
      <c r="C85" s="53">
        <f>IF(C33&gt;C35,"See Tab A","")</f>
      </c>
      <c r="D85" s="53">
        <f>IF(D33&gt;D35,"See Tab C","")</f>
      </c>
    </row>
    <row r="86" spans="3:4" ht="15.75" hidden="1">
      <c r="C86" s="53">
        <f>IF(C34&lt;0,"See Tab B","")</f>
      </c>
      <c r="D86" s="53">
        <f>IF(D34&lt;0,"See Tab D","")</f>
      </c>
    </row>
    <row r="87" spans="3:4" ht="15.75" hidden="1">
      <c r="C87" s="53">
        <f>IF(C70&gt;C72,"See Tab A","")</f>
      </c>
      <c r="D87" s="53">
        <f>IF(D70&gt;D72,"See Tab C","")</f>
      </c>
    </row>
    <row r="88" spans="3:4" ht="15.75" hidden="1">
      <c r="C88" s="53">
        <f>IF(C71&lt;0,"See Tab B","")</f>
      </c>
      <c r="D88" s="53">
        <f>IF(D71&lt;0,"See Tab D","")</f>
      </c>
    </row>
  </sheetData>
  <sheetProtection sheet="1"/>
  <mergeCells count="6">
    <mergeCell ref="C77:D77"/>
    <mergeCell ref="C40:D40"/>
    <mergeCell ref="C36:D36"/>
    <mergeCell ref="C37:D37"/>
    <mergeCell ref="C73:D73"/>
    <mergeCell ref="C74:D74"/>
  </mergeCells>
  <conditionalFormatting sqref="E36">
    <cfRule type="cellIs" priority="3" dxfId="350" operator="greaterThan" stopIfTrue="1">
      <formula>$E$33/0.95-$E$33</formula>
    </cfRule>
  </conditionalFormatting>
  <conditionalFormatting sqref="E73">
    <cfRule type="cellIs" priority="4" dxfId="350" operator="greaterThan" stopIfTrue="1">
      <formula>$E$70/0.95-$E$70</formula>
    </cfRule>
  </conditionalFormatting>
  <conditionalFormatting sqref="E68">
    <cfRule type="cellIs" priority="5" dxfId="350" operator="greaterThan" stopIfTrue="1">
      <formula>$E$70*0.1</formula>
    </cfRule>
  </conditionalFormatting>
  <conditionalFormatting sqref="C19">
    <cfRule type="cellIs" priority="6" dxfId="350" operator="greaterThan" stopIfTrue="1">
      <formula>$C$21*0.1</formula>
    </cfRule>
  </conditionalFormatting>
  <conditionalFormatting sqref="D19">
    <cfRule type="cellIs" priority="7" dxfId="350" operator="greaterThan" stopIfTrue="1">
      <formula>$D$21*0.1</formula>
    </cfRule>
  </conditionalFormatting>
  <conditionalFormatting sqref="E31">
    <cfRule type="cellIs" priority="8" dxfId="350" operator="greaterThan" stopIfTrue="1">
      <formula>$E$33*0.1</formula>
    </cfRule>
  </conditionalFormatting>
  <conditionalFormatting sqref="E19">
    <cfRule type="cellIs" priority="9" dxfId="350" operator="greaterThan" stopIfTrue="1">
      <formula>$E$21*0.1+E40</formula>
    </cfRule>
  </conditionalFormatting>
  <conditionalFormatting sqref="E56">
    <cfRule type="cellIs" priority="10" dxfId="350" operator="greaterThan" stopIfTrue="1">
      <formula>$E$58*0.1+E77</formula>
    </cfRule>
  </conditionalFormatting>
  <conditionalFormatting sqref="C68">
    <cfRule type="cellIs" priority="11" dxfId="2" operator="greaterThan" stopIfTrue="1">
      <formula>$C$70*0.1</formula>
    </cfRule>
  </conditionalFormatting>
  <conditionalFormatting sqref="D68">
    <cfRule type="cellIs" priority="12" dxfId="2" operator="greaterThan" stopIfTrue="1">
      <formula>$D$70*0.1</formula>
    </cfRule>
  </conditionalFormatting>
  <conditionalFormatting sqref="D56">
    <cfRule type="cellIs" priority="13" dxfId="2" operator="greaterThan" stopIfTrue="1">
      <formula>$D$58*0.1</formula>
    </cfRule>
  </conditionalFormatting>
  <conditionalFormatting sqref="C56">
    <cfRule type="cellIs" priority="14" dxfId="2" operator="greaterThan" stopIfTrue="1">
      <formula>$C$58*0.1</formula>
    </cfRule>
  </conditionalFormatting>
  <conditionalFormatting sqref="C31">
    <cfRule type="cellIs" priority="15" dxfId="2" operator="greaterThan" stopIfTrue="1">
      <formula>$C$33*0.1</formula>
    </cfRule>
  </conditionalFormatting>
  <conditionalFormatting sqref="D31">
    <cfRule type="cellIs" priority="16" dxfId="2" operator="greaterThan" stopIfTrue="1">
      <formula>$D$33*0.1</formula>
    </cfRule>
  </conditionalFormatting>
  <conditionalFormatting sqref="C33">
    <cfRule type="cellIs" priority="17" dxfId="2" operator="greaterThan" stopIfTrue="1">
      <formula>$C$35</formula>
    </cfRule>
  </conditionalFormatting>
  <conditionalFormatting sqref="D33">
    <cfRule type="cellIs" priority="18" dxfId="2" operator="greaterThan" stopIfTrue="1">
      <formula>$D$35</formula>
    </cfRule>
  </conditionalFormatting>
  <conditionalFormatting sqref="C34 C71">
    <cfRule type="cellIs" priority="19" dxfId="2" operator="lessThan" stopIfTrue="1">
      <formula>0</formula>
    </cfRule>
  </conditionalFormatting>
  <conditionalFormatting sqref="C70">
    <cfRule type="cellIs" priority="20" dxfId="2" operator="greaterThan" stopIfTrue="1">
      <formula>$C$72</formula>
    </cfRule>
  </conditionalFormatting>
  <conditionalFormatting sqref="D70">
    <cfRule type="cellIs" priority="21" dxfId="2" operator="greaterThan" stopIfTrue="1">
      <formula>$D$72</formula>
    </cfRule>
  </conditionalFormatting>
  <conditionalFormatting sqref="D34 D71">
    <cfRule type="cellIs" priority="2" dxfId="0" operator="lessThan" stopIfTrue="1">
      <formula>0</formula>
    </cfRule>
  </conditionalFormatting>
  <printOptions/>
  <pageMargins left="1.12" right="0.5" top="0.74" bottom="0.34" header="0.5" footer="0"/>
  <pageSetup blackAndWhite="1" fitToHeight="1" fitToWidth="1" horizontalDpi="120" verticalDpi="120" orientation="portrait" scale="65" r:id="rId1"/>
  <headerFooter alignWithMargins="0">
    <oddHeader>&amp;RState of Kansas
County
</oddHeader>
  </headerFooter>
</worksheet>
</file>

<file path=xl/worksheets/sheet24.xml><?xml version="1.0" encoding="utf-8"?>
<worksheet xmlns="http://schemas.openxmlformats.org/spreadsheetml/2006/main" xmlns:r="http://schemas.openxmlformats.org/officeDocument/2006/relationships">
  <sheetPr>
    <pageSetUpPr fitToPage="1"/>
  </sheetPr>
  <dimension ref="B1:F88"/>
  <sheetViews>
    <sheetView zoomScalePageLayoutView="0" workbookViewId="0" topLeftCell="A4">
      <selection activeCell="D70" sqref="D70"/>
    </sheetView>
  </sheetViews>
  <sheetFormatPr defaultColWidth="8.796875" defaultRowHeight="15"/>
  <cols>
    <col min="1" max="1" width="2.3984375" style="53" customWidth="1"/>
    <col min="2" max="2" width="31.09765625" style="53" customWidth="1"/>
    <col min="3" max="4" width="15.796875" style="53" customWidth="1"/>
    <col min="5" max="5" width="16.19921875" style="53" customWidth="1"/>
    <col min="6" max="16384" width="8.8984375" style="53" customWidth="1"/>
  </cols>
  <sheetData>
    <row r="1" spans="2:5" ht="15.75">
      <c r="B1" s="205" t="str">
        <f>(inputPrYr!C3)</f>
        <v>MORRIS COUNTY</v>
      </c>
      <c r="C1" s="69"/>
      <c r="D1" s="69"/>
      <c r="E1" s="285">
        <f>inputPrYr!C5</f>
        <v>2012</v>
      </c>
    </row>
    <row r="2" spans="2:5" ht="15.75">
      <c r="B2" s="69"/>
      <c r="C2" s="69"/>
      <c r="D2" s="69"/>
      <c r="E2" s="109"/>
    </row>
    <row r="3" spans="2:5" ht="15.75">
      <c r="B3" s="214"/>
      <c r="C3" s="322"/>
      <c r="D3" s="322"/>
      <c r="E3" s="323"/>
    </row>
    <row r="4" spans="2:5" ht="15.75">
      <c r="B4" s="484" t="s">
        <v>528</v>
      </c>
      <c r="C4" s="146"/>
      <c r="D4" s="146"/>
      <c r="E4" s="146"/>
    </row>
    <row r="5" spans="2:5" ht="15.75">
      <c r="B5" s="68" t="s">
        <v>851</v>
      </c>
      <c r="C5" s="539" t="s">
        <v>479</v>
      </c>
      <c r="D5" s="540" t="s">
        <v>226</v>
      </c>
      <c r="E5" s="536" t="s">
        <v>227</v>
      </c>
    </row>
    <row r="6" spans="2:5" ht="15.75">
      <c r="B6" s="472">
        <f>inputPrYr!$B$27</f>
        <v>0</v>
      </c>
      <c r="C6" s="448">
        <f>E1-2</f>
        <v>2010</v>
      </c>
      <c r="D6" s="448">
        <f>E1-1</f>
        <v>2011</v>
      </c>
      <c r="E6" s="311">
        <f>E1</f>
        <v>2012</v>
      </c>
    </row>
    <row r="7" spans="2:5" ht="15.75">
      <c r="B7" s="154" t="s">
        <v>569</v>
      </c>
      <c r="C7" s="480"/>
      <c r="D7" s="447">
        <f>C34</f>
        <v>0</v>
      </c>
      <c r="E7" s="264">
        <f>D34</f>
        <v>0</v>
      </c>
    </row>
    <row r="8" spans="2:5" ht="15.75">
      <c r="B8" s="289" t="s">
        <v>571</v>
      </c>
      <c r="C8" s="168"/>
      <c r="D8" s="168"/>
      <c r="E8" s="112"/>
    </row>
    <row r="9" spans="2:5" ht="15.75">
      <c r="B9" s="154" t="s">
        <v>852</v>
      </c>
      <c r="C9" s="480"/>
      <c r="D9" s="447">
        <f>inputPrYr!E27</f>
        <v>0</v>
      </c>
      <c r="E9" s="326" t="s">
        <v>462</v>
      </c>
    </row>
    <row r="10" spans="2:5" ht="15.75">
      <c r="B10" s="154" t="s">
        <v>853</v>
      </c>
      <c r="C10" s="480"/>
      <c r="D10" s="480"/>
      <c r="E10" s="96"/>
    </row>
    <row r="11" spans="2:5" ht="15.75">
      <c r="B11" s="154" t="s">
        <v>854</v>
      </c>
      <c r="C11" s="480"/>
      <c r="D11" s="480"/>
      <c r="E11" s="264" t="str">
        <f>mvalloc!D19</f>
        <v>  </v>
      </c>
    </row>
    <row r="12" spans="2:5" ht="15.75">
      <c r="B12" s="154" t="s">
        <v>855</v>
      </c>
      <c r="C12" s="480"/>
      <c r="D12" s="480"/>
      <c r="E12" s="264" t="str">
        <f>mvalloc!E19</f>
        <v>  </v>
      </c>
    </row>
    <row r="13" spans="2:5" ht="15.75">
      <c r="B13" s="168" t="s">
        <v>520</v>
      </c>
      <c r="C13" s="480"/>
      <c r="D13" s="480"/>
      <c r="E13" s="264" t="str">
        <f>mvalloc!F19</f>
        <v>  </v>
      </c>
    </row>
    <row r="14" spans="2:5" ht="15.75">
      <c r="B14" s="168" t="s">
        <v>232</v>
      </c>
      <c r="C14" s="480"/>
      <c r="D14" s="480"/>
      <c r="E14" s="264" t="str">
        <f>mvalloc!G19</f>
        <v> </v>
      </c>
    </row>
    <row r="15" spans="2:5" ht="15.75">
      <c r="B15" s="316"/>
      <c r="C15" s="480"/>
      <c r="D15" s="480"/>
      <c r="E15" s="96"/>
    </row>
    <row r="16" spans="2:5" ht="15.75">
      <c r="B16" s="316"/>
      <c r="C16" s="480"/>
      <c r="D16" s="480"/>
      <c r="E16" s="96"/>
    </row>
    <row r="17" spans="2:5" ht="15.75">
      <c r="B17" s="316"/>
      <c r="C17" s="480"/>
      <c r="D17" s="480"/>
      <c r="E17" s="96"/>
    </row>
    <row r="18" spans="2:5" ht="15.75">
      <c r="B18" s="304" t="s">
        <v>859</v>
      </c>
      <c r="C18" s="480"/>
      <c r="D18" s="480"/>
      <c r="E18" s="96"/>
    </row>
    <row r="19" spans="2:5" ht="15.75">
      <c r="B19" s="305" t="s">
        <v>966</v>
      </c>
      <c r="C19" s="480"/>
      <c r="D19" s="480"/>
      <c r="E19" s="96"/>
    </row>
    <row r="20" spans="2:5" ht="15.75">
      <c r="B20" s="305" t="s">
        <v>968</v>
      </c>
      <c r="C20" s="446">
        <f>IF(C21*0.1&lt;C19,"Exceed 10% Rule","")</f>
      </c>
      <c r="D20" s="446">
        <f>IF(D21*0.1&lt;D19,"Exceed 10% Rule","")</f>
      </c>
      <c r="E20" s="333">
        <f>IF(E21*0.1+E40&lt;E19,"Exceed 10% Rule","")</f>
      </c>
    </row>
    <row r="21" spans="2:5" ht="15.75">
      <c r="B21" s="307" t="s">
        <v>860</v>
      </c>
      <c r="C21" s="450">
        <f>SUM(C9:C19)</f>
        <v>0</v>
      </c>
      <c r="D21" s="450">
        <f>SUM(D9:D19)</f>
        <v>0</v>
      </c>
      <c r="E21" s="353">
        <f>SUM(E9:E19)</f>
        <v>0</v>
      </c>
    </row>
    <row r="22" spans="2:5" ht="15.75">
      <c r="B22" s="307" t="s">
        <v>861</v>
      </c>
      <c r="C22" s="450">
        <f>C7+C21</f>
        <v>0</v>
      </c>
      <c r="D22" s="450">
        <f>D7+D21</f>
        <v>0</v>
      </c>
      <c r="E22" s="353">
        <f>E7+E21</f>
        <v>0</v>
      </c>
    </row>
    <row r="23" spans="2:5" ht="15.75">
      <c r="B23" s="154" t="s">
        <v>864</v>
      </c>
      <c r="C23" s="305"/>
      <c r="D23" s="305"/>
      <c r="E23" s="164"/>
    </row>
    <row r="24" spans="2:5" ht="15.75">
      <c r="B24" s="316"/>
      <c r="C24" s="480"/>
      <c r="D24" s="480"/>
      <c r="E24" s="96"/>
    </row>
    <row r="25" spans="2:5" ht="15.75">
      <c r="B25" s="316"/>
      <c r="C25" s="480"/>
      <c r="D25" s="480"/>
      <c r="E25" s="96"/>
    </row>
    <row r="26" spans="2:5" ht="15.75">
      <c r="B26" s="316"/>
      <c r="C26" s="480"/>
      <c r="D26" s="480"/>
      <c r="E26" s="96"/>
    </row>
    <row r="27" spans="2:5" ht="15.75">
      <c r="B27" s="316"/>
      <c r="C27" s="480"/>
      <c r="D27" s="480"/>
      <c r="E27" s="96"/>
    </row>
    <row r="28" spans="2:5" ht="15.75">
      <c r="B28" s="316"/>
      <c r="C28" s="480"/>
      <c r="D28" s="480"/>
      <c r="E28" s="96"/>
    </row>
    <row r="29" spans="2:5" ht="15.75">
      <c r="B29" s="316"/>
      <c r="C29" s="480"/>
      <c r="D29" s="480"/>
      <c r="E29" s="96"/>
    </row>
    <row r="30" spans="2:5" ht="15.75">
      <c r="B30" s="305" t="s">
        <v>965</v>
      </c>
      <c r="C30" s="480"/>
      <c r="D30" s="480"/>
      <c r="E30" s="100">
        <f>Nhood!E17</f>
      </c>
    </row>
    <row r="31" spans="2:5" ht="15.75">
      <c r="B31" s="305" t="s">
        <v>966</v>
      </c>
      <c r="C31" s="480"/>
      <c r="D31" s="480"/>
      <c r="E31" s="96"/>
    </row>
    <row r="32" spans="2:5" ht="15.75">
      <c r="B32" s="305" t="s">
        <v>967</v>
      </c>
      <c r="C32" s="446">
        <f>IF(C33*0.1&lt;C31,"Exceed 10% Rule","")</f>
      </c>
      <c r="D32" s="446">
        <f>IF(D33*0.1&lt;D31,"Exceed 10% Rule","")</f>
      </c>
      <c r="E32" s="333">
        <f>IF(E33*0.1&lt;E31,"Exceed 10% Rule","")</f>
      </c>
    </row>
    <row r="33" spans="2:5" ht="15.75">
      <c r="B33" s="307" t="s">
        <v>865</v>
      </c>
      <c r="C33" s="450">
        <f>SUM(C24:C31)</f>
        <v>0</v>
      </c>
      <c r="D33" s="450">
        <f>SUM(D24:D31)</f>
        <v>0</v>
      </c>
      <c r="E33" s="353">
        <f>SUM(E24:E31)</f>
        <v>0</v>
      </c>
    </row>
    <row r="34" spans="2:5" ht="15.75">
      <c r="B34" s="154" t="s">
        <v>570</v>
      </c>
      <c r="C34" s="445">
        <f>C22-C33</f>
        <v>0</v>
      </c>
      <c r="D34" s="445">
        <f>D22-D33</f>
        <v>0</v>
      </c>
      <c r="E34" s="326" t="s">
        <v>462</v>
      </c>
    </row>
    <row r="35" spans="2:6" ht="15.75">
      <c r="B35" s="286" t="str">
        <f>CONCATENATE("",$E$1-2,"/",$E$1-1," Budget Authority Amount:")</f>
        <v>2010/2011 Budget Authority Amount:</v>
      </c>
      <c r="C35" s="278">
        <f>inputOth!B41</f>
        <v>0</v>
      </c>
      <c r="D35" s="278">
        <f>inputPrYr!D27</f>
        <v>0</v>
      </c>
      <c r="E35" s="326" t="s">
        <v>462</v>
      </c>
      <c r="F35" s="319"/>
    </row>
    <row r="36" spans="2:6" ht="15.75">
      <c r="B36" s="286"/>
      <c r="C36" s="700" t="s">
        <v>923</v>
      </c>
      <c r="D36" s="701"/>
      <c r="E36" s="96"/>
      <c r="F36" s="319">
        <f>IF(E33/0.95-E33&lt;E36,"Exceeds 5%","")</f>
      </c>
    </row>
    <row r="37" spans="2:5" ht="15.75">
      <c r="B37" s="487" t="str">
        <f>CONCATENATE(C85,"     ",D85)</f>
        <v>     </v>
      </c>
      <c r="C37" s="702" t="s">
        <v>924</v>
      </c>
      <c r="D37" s="703"/>
      <c r="E37" s="264">
        <f>E33+E36</f>
        <v>0</v>
      </c>
    </row>
    <row r="38" spans="2:5" ht="15.75">
      <c r="B38" s="487" t="str">
        <f>CONCATENATE(C86,"      ",D86)</f>
        <v>      </v>
      </c>
      <c r="C38" s="320"/>
      <c r="D38" s="109" t="s">
        <v>866</v>
      </c>
      <c r="E38" s="100">
        <f>IF(E37-E22&gt;0,E37-E22,0)</f>
        <v>0</v>
      </c>
    </row>
    <row r="39" spans="2:5" ht="15.75">
      <c r="B39" s="109"/>
      <c r="C39" s="469" t="s">
        <v>925</v>
      </c>
      <c r="D39" s="460">
        <f>inputOth!$E$23</f>
        <v>0.03</v>
      </c>
      <c r="E39" s="264">
        <f>ROUND(IF(D39&gt;0,(E38*D39),0),0)</f>
        <v>0</v>
      </c>
    </row>
    <row r="40" spans="2:5" ht="15.75">
      <c r="B40" s="69"/>
      <c r="C40" s="698" t="str">
        <f>CONCATENATE("Amount of  ",$E$1-1," Ad Valorem Tax")</f>
        <v>Amount of  2011 Ad Valorem Tax</v>
      </c>
      <c r="D40" s="699"/>
      <c r="E40" s="338">
        <f>E38+E39</f>
        <v>0</v>
      </c>
    </row>
    <row r="41" spans="2:5" ht="15.75">
      <c r="B41" s="69"/>
      <c r="C41" s="146"/>
      <c r="D41" s="146"/>
      <c r="E41" s="146"/>
    </row>
    <row r="42" spans="2:5" ht="15.75">
      <c r="B42" s="68" t="s">
        <v>851</v>
      </c>
      <c r="C42" s="539" t="str">
        <f aca="true" t="shared" si="0" ref="C42:E43">C5</f>
        <v>Prior Year Actual</v>
      </c>
      <c r="D42" s="540" t="str">
        <f t="shared" si="0"/>
        <v>Current Year Estimate</v>
      </c>
      <c r="E42" s="536" t="str">
        <f t="shared" si="0"/>
        <v>Proposed Budget Year</v>
      </c>
    </row>
    <row r="43" spans="2:5" ht="15.75">
      <c r="B43" s="472">
        <f>inputPrYr!$B$28</f>
        <v>0</v>
      </c>
      <c r="C43" s="448">
        <f t="shared" si="0"/>
        <v>2010</v>
      </c>
      <c r="D43" s="448">
        <f t="shared" si="0"/>
        <v>2011</v>
      </c>
      <c r="E43" s="311">
        <f t="shared" si="0"/>
        <v>2012</v>
      </c>
    </row>
    <row r="44" spans="2:5" ht="15.75">
      <c r="B44" s="154" t="s">
        <v>569</v>
      </c>
      <c r="C44" s="480"/>
      <c r="D44" s="447">
        <f>C71</f>
        <v>0</v>
      </c>
      <c r="E44" s="264">
        <f>D71</f>
        <v>0</v>
      </c>
    </row>
    <row r="45" spans="2:5" ht="15.75">
      <c r="B45" s="300" t="s">
        <v>571</v>
      </c>
      <c r="C45" s="168"/>
      <c r="D45" s="168"/>
      <c r="E45" s="112"/>
    </row>
    <row r="46" spans="2:5" ht="15.75">
      <c r="B46" s="154" t="s">
        <v>852</v>
      </c>
      <c r="C46" s="480"/>
      <c r="D46" s="447">
        <f>inputPrYr!E28</f>
        <v>0</v>
      </c>
      <c r="E46" s="326" t="s">
        <v>462</v>
      </c>
    </row>
    <row r="47" spans="2:5" ht="15.75">
      <c r="B47" s="154" t="s">
        <v>853</v>
      </c>
      <c r="C47" s="480"/>
      <c r="D47" s="480"/>
      <c r="E47" s="96"/>
    </row>
    <row r="48" spans="2:5" ht="15.75">
      <c r="B48" s="154" t="s">
        <v>854</v>
      </c>
      <c r="C48" s="480"/>
      <c r="D48" s="480"/>
      <c r="E48" s="264" t="str">
        <f>mvalloc!D20</f>
        <v>  </v>
      </c>
    </row>
    <row r="49" spans="2:5" ht="15.75">
      <c r="B49" s="154" t="s">
        <v>855</v>
      </c>
      <c r="C49" s="480"/>
      <c r="D49" s="480"/>
      <c r="E49" s="264" t="str">
        <f>mvalloc!E20</f>
        <v>  </v>
      </c>
    </row>
    <row r="50" spans="2:5" ht="15.75">
      <c r="B50" s="168" t="s">
        <v>520</v>
      </c>
      <c r="C50" s="480"/>
      <c r="D50" s="480"/>
      <c r="E50" s="264" t="str">
        <f>mvalloc!F20</f>
        <v>  </v>
      </c>
    </row>
    <row r="51" spans="2:5" ht="15.75">
      <c r="B51" s="168" t="s">
        <v>232</v>
      </c>
      <c r="C51" s="480"/>
      <c r="D51" s="480"/>
      <c r="E51" s="264" t="str">
        <f>mvalloc!G20</f>
        <v> </v>
      </c>
    </row>
    <row r="52" spans="2:5" ht="15.75">
      <c r="B52" s="316"/>
      <c r="C52" s="480"/>
      <c r="D52" s="480"/>
      <c r="E52" s="96"/>
    </row>
    <row r="53" spans="2:5" ht="15.75">
      <c r="B53" s="316"/>
      <c r="C53" s="480"/>
      <c r="D53" s="480"/>
      <c r="E53" s="96"/>
    </row>
    <row r="54" spans="2:5" ht="15.75">
      <c r="B54" s="316"/>
      <c r="C54" s="480"/>
      <c r="D54" s="480"/>
      <c r="E54" s="96"/>
    </row>
    <row r="55" spans="2:5" ht="15.75">
      <c r="B55" s="304" t="s">
        <v>859</v>
      </c>
      <c r="C55" s="480"/>
      <c r="D55" s="480"/>
      <c r="E55" s="96"/>
    </row>
    <row r="56" spans="2:5" ht="15.75">
      <c r="B56" s="305" t="s">
        <v>966</v>
      </c>
      <c r="C56" s="480"/>
      <c r="D56" s="480"/>
      <c r="E56" s="96"/>
    </row>
    <row r="57" spans="2:5" ht="15.75">
      <c r="B57" s="305" t="s">
        <v>968</v>
      </c>
      <c r="C57" s="446">
        <f>IF(C58*0.1&lt;C56,"Exceed 10% Rule","")</f>
      </c>
      <c r="D57" s="446">
        <f>IF(D58*0.1&lt;D56,"Exceed 10% Rule","")</f>
      </c>
      <c r="E57" s="333">
        <f>IF(E58*0.1+E77&lt;E56,"Exceed 10% Rule","")</f>
      </c>
    </row>
    <row r="58" spans="2:5" ht="15.75">
      <c r="B58" s="307" t="s">
        <v>860</v>
      </c>
      <c r="C58" s="450">
        <f>SUM(C46:C56)</f>
        <v>0</v>
      </c>
      <c r="D58" s="450">
        <f>SUM(D46:D56)</f>
        <v>0</v>
      </c>
      <c r="E58" s="353">
        <f>SUM(E46:E56)</f>
        <v>0</v>
      </c>
    </row>
    <row r="59" spans="2:5" ht="15.75">
      <c r="B59" s="307" t="s">
        <v>861</v>
      </c>
      <c r="C59" s="450">
        <f>C44+C58</f>
        <v>0</v>
      </c>
      <c r="D59" s="450">
        <f>D44+D58</f>
        <v>0</v>
      </c>
      <c r="E59" s="353">
        <f>E44+E58</f>
        <v>0</v>
      </c>
    </row>
    <row r="60" spans="2:5" ht="15.75">
      <c r="B60" s="154" t="s">
        <v>864</v>
      </c>
      <c r="C60" s="305"/>
      <c r="D60" s="305"/>
      <c r="E60" s="164"/>
    </row>
    <row r="61" spans="2:5" ht="15.75">
      <c r="B61" s="316"/>
      <c r="C61" s="480"/>
      <c r="D61" s="480"/>
      <c r="E61" s="96"/>
    </row>
    <row r="62" spans="2:5" ht="15.75">
      <c r="B62" s="316"/>
      <c r="C62" s="480"/>
      <c r="D62" s="480"/>
      <c r="E62" s="96"/>
    </row>
    <row r="63" spans="2:5" ht="15.75">
      <c r="B63" s="316"/>
      <c r="C63" s="480"/>
      <c r="D63" s="480"/>
      <c r="E63" s="96"/>
    </row>
    <row r="64" spans="2:5" ht="15.75">
      <c r="B64" s="316"/>
      <c r="C64" s="480"/>
      <c r="D64" s="480"/>
      <c r="E64" s="96"/>
    </row>
    <row r="65" spans="2:5" ht="15.75">
      <c r="B65" s="316"/>
      <c r="C65" s="480"/>
      <c r="D65" s="480"/>
      <c r="E65" s="96"/>
    </row>
    <row r="66" spans="2:5" ht="15.75">
      <c r="B66" s="316"/>
      <c r="C66" s="480"/>
      <c r="D66" s="480"/>
      <c r="E66" s="96"/>
    </row>
    <row r="67" spans="2:5" ht="15.75">
      <c r="B67" s="305" t="s">
        <v>965</v>
      </c>
      <c r="C67" s="480"/>
      <c r="D67" s="480"/>
      <c r="E67" s="100">
        <f>Nhood!E18</f>
      </c>
    </row>
    <row r="68" spans="2:5" ht="15.75">
      <c r="B68" s="305" t="s">
        <v>966</v>
      </c>
      <c r="C68" s="480"/>
      <c r="D68" s="480"/>
      <c r="E68" s="96"/>
    </row>
    <row r="69" spans="2:5" ht="15.75">
      <c r="B69" s="305" t="s">
        <v>967</v>
      </c>
      <c r="C69" s="446">
        <f>IF(C70*0.1&lt;C68,"Exceed 10% Rule","")</f>
      </c>
      <c r="D69" s="446">
        <f>IF(D70*0.1&lt;D68,"Exceed 10% Rule","")</f>
      </c>
      <c r="E69" s="333">
        <f>IF(E70*0.1&lt;E68,"Exceed 10% Rule","")</f>
      </c>
    </row>
    <row r="70" spans="2:5" ht="15.75">
      <c r="B70" s="307" t="s">
        <v>865</v>
      </c>
      <c r="C70" s="450">
        <f>SUM(C61:C68)</f>
        <v>0</v>
      </c>
      <c r="D70" s="450">
        <f>SUM(D61:D68)</f>
        <v>0</v>
      </c>
      <c r="E70" s="353">
        <f>SUM(E61:E68)</f>
        <v>0</v>
      </c>
    </row>
    <row r="71" spans="2:5" ht="15.75">
      <c r="B71" s="154" t="s">
        <v>570</v>
      </c>
      <c r="C71" s="445">
        <f>C59-C70</f>
        <v>0</v>
      </c>
      <c r="D71" s="445">
        <f>D59-D70</f>
        <v>0</v>
      </c>
      <c r="E71" s="326" t="s">
        <v>462</v>
      </c>
    </row>
    <row r="72" spans="2:6" ht="15.75">
      <c r="B72" s="286" t="str">
        <f>CONCATENATE("",$E$1-2,"/",$E$1-1," Budget Authority Amount:")</f>
        <v>2010/2011 Budget Authority Amount:</v>
      </c>
      <c r="C72" s="278">
        <f>inputOth!B42</f>
        <v>0</v>
      </c>
      <c r="D72" s="278">
        <f>inputPrYr!D28</f>
        <v>0</v>
      </c>
      <c r="E72" s="326" t="s">
        <v>462</v>
      </c>
      <c r="F72" s="319"/>
    </row>
    <row r="73" spans="2:6" ht="15.75">
      <c r="B73" s="286"/>
      <c r="C73" s="700" t="s">
        <v>923</v>
      </c>
      <c r="D73" s="701"/>
      <c r="E73" s="96"/>
      <c r="F73" s="319">
        <f>IF(E70/0.95-E70&lt;E73,"Exceeds 5%","")</f>
      </c>
    </row>
    <row r="74" spans="2:5" ht="15.75">
      <c r="B74" s="487" t="str">
        <f>CONCATENATE(C87,"      ",D87)</f>
        <v>      </v>
      </c>
      <c r="C74" s="702" t="s">
        <v>924</v>
      </c>
      <c r="D74" s="703"/>
      <c r="E74" s="264">
        <f>E70+E73</f>
        <v>0</v>
      </c>
    </row>
    <row r="75" spans="2:5" ht="15.75">
      <c r="B75" s="487" t="str">
        <f>CONCATENATE(C88,"      ",D88)</f>
        <v>      </v>
      </c>
      <c r="C75" s="320"/>
      <c r="D75" s="109" t="s">
        <v>866</v>
      </c>
      <c r="E75" s="100">
        <f>IF(E74-E59&gt;0,E74-E59,0)</f>
        <v>0</v>
      </c>
    </row>
    <row r="76" spans="2:5" ht="15.75">
      <c r="B76" s="109"/>
      <c r="C76" s="469" t="s">
        <v>925</v>
      </c>
      <c r="D76" s="460">
        <f>inputOth!$E$23</f>
        <v>0.03</v>
      </c>
      <c r="E76" s="264">
        <f>ROUND(IF(D76&gt;0,(E75*D76),0),0)</f>
        <v>0</v>
      </c>
    </row>
    <row r="77" spans="2:5" ht="15.75">
      <c r="B77" s="69"/>
      <c r="C77" s="698" t="str">
        <f>CONCATENATE("Amount of  ",$E$1-1," Ad Valorem Tax")</f>
        <v>Amount of  2011 Ad Valorem Tax</v>
      </c>
      <c r="D77" s="699"/>
      <c r="E77" s="338">
        <f>E75+E76</f>
        <v>0</v>
      </c>
    </row>
    <row r="78" spans="2:5" ht="15.75">
      <c r="B78" s="321" t="s">
        <v>477</v>
      </c>
      <c r="C78" s="339"/>
      <c r="D78" s="69"/>
      <c r="E78" s="69"/>
    </row>
    <row r="85" spans="3:4" ht="15.75" hidden="1">
      <c r="C85" s="53">
        <f>IF(C33&gt;C35,"See Tab A","")</f>
      </c>
      <c r="D85" s="53">
        <f>IF(D33&gt;D35,"See Tab C","")</f>
      </c>
    </row>
    <row r="86" spans="3:4" ht="15.75" hidden="1">
      <c r="C86" s="53">
        <f>IF(C34&lt;0,"See Tab B","")</f>
      </c>
      <c r="D86" s="53">
        <f>IF(D34&lt;0,"See Tab D","")</f>
      </c>
    </row>
    <row r="87" spans="3:4" ht="15.75" hidden="1">
      <c r="C87" s="53">
        <f>IF(C70&gt;C72,"See Tab A","")</f>
      </c>
      <c r="D87" s="53">
        <f>IF(D70&gt;D72,"See Tab C","")</f>
      </c>
    </row>
    <row r="88" spans="3:4" ht="15.75" hidden="1">
      <c r="C88" s="53">
        <f>IF(C71&lt;0,"See Tab B","")</f>
      </c>
      <c r="D88" s="53">
        <f>IF(D71&lt;0,"See Tab D","")</f>
      </c>
    </row>
  </sheetData>
  <sheetProtection sheet="1"/>
  <mergeCells count="6">
    <mergeCell ref="C77:D77"/>
    <mergeCell ref="C40:D40"/>
    <mergeCell ref="C36:D36"/>
    <mergeCell ref="C37:D37"/>
    <mergeCell ref="C73:D73"/>
    <mergeCell ref="C74:D74"/>
  </mergeCells>
  <conditionalFormatting sqref="E36">
    <cfRule type="cellIs" priority="3" dxfId="350" operator="greaterThan" stopIfTrue="1">
      <formula>$E$33/0.95-$E$33</formula>
    </cfRule>
  </conditionalFormatting>
  <conditionalFormatting sqref="E73">
    <cfRule type="cellIs" priority="4" dxfId="350" operator="greaterThan" stopIfTrue="1">
      <formula>$E$70/0.95-$E$70</formula>
    </cfRule>
  </conditionalFormatting>
  <conditionalFormatting sqref="E68">
    <cfRule type="cellIs" priority="5" dxfId="350" operator="greaterThan" stopIfTrue="1">
      <formula>$E$70*0.1</formula>
    </cfRule>
  </conditionalFormatting>
  <conditionalFormatting sqref="C19">
    <cfRule type="cellIs" priority="6" dxfId="350" operator="greaterThan" stopIfTrue="1">
      <formula>$C$21*0.1</formula>
    </cfRule>
  </conditionalFormatting>
  <conditionalFormatting sqref="D19">
    <cfRule type="cellIs" priority="7" dxfId="350" operator="greaterThan" stopIfTrue="1">
      <formula>$D$21*0.1</formula>
    </cfRule>
  </conditionalFormatting>
  <conditionalFormatting sqref="E31">
    <cfRule type="cellIs" priority="8" dxfId="350" operator="greaterThan" stopIfTrue="1">
      <formula>$E$33*0.1</formula>
    </cfRule>
  </conditionalFormatting>
  <conditionalFormatting sqref="E19">
    <cfRule type="cellIs" priority="9" dxfId="350" operator="greaterThan" stopIfTrue="1">
      <formula>$E$21*0.1+E40</formula>
    </cfRule>
  </conditionalFormatting>
  <conditionalFormatting sqref="E56">
    <cfRule type="cellIs" priority="10" dxfId="350" operator="greaterThan" stopIfTrue="1">
      <formula>$E$58*0.1+E77</formula>
    </cfRule>
  </conditionalFormatting>
  <conditionalFormatting sqref="C68">
    <cfRule type="cellIs" priority="11" dxfId="2" operator="greaterThan" stopIfTrue="1">
      <formula>$C$70*0.1</formula>
    </cfRule>
  </conditionalFormatting>
  <conditionalFormatting sqref="D68">
    <cfRule type="cellIs" priority="12" dxfId="2" operator="greaterThan" stopIfTrue="1">
      <formula>$D$70*0.1</formula>
    </cfRule>
  </conditionalFormatting>
  <conditionalFormatting sqref="D56">
    <cfRule type="cellIs" priority="13" dxfId="2" operator="greaterThan" stopIfTrue="1">
      <formula>$D$58*0.1</formula>
    </cfRule>
  </conditionalFormatting>
  <conditionalFormatting sqref="C56">
    <cfRule type="cellIs" priority="14" dxfId="2" operator="greaterThan" stopIfTrue="1">
      <formula>$C$58*0.1</formula>
    </cfRule>
  </conditionalFormatting>
  <conditionalFormatting sqref="C31">
    <cfRule type="cellIs" priority="15" dxfId="2" operator="greaterThan" stopIfTrue="1">
      <formula>$C$33*0.1</formula>
    </cfRule>
  </conditionalFormatting>
  <conditionalFormatting sqref="D31">
    <cfRule type="cellIs" priority="16" dxfId="2" operator="greaterThan" stopIfTrue="1">
      <formula>$D$33*0.1</formula>
    </cfRule>
  </conditionalFormatting>
  <conditionalFormatting sqref="C33">
    <cfRule type="cellIs" priority="17" dxfId="2" operator="greaterThan" stopIfTrue="1">
      <formula>$C$35</formula>
    </cfRule>
  </conditionalFormatting>
  <conditionalFormatting sqref="D33">
    <cfRule type="cellIs" priority="18" dxfId="2" operator="greaterThan" stopIfTrue="1">
      <formula>$D$35</formula>
    </cfRule>
  </conditionalFormatting>
  <conditionalFormatting sqref="C34 C71">
    <cfRule type="cellIs" priority="19" dxfId="2" operator="lessThan" stopIfTrue="1">
      <formula>0</formula>
    </cfRule>
  </conditionalFormatting>
  <conditionalFormatting sqref="C70">
    <cfRule type="cellIs" priority="20" dxfId="2" operator="greaterThan" stopIfTrue="1">
      <formula>$C$72</formula>
    </cfRule>
  </conditionalFormatting>
  <conditionalFormatting sqref="D70">
    <cfRule type="cellIs" priority="21" dxfId="2" operator="greaterThan" stopIfTrue="1">
      <formula>$D$72</formula>
    </cfRule>
  </conditionalFormatting>
  <conditionalFormatting sqref="D34 D71">
    <cfRule type="cellIs" priority="2" dxfId="0" operator="lessThan" stopIfTrue="1">
      <formula>0</formula>
    </cfRule>
  </conditionalFormatting>
  <printOptions/>
  <pageMargins left="1.12" right="0.5" top="0.74" bottom="0.34" header="0.5" footer="0"/>
  <pageSetup blackAndWhite="1" fitToHeight="1" fitToWidth="1" horizontalDpi="120" verticalDpi="120" orientation="portrait" scale="65" r:id="rId1"/>
  <headerFooter alignWithMargins="0">
    <oddHeader>&amp;RState of Kansas
County
</oddHeader>
  </headerFooter>
</worksheet>
</file>

<file path=xl/worksheets/sheet25.xml><?xml version="1.0" encoding="utf-8"?>
<worksheet xmlns="http://schemas.openxmlformats.org/spreadsheetml/2006/main" xmlns:r="http://schemas.openxmlformats.org/officeDocument/2006/relationships">
  <sheetPr>
    <pageSetUpPr fitToPage="1"/>
  </sheetPr>
  <dimension ref="B1:F88"/>
  <sheetViews>
    <sheetView zoomScalePageLayoutView="0" workbookViewId="0" topLeftCell="A1">
      <selection activeCell="D70" sqref="D70"/>
    </sheetView>
  </sheetViews>
  <sheetFormatPr defaultColWidth="8.796875" defaultRowHeight="15"/>
  <cols>
    <col min="1" max="1" width="2.3984375" style="53" customWidth="1"/>
    <col min="2" max="2" width="31.09765625" style="53" customWidth="1"/>
    <col min="3" max="4" width="15.796875" style="53" customWidth="1"/>
    <col min="5" max="5" width="16.19921875" style="53" customWidth="1"/>
    <col min="6" max="16384" width="8.8984375" style="53" customWidth="1"/>
  </cols>
  <sheetData>
    <row r="1" spans="2:5" ht="15.75">
      <c r="B1" s="205" t="str">
        <f>(inputPrYr!C3)</f>
        <v>MORRIS COUNTY</v>
      </c>
      <c r="C1" s="69"/>
      <c r="D1" s="69"/>
      <c r="E1" s="285">
        <f>inputPrYr!C5</f>
        <v>2012</v>
      </c>
    </row>
    <row r="2" spans="2:5" ht="15.75">
      <c r="B2" s="69"/>
      <c r="C2" s="69"/>
      <c r="D2" s="69"/>
      <c r="E2" s="109"/>
    </row>
    <row r="3" spans="2:5" ht="15.75">
      <c r="B3" s="214"/>
      <c r="C3" s="322"/>
      <c r="D3" s="322"/>
      <c r="E3" s="323"/>
    </row>
    <row r="4" spans="2:5" ht="15.75">
      <c r="B4" s="484" t="s">
        <v>528</v>
      </c>
      <c r="C4" s="146"/>
      <c r="D4" s="146"/>
      <c r="E4" s="146"/>
    </row>
    <row r="5" spans="2:5" ht="15.75">
      <c r="B5" s="68" t="s">
        <v>851</v>
      </c>
      <c r="C5" s="539" t="s">
        <v>479</v>
      </c>
      <c r="D5" s="540" t="s">
        <v>226</v>
      </c>
      <c r="E5" s="536" t="s">
        <v>227</v>
      </c>
    </row>
    <row r="6" spans="2:5" ht="15.75">
      <c r="B6" s="472">
        <f>inputPrYr!$B$29</f>
        <v>0</v>
      </c>
      <c r="C6" s="448">
        <f>E1-2</f>
        <v>2010</v>
      </c>
      <c r="D6" s="448">
        <f>E1-1</f>
        <v>2011</v>
      </c>
      <c r="E6" s="311">
        <f>E1</f>
        <v>2012</v>
      </c>
    </row>
    <row r="7" spans="2:5" ht="15.75">
      <c r="B7" s="154" t="s">
        <v>569</v>
      </c>
      <c r="C7" s="480"/>
      <c r="D7" s="447">
        <f>C34</f>
        <v>0</v>
      </c>
      <c r="E7" s="264">
        <f>D34</f>
        <v>0</v>
      </c>
    </row>
    <row r="8" spans="2:5" ht="15.75">
      <c r="B8" s="289" t="s">
        <v>571</v>
      </c>
      <c r="C8" s="168"/>
      <c r="D8" s="168"/>
      <c r="E8" s="112"/>
    </row>
    <row r="9" spans="2:5" ht="15.75">
      <c r="B9" s="154" t="s">
        <v>852</v>
      </c>
      <c r="C9" s="480"/>
      <c r="D9" s="447">
        <f>inputPrYr!E29</f>
        <v>0</v>
      </c>
      <c r="E9" s="326" t="s">
        <v>462</v>
      </c>
    </row>
    <row r="10" spans="2:5" ht="15.75">
      <c r="B10" s="154" t="s">
        <v>853</v>
      </c>
      <c r="C10" s="480"/>
      <c r="D10" s="480"/>
      <c r="E10" s="96"/>
    </row>
    <row r="11" spans="2:5" ht="15.75">
      <c r="B11" s="154" t="s">
        <v>854</v>
      </c>
      <c r="C11" s="480"/>
      <c r="D11" s="480"/>
      <c r="E11" s="264" t="str">
        <f>mvalloc!D21</f>
        <v>  </v>
      </c>
    </row>
    <row r="12" spans="2:5" ht="15.75">
      <c r="B12" s="154" t="s">
        <v>855</v>
      </c>
      <c r="C12" s="480"/>
      <c r="D12" s="480"/>
      <c r="E12" s="264" t="str">
        <f>mvalloc!E21</f>
        <v>  </v>
      </c>
    </row>
    <row r="13" spans="2:5" ht="15.75">
      <c r="B13" s="168" t="s">
        <v>520</v>
      </c>
      <c r="C13" s="480"/>
      <c r="D13" s="480"/>
      <c r="E13" s="264" t="str">
        <f>mvalloc!F21</f>
        <v>  </v>
      </c>
    </row>
    <row r="14" spans="2:5" ht="15.75">
      <c r="B14" s="168" t="s">
        <v>232</v>
      </c>
      <c r="C14" s="480"/>
      <c r="D14" s="480"/>
      <c r="E14" s="264" t="str">
        <f>mvalloc!G21</f>
        <v> </v>
      </c>
    </row>
    <row r="15" spans="2:5" ht="15.75">
      <c r="B15" s="316"/>
      <c r="C15" s="480"/>
      <c r="D15" s="480"/>
      <c r="E15" s="96"/>
    </row>
    <row r="16" spans="2:5" ht="15.75">
      <c r="B16" s="316"/>
      <c r="C16" s="480"/>
      <c r="D16" s="480"/>
      <c r="E16" s="96"/>
    </row>
    <row r="17" spans="2:5" ht="15.75">
      <c r="B17" s="316"/>
      <c r="C17" s="480"/>
      <c r="D17" s="480"/>
      <c r="E17" s="96"/>
    </row>
    <row r="18" spans="2:5" ht="15.75">
      <c r="B18" s="304" t="s">
        <v>859</v>
      </c>
      <c r="C18" s="480"/>
      <c r="D18" s="480"/>
      <c r="E18" s="96"/>
    </row>
    <row r="19" spans="2:5" ht="15.75">
      <c r="B19" s="305" t="s">
        <v>966</v>
      </c>
      <c r="C19" s="480"/>
      <c r="D19" s="480"/>
      <c r="E19" s="96"/>
    </row>
    <row r="20" spans="2:5" ht="15.75">
      <c r="B20" s="305" t="s">
        <v>968</v>
      </c>
      <c r="C20" s="446">
        <f>IF(C21*0.1&lt;C19,"Exceed 10% Rule","")</f>
      </c>
      <c r="D20" s="446">
        <f>IF(D21*0.1&lt;D19,"Exceed 10% Rule","")</f>
      </c>
      <c r="E20" s="333">
        <f>IF(E21*0.1+E40&lt;E19,"Exceed 10% Rule","")</f>
      </c>
    </row>
    <row r="21" spans="2:5" ht="15.75">
      <c r="B21" s="307" t="s">
        <v>860</v>
      </c>
      <c r="C21" s="450">
        <f>SUM(C9:C19)</f>
        <v>0</v>
      </c>
      <c r="D21" s="450">
        <f>SUM(D9:D19)</f>
        <v>0</v>
      </c>
      <c r="E21" s="353">
        <f>SUM(E9:E19)</f>
        <v>0</v>
      </c>
    </row>
    <row r="22" spans="2:5" ht="15.75">
      <c r="B22" s="307" t="s">
        <v>861</v>
      </c>
      <c r="C22" s="450">
        <f>C7+C21</f>
        <v>0</v>
      </c>
      <c r="D22" s="450">
        <f>D7+D21</f>
        <v>0</v>
      </c>
      <c r="E22" s="353">
        <f>E7+E21</f>
        <v>0</v>
      </c>
    </row>
    <row r="23" spans="2:5" ht="15.75">
      <c r="B23" s="154" t="s">
        <v>864</v>
      </c>
      <c r="C23" s="305"/>
      <c r="D23" s="305"/>
      <c r="E23" s="164"/>
    </row>
    <row r="24" spans="2:5" ht="15.75">
      <c r="B24" s="316"/>
      <c r="C24" s="480"/>
      <c r="D24" s="480"/>
      <c r="E24" s="96"/>
    </row>
    <row r="25" spans="2:5" ht="15.75">
      <c r="B25" s="316"/>
      <c r="C25" s="480"/>
      <c r="D25" s="480"/>
      <c r="E25" s="96"/>
    </row>
    <row r="26" spans="2:5" ht="15.75">
      <c r="B26" s="316"/>
      <c r="C26" s="480"/>
      <c r="D26" s="480"/>
      <c r="E26" s="96"/>
    </row>
    <row r="27" spans="2:5" ht="15.75">
      <c r="B27" s="316"/>
      <c r="C27" s="480"/>
      <c r="D27" s="480"/>
      <c r="E27" s="96"/>
    </row>
    <row r="28" spans="2:5" ht="15.75">
      <c r="B28" s="316"/>
      <c r="C28" s="480"/>
      <c r="D28" s="480"/>
      <c r="E28" s="96"/>
    </row>
    <row r="29" spans="2:5" ht="15.75">
      <c r="B29" s="316"/>
      <c r="C29" s="480"/>
      <c r="D29" s="480"/>
      <c r="E29" s="96"/>
    </row>
    <row r="30" spans="2:5" ht="15.75">
      <c r="B30" s="305" t="s">
        <v>965</v>
      </c>
      <c r="C30" s="480"/>
      <c r="D30" s="480"/>
      <c r="E30" s="100">
        <f>Nhood!E19</f>
      </c>
    </row>
    <row r="31" spans="2:5" ht="15.75">
      <c r="B31" s="305" t="s">
        <v>966</v>
      </c>
      <c r="C31" s="480"/>
      <c r="D31" s="480"/>
      <c r="E31" s="96"/>
    </row>
    <row r="32" spans="2:5" ht="15.75">
      <c r="B32" s="305" t="s">
        <v>967</v>
      </c>
      <c r="C32" s="446">
        <f>IF(C33*0.1&lt;C31,"Exceed 10% Rule","")</f>
      </c>
      <c r="D32" s="446">
        <f>IF(D33*0.1&lt;D31,"Exceed 10% Rule","")</f>
      </c>
      <c r="E32" s="333">
        <f>IF(E33*0.1&lt;E31,"Exceed 10% Rule","")</f>
      </c>
    </row>
    <row r="33" spans="2:5" ht="15.75">
      <c r="B33" s="307" t="s">
        <v>865</v>
      </c>
      <c r="C33" s="450">
        <f>SUM(C24:C31)</f>
        <v>0</v>
      </c>
      <c r="D33" s="450">
        <f>SUM(D24:D31)</f>
        <v>0</v>
      </c>
      <c r="E33" s="353">
        <f>SUM(E24:E31)</f>
        <v>0</v>
      </c>
    </row>
    <row r="34" spans="2:5" ht="15.75">
      <c r="B34" s="154" t="s">
        <v>570</v>
      </c>
      <c r="C34" s="445">
        <f>C22-C33</f>
        <v>0</v>
      </c>
      <c r="D34" s="445">
        <f>D22-D33</f>
        <v>0</v>
      </c>
      <c r="E34" s="326" t="s">
        <v>462</v>
      </c>
    </row>
    <row r="35" spans="2:6" ht="15.75">
      <c r="B35" s="286" t="str">
        <f>CONCATENATE("",$E$1-2,"/",$E$1-1," Budget Authority Amount:")</f>
        <v>2010/2011 Budget Authority Amount:</v>
      </c>
      <c r="C35" s="278">
        <f>inputOth!B43</f>
        <v>0</v>
      </c>
      <c r="D35" s="278">
        <f>inputPrYr!D29</f>
        <v>0</v>
      </c>
      <c r="E35" s="326" t="s">
        <v>462</v>
      </c>
      <c r="F35" s="319"/>
    </row>
    <row r="36" spans="2:6" ht="15.75">
      <c r="B36" s="286"/>
      <c r="C36" s="700" t="s">
        <v>923</v>
      </c>
      <c r="D36" s="701"/>
      <c r="E36" s="96"/>
      <c r="F36" s="319">
        <f>IF(E33/0.95-E33&lt;E36,"Exceeds 5%","")</f>
      </c>
    </row>
    <row r="37" spans="2:5" ht="15.75">
      <c r="B37" s="487" t="str">
        <f>CONCATENATE(C85,"     ",D85)</f>
        <v>     </v>
      </c>
      <c r="C37" s="702" t="s">
        <v>924</v>
      </c>
      <c r="D37" s="703"/>
      <c r="E37" s="264">
        <f>E33+E36</f>
        <v>0</v>
      </c>
    </row>
    <row r="38" spans="2:5" ht="15.75">
      <c r="B38" s="487" t="str">
        <f>CONCATENATE(C86,"      ",D86)</f>
        <v>      </v>
      </c>
      <c r="C38" s="320"/>
      <c r="D38" s="109" t="s">
        <v>866</v>
      </c>
      <c r="E38" s="100">
        <f>IF(E37-E22&gt;0,E37-E22,0)</f>
        <v>0</v>
      </c>
    </row>
    <row r="39" spans="2:5" ht="15.75">
      <c r="B39" s="109"/>
      <c r="C39" s="469" t="s">
        <v>925</v>
      </c>
      <c r="D39" s="460">
        <f>inputOth!$E$23</f>
        <v>0.03</v>
      </c>
      <c r="E39" s="264">
        <f>ROUND(IF(D39&gt;0,(E38*D39),0),0)</f>
        <v>0</v>
      </c>
    </row>
    <row r="40" spans="2:5" ht="15.75">
      <c r="B40" s="69"/>
      <c r="C40" s="698" t="str">
        <f>CONCATENATE("Amount of  ",$E$1-1," Ad Valorem Tax")</f>
        <v>Amount of  2011 Ad Valorem Tax</v>
      </c>
      <c r="D40" s="699"/>
      <c r="E40" s="338">
        <f>E38+E39</f>
        <v>0</v>
      </c>
    </row>
    <row r="41" spans="2:5" ht="15.75">
      <c r="B41" s="69"/>
      <c r="C41" s="146"/>
      <c r="D41" s="146"/>
      <c r="E41" s="146"/>
    </row>
    <row r="42" spans="2:5" ht="15.75">
      <c r="B42" s="68" t="s">
        <v>851</v>
      </c>
      <c r="C42" s="539" t="str">
        <f aca="true" t="shared" si="0" ref="C42:E43">C5</f>
        <v>Prior Year Actual</v>
      </c>
      <c r="D42" s="540" t="str">
        <f t="shared" si="0"/>
        <v>Current Year Estimate</v>
      </c>
      <c r="E42" s="536" t="str">
        <f t="shared" si="0"/>
        <v>Proposed Budget Year</v>
      </c>
    </row>
    <row r="43" spans="2:5" ht="15.75">
      <c r="B43" s="472">
        <f>inputPrYr!$B$30</f>
        <v>0</v>
      </c>
      <c r="C43" s="448">
        <f t="shared" si="0"/>
        <v>2010</v>
      </c>
      <c r="D43" s="448">
        <f t="shared" si="0"/>
        <v>2011</v>
      </c>
      <c r="E43" s="311">
        <f t="shared" si="0"/>
        <v>2012</v>
      </c>
    </row>
    <row r="44" spans="2:5" ht="15.75">
      <c r="B44" s="154" t="s">
        <v>569</v>
      </c>
      <c r="C44" s="480"/>
      <c r="D44" s="447">
        <f>C71</f>
        <v>0</v>
      </c>
      <c r="E44" s="264">
        <f>D71</f>
        <v>0</v>
      </c>
    </row>
    <row r="45" spans="2:5" ht="15.75">
      <c r="B45" s="300" t="s">
        <v>571</v>
      </c>
      <c r="C45" s="168"/>
      <c r="D45" s="168"/>
      <c r="E45" s="112"/>
    </row>
    <row r="46" spans="2:5" ht="15.75">
      <c r="B46" s="154" t="s">
        <v>852</v>
      </c>
      <c r="C46" s="480"/>
      <c r="D46" s="447">
        <f>inputPrYr!E30</f>
        <v>0</v>
      </c>
      <c r="E46" s="326" t="s">
        <v>462</v>
      </c>
    </row>
    <row r="47" spans="2:5" ht="15.75">
      <c r="B47" s="154" t="s">
        <v>853</v>
      </c>
      <c r="C47" s="480"/>
      <c r="D47" s="480"/>
      <c r="E47" s="96"/>
    </row>
    <row r="48" spans="2:5" ht="15.75">
      <c r="B48" s="154" t="s">
        <v>854</v>
      </c>
      <c r="C48" s="480"/>
      <c r="D48" s="480"/>
      <c r="E48" s="264" t="str">
        <f>mvalloc!D22</f>
        <v>  </v>
      </c>
    </row>
    <row r="49" spans="2:5" ht="15.75">
      <c r="B49" s="154" t="s">
        <v>855</v>
      </c>
      <c r="C49" s="480"/>
      <c r="D49" s="480"/>
      <c r="E49" s="264" t="str">
        <f>mvalloc!E22</f>
        <v>  </v>
      </c>
    </row>
    <row r="50" spans="2:5" ht="15.75">
      <c r="B50" s="168" t="s">
        <v>520</v>
      </c>
      <c r="C50" s="480"/>
      <c r="D50" s="480"/>
      <c r="E50" s="264" t="str">
        <f>mvalloc!F22</f>
        <v>  </v>
      </c>
    </row>
    <row r="51" spans="2:5" ht="15.75">
      <c r="B51" s="168" t="s">
        <v>232</v>
      </c>
      <c r="C51" s="480"/>
      <c r="D51" s="480"/>
      <c r="E51" s="264" t="str">
        <f>mvalloc!G22</f>
        <v> </v>
      </c>
    </row>
    <row r="52" spans="2:5" ht="15.75">
      <c r="B52" s="316"/>
      <c r="C52" s="480"/>
      <c r="D52" s="480"/>
      <c r="E52" s="96"/>
    </row>
    <row r="53" spans="2:5" ht="15.75">
      <c r="B53" s="316"/>
      <c r="C53" s="480"/>
      <c r="D53" s="480"/>
      <c r="E53" s="96"/>
    </row>
    <row r="54" spans="2:5" ht="15.75">
      <c r="B54" s="316"/>
      <c r="C54" s="480"/>
      <c r="D54" s="480"/>
      <c r="E54" s="96"/>
    </row>
    <row r="55" spans="2:5" ht="15.75">
      <c r="B55" s="304" t="s">
        <v>859</v>
      </c>
      <c r="C55" s="480"/>
      <c r="D55" s="480"/>
      <c r="E55" s="96"/>
    </row>
    <row r="56" spans="2:5" ht="15.75">
      <c r="B56" s="305" t="s">
        <v>966</v>
      </c>
      <c r="C56" s="480"/>
      <c r="D56" s="480"/>
      <c r="E56" s="96"/>
    </row>
    <row r="57" spans="2:5" ht="15.75">
      <c r="B57" s="305" t="s">
        <v>968</v>
      </c>
      <c r="C57" s="446">
        <f>IF(C58*0.1&lt;C56,"Exceed 10% Rule","")</f>
      </c>
      <c r="D57" s="446">
        <f>IF(D58*0.1&lt;D56,"Exceed 10% Rule","")</f>
      </c>
      <c r="E57" s="333">
        <f>IF(E58*0.1+E77&lt;E56,"Exceed 10% Rule","")</f>
      </c>
    </row>
    <row r="58" spans="2:5" ht="15.75">
      <c r="B58" s="307" t="s">
        <v>860</v>
      </c>
      <c r="C58" s="450">
        <f>SUM(C46:C56)</f>
        <v>0</v>
      </c>
      <c r="D58" s="450">
        <f>SUM(D46:D56)</f>
        <v>0</v>
      </c>
      <c r="E58" s="353">
        <f>SUM(E46:E56)</f>
        <v>0</v>
      </c>
    </row>
    <row r="59" spans="2:5" ht="15.75">
      <c r="B59" s="307" t="s">
        <v>861</v>
      </c>
      <c r="C59" s="450">
        <f>C44+C58</f>
        <v>0</v>
      </c>
      <c r="D59" s="450">
        <f>D44+D58</f>
        <v>0</v>
      </c>
      <c r="E59" s="353">
        <f>E44+E58</f>
        <v>0</v>
      </c>
    </row>
    <row r="60" spans="2:5" ht="15.75">
      <c r="B60" s="154" t="s">
        <v>864</v>
      </c>
      <c r="C60" s="305"/>
      <c r="D60" s="305"/>
      <c r="E60" s="164"/>
    </row>
    <row r="61" spans="2:5" ht="15.75">
      <c r="B61" s="316"/>
      <c r="C61" s="480"/>
      <c r="D61" s="480"/>
      <c r="E61" s="96"/>
    </row>
    <row r="62" spans="2:5" ht="15.75">
      <c r="B62" s="316"/>
      <c r="C62" s="480"/>
      <c r="D62" s="480"/>
      <c r="E62" s="96"/>
    </row>
    <row r="63" spans="2:5" ht="15.75">
      <c r="B63" s="316"/>
      <c r="C63" s="480"/>
      <c r="D63" s="480"/>
      <c r="E63" s="96"/>
    </row>
    <row r="64" spans="2:5" ht="15.75">
      <c r="B64" s="316"/>
      <c r="C64" s="480"/>
      <c r="D64" s="480"/>
      <c r="E64" s="96"/>
    </row>
    <row r="65" spans="2:5" ht="15.75">
      <c r="B65" s="316"/>
      <c r="C65" s="480"/>
      <c r="D65" s="480"/>
      <c r="E65" s="96"/>
    </row>
    <row r="66" spans="2:5" ht="15.75">
      <c r="B66" s="316"/>
      <c r="C66" s="480"/>
      <c r="D66" s="480"/>
      <c r="E66" s="96"/>
    </row>
    <row r="67" spans="2:5" ht="15.75">
      <c r="B67" s="305" t="s">
        <v>965</v>
      </c>
      <c r="C67" s="480"/>
      <c r="D67" s="480"/>
      <c r="E67" s="100">
        <f>Nhood!E20</f>
      </c>
    </row>
    <row r="68" spans="2:5" ht="15.75">
      <c r="B68" s="305" t="s">
        <v>966</v>
      </c>
      <c r="C68" s="480"/>
      <c r="D68" s="480"/>
      <c r="E68" s="96"/>
    </row>
    <row r="69" spans="2:5" ht="15.75">
      <c r="B69" s="305" t="s">
        <v>967</v>
      </c>
      <c r="C69" s="446">
        <f>IF(C70*0.1&lt;C68,"Exceed 10% Rule","")</f>
      </c>
      <c r="D69" s="446">
        <f>IF(D70*0.1&lt;D68,"Exceed 10% Rule","")</f>
      </c>
      <c r="E69" s="333">
        <f>IF(E70*0.1&lt;E68,"Exceed 10% Rule","")</f>
      </c>
    </row>
    <row r="70" spans="2:5" ht="15.75">
      <c r="B70" s="307" t="s">
        <v>865</v>
      </c>
      <c r="C70" s="450">
        <f>SUM(C61:C68)</f>
        <v>0</v>
      </c>
      <c r="D70" s="450">
        <f>SUM(D61:D68)</f>
        <v>0</v>
      </c>
      <c r="E70" s="353">
        <f>SUM(E61:E68)</f>
        <v>0</v>
      </c>
    </row>
    <row r="71" spans="2:5" ht="15.75">
      <c r="B71" s="154" t="s">
        <v>570</v>
      </c>
      <c r="C71" s="445">
        <f>C59-C70</f>
        <v>0</v>
      </c>
      <c r="D71" s="445">
        <f>D59-D70</f>
        <v>0</v>
      </c>
      <c r="E71" s="326" t="s">
        <v>462</v>
      </c>
    </row>
    <row r="72" spans="2:6" ht="15.75">
      <c r="B72" s="286" t="str">
        <f>CONCATENATE("",$E$1-2,"/",$E$1-1," Budget Authority Amount:")</f>
        <v>2010/2011 Budget Authority Amount:</v>
      </c>
      <c r="C72" s="278">
        <f>inputOth!B44</f>
        <v>0</v>
      </c>
      <c r="D72" s="278">
        <f>inputPrYr!D30</f>
        <v>0</v>
      </c>
      <c r="E72" s="326" t="s">
        <v>462</v>
      </c>
      <c r="F72" s="319"/>
    </row>
    <row r="73" spans="2:6" ht="15.75">
      <c r="B73" s="286"/>
      <c r="C73" s="700" t="s">
        <v>923</v>
      </c>
      <c r="D73" s="701"/>
      <c r="E73" s="96"/>
      <c r="F73" s="319">
        <f>IF(E70/0.95-E70&lt;E73,"Exceeds 5%","")</f>
      </c>
    </row>
    <row r="74" spans="2:5" ht="15.75">
      <c r="B74" s="487" t="str">
        <f>CONCATENATE(C87,"      ",D87)</f>
        <v>      </v>
      </c>
      <c r="C74" s="702" t="s">
        <v>924</v>
      </c>
      <c r="D74" s="703"/>
      <c r="E74" s="264">
        <f>E70+E73</f>
        <v>0</v>
      </c>
    </row>
    <row r="75" spans="2:5" ht="15.75">
      <c r="B75" s="487" t="str">
        <f>CONCATENATE(C88,"      ",D88)</f>
        <v>      </v>
      </c>
      <c r="C75" s="320"/>
      <c r="D75" s="109" t="s">
        <v>866</v>
      </c>
      <c r="E75" s="100">
        <f>IF(E74-E59&gt;0,E74-E59,0)</f>
        <v>0</v>
      </c>
    </row>
    <row r="76" spans="2:5" ht="15.75">
      <c r="B76" s="109"/>
      <c r="C76" s="469" t="s">
        <v>925</v>
      </c>
      <c r="D76" s="460">
        <f>inputOth!$E$23</f>
        <v>0.03</v>
      </c>
      <c r="E76" s="264">
        <f>ROUND(IF(D76&gt;0,(E75*D76),0),0)</f>
        <v>0</v>
      </c>
    </row>
    <row r="77" spans="2:5" ht="15.75">
      <c r="B77" s="69"/>
      <c r="C77" s="698" t="str">
        <f>CONCATENATE("Amount of  ",$E$1-1," Ad Valorem Tax")</f>
        <v>Amount of  2011 Ad Valorem Tax</v>
      </c>
      <c r="D77" s="699"/>
      <c r="E77" s="338">
        <f>E75+E76</f>
        <v>0</v>
      </c>
    </row>
    <row r="78" spans="2:5" ht="15.75">
      <c r="B78" s="321" t="s">
        <v>477</v>
      </c>
      <c r="C78" s="339"/>
      <c r="D78" s="69"/>
      <c r="E78" s="69"/>
    </row>
    <row r="85" spans="3:4" ht="15.75" hidden="1">
      <c r="C85" s="53">
        <f>IF(C33&gt;C35,"See Tab A","")</f>
      </c>
      <c r="D85" s="53">
        <f>IF(D33&gt;D35,"See Tab C","")</f>
      </c>
    </row>
    <row r="86" spans="3:4" ht="15.75" hidden="1">
      <c r="C86" s="53">
        <f>IF(C34&lt;0,"See Tab B","")</f>
      </c>
      <c r="D86" s="53">
        <f>IF(D34&lt;0,"See Tab D","")</f>
      </c>
    </row>
    <row r="87" spans="3:4" ht="15.75" hidden="1">
      <c r="C87" s="53">
        <f>IF(C70&gt;C72,"See Tab A","")</f>
      </c>
      <c r="D87" s="53">
        <f>IF(D70&gt;D72,"See Tab C","")</f>
      </c>
    </row>
    <row r="88" spans="3:4" ht="15.75" hidden="1">
      <c r="C88" s="53">
        <f>IF(C71&lt;0,"See Tab B","")</f>
      </c>
      <c r="D88" s="53">
        <f>IF(D71&lt;0,"See Tab D","")</f>
      </c>
    </row>
  </sheetData>
  <sheetProtection sheet="1"/>
  <mergeCells count="6">
    <mergeCell ref="C77:D77"/>
    <mergeCell ref="C40:D40"/>
    <mergeCell ref="C36:D36"/>
    <mergeCell ref="C37:D37"/>
    <mergeCell ref="C73:D73"/>
    <mergeCell ref="C74:D74"/>
  </mergeCells>
  <conditionalFormatting sqref="E36">
    <cfRule type="cellIs" priority="3" dxfId="350" operator="greaterThan" stopIfTrue="1">
      <formula>$E$33/0.95-$E$33</formula>
    </cfRule>
  </conditionalFormatting>
  <conditionalFormatting sqref="E73">
    <cfRule type="cellIs" priority="4" dxfId="350" operator="greaterThan" stopIfTrue="1">
      <formula>$E$70/0.95-$E$70</formula>
    </cfRule>
  </conditionalFormatting>
  <conditionalFormatting sqref="E68">
    <cfRule type="cellIs" priority="5" dxfId="350" operator="greaterThan" stopIfTrue="1">
      <formula>$E$70*0.1</formula>
    </cfRule>
  </conditionalFormatting>
  <conditionalFormatting sqref="C19">
    <cfRule type="cellIs" priority="6" dxfId="350" operator="greaterThan" stopIfTrue="1">
      <formula>$C$21*0.1</formula>
    </cfRule>
  </conditionalFormatting>
  <conditionalFormatting sqref="D19">
    <cfRule type="cellIs" priority="7" dxfId="350" operator="greaterThan" stopIfTrue="1">
      <formula>$D$21*0.1</formula>
    </cfRule>
  </conditionalFormatting>
  <conditionalFormatting sqref="E31">
    <cfRule type="cellIs" priority="8" dxfId="350" operator="greaterThan" stopIfTrue="1">
      <formula>$E$33*0.1</formula>
    </cfRule>
  </conditionalFormatting>
  <conditionalFormatting sqref="E19">
    <cfRule type="cellIs" priority="9" dxfId="350" operator="greaterThan" stopIfTrue="1">
      <formula>$E$21*0.1+E40</formula>
    </cfRule>
  </conditionalFormatting>
  <conditionalFormatting sqref="E56">
    <cfRule type="cellIs" priority="10" dxfId="350" operator="greaterThan" stopIfTrue="1">
      <formula>$E$58*0.1+E77</formula>
    </cfRule>
  </conditionalFormatting>
  <conditionalFormatting sqref="C68">
    <cfRule type="cellIs" priority="11" dxfId="2" operator="greaterThan" stopIfTrue="1">
      <formula>$C$70*0.1</formula>
    </cfRule>
  </conditionalFormatting>
  <conditionalFormatting sqref="D68">
    <cfRule type="cellIs" priority="12" dxfId="2" operator="greaterThan" stopIfTrue="1">
      <formula>$D$70*0.1</formula>
    </cfRule>
  </conditionalFormatting>
  <conditionalFormatting sqref="C71 C34">
    <cfRule type="cellIs" priority="13" dxfId="2" operator="lessThan" stopIfTrue="1">
      <formula>0</formula>
    </cfRule>
  </conditionalFormatting>
  <conditionalFormatting sqref="C70">
    <cfRule type="cellIs" priority="14" dxfId="2" operator="greaterThan" stopIfTrue="1">
      <formula>$C$72</formula>
    </cfRule>
  </conditionalFormatting>
  <conditionalFormatting sqref="D70">
    <cfRule type="cellIs" priority="15" dxfId="2" operator="greaterThan" stopIfTrue="1">
      <formula>$D$72</formula>
    </cfRule>
  </conditionalFormatting>
  <conditionalFormatting sqref="C33">
    <cfRule type="cellIs" priority="16" dxfId="2" operator="greaterThan" stopIfTrue="1">
      <formula>$C$35</formula>
    </cfRule>
  </conditionalFormatting>
  <conditionalFormatting sqref="D33">
    <cfRule type="cellIs" priority="17" dxfId="2" operator="greaterThan" stopIfTrue="1">
      <formula>$D$35</formula>
    </cfRule>
  </conditionalFormatting>
  <conditionalFormatting sqref="D56">
    <cfRule type="cellIs" priority="18" dxfId="2" operator="greaterThan" stopIfTrue="1">
      <formula>$D$58*0.1</formula>
    </cfRule>
  </conditionalFormatting>
  <conditionalFormatting sqref="C56">
    <cfRule type="cellIs" priority="19" dxfId="2" operator="greaterThan" stopIfTrue="1">
      <formula>$C$58*0.1</formula>
    </cfRule>
  </conditionalFormatting>
  <conditionalFormatting sqref="C31">
    <cfRule type="cellIs" priority="20" dxfId="2" operator="greaterThan" stopIfTrue="1">
      <formula>$C$33*0.1</formula>
    </cfRule>
  </conditionalFormatting>
  <conditionalFormatting sqref="D31">
    <cfRule type="cellIs" priority="21" dxfId="2" operator="greaterThan" stopIfTrue="1">
      <formula>$D$33*0.1</formula>
    </cfRule>
  </conditionalFormatting>
  <conditionalFormatting sqref="D34 D71">
    <cfRule type="cellIs" priority="2" dxfId="0" operator="lessThan" stopIfTrue="1">
      <formula>0</formula>
    </cfRule>
  </conditionalFormatting>
  <printOptions/>
  <pageMargins left="1.12" right="0.5" top="0.74" bottom="0.34" header="0.5" footer="0"/>
  <pageSetup blackAndWhite="1" fitToHeight="1" fitToWidth="1" horizontalDpi="120" verticalDpi="120" orientation="portrait" scale="65" r:id="rId1"/>
  <headerFooter alignWithMargins="0">
    <oddHeader>&amp;RState of Kansas
County
</oddHeader>
  </headerFooter>
</worksheet>
</file>

<file path=xl/worksheets/sheet26.xml><?xml version="1.0" encoding="utf-8"?>
<worksheet xmlns="http://schemas.openxmlformats.org/spreadsheetml/2006/main" xmlns:r="http://schemas.openxmlformats.org/officeDocument/2006/relationships">
  <sheetPr>
    <pageSetUpPr fitToPage="1"/>
  </sheetPr>
  <dimension ref="B1:F88"/>
  <sheetViews>
    <sheetView zoomScalePageLayoutView="0" workbookViewId="0" topLeftCell="A1">
      <selection activeCell="D70" sqref="D70"/>
    </sheetView>
  </sheetViews>
  <sheetFormatPr defaultColWidth="8.796875" defaultRowHeight="15"/>
  <cols>
    <col min="1" max="1" width="2.3984375" style="53" customWidth="1"/>
    <col min="2" max="2" width="31.09765625" style="53" customWidth="1"/>
    <col min="3" max="4" width="15.796875" style="53" customWidth="1"/>
    <col min="5" max="5" width="16.296875" style="53" customWidth="1"/>
    <col min="6" max="16384" width="8.8984375" style="53" customWidth="1"/>
  </cols>
  <sheetData>
    <row r="1" spans="2:5" ht="15.75">
      <c r="B1" s="205" t="str">
        <f>(inputPrYr!C3)</f>
        <v>MORRIS COUNTY</v>
      </c>
      <c r="C1" s="69"/>
      <c r="D1" s="69"/>
      <c r="E1" s="285">
        <f>inputPrYr!C5</f>
        <v>2012</v>
      </c>
    </row>
    <row r="2" spans="2:5" ht="15.75">
      <c r="B2" s="69"/>
      <c r="C2" s="69"/>
      <c r="D2" s="69"/>
      <c r="E2" s="109"/>
    </row>
    <row r="3" spans="2:5" ht="15.75">
      <c r="B3" s="214"/>
      <c r="C3" s="322"/>
      <c r="D3" s="322"/>
      <c r="E3" s="323"/>
    </row>
    <row r="4" spans="2:5" ht="15.75">
      <c r="B4" s="484" t="s">
        <v>528</v>
      </c>
      <c r="C4" s="146"/>
      <c r="D4" s="146"/>
      <c r="E4" s="146"/>
    </row>
    <row r="5" spans="2:5" ht="15.75">
      <c r="B5" s="68" t="s">
        <v>851</v>
      </c>
      <c r="C5" s="539" t="s">
        <v>479</v>
      </c>
      <c r="D5" s="540" t="s">
        <v>226</v>
      </c>
      <c r="E5" s="536" t="s">
        <v>227</v>
      </c>
    </row>
    <row r="6" spans="2:5" ht="15.75">
      <c r="B6" s="472">
        <f>inputPrYr!$B$31</f>
        <v>0</v>
      </c>
      <c r="C6" s="448">
        <f>E1-2</f>
        <v>2010</v>
      </c>
      <c r="D6" s="448">
        <f>E1-1</f>
        <v>2011</v>
      </c>
      <c r="E6" s="311">
        <f>E1</f>
        <v>2012</v>
      </c>
    </row>
    <row r="7" spans="2:5" ht="15.75">
      <c r="B7" s="154" t="s">
        <v>569</v>
      </c>
      <c r="C7" s="480"/>
      <c r="D7" s="447">
        <f>C34</f>
        <v>0</v>
      </c>
      <c r="E7" s="264">
        <f>D34</f>
        <v>0</v>
      </c>
    </row>
    <row r="8" spans="2:5" ht="15.75">
      <c r="B8" s="289" t="s">
        <v>571</v>
      </c>
      <c r="C8" s="168"/>
      <c r="D8" s="168"/>
      <c r="E8" s="112"/>
    </row>
    <row r="9" spans="2:5" ht="15.75">
      <c r="B9" s="154" t="s">
        <v>852</v>
      </c>
      <c r="C9" s="480"/>
      <c r="D9" s="447">
        <f>inputPrYr!E31</f>
        <v>0</v>
      </c>
      <c r="E9" s="326" t="s">
        <v>462</v>
      </c>
    </row>
    <row r="10" spans="2:5" ht="15.75">
      <c r="B10" s="154" t="s">
        <v>853</v>
      </c>
      <c r="C10" s="480"/>
      <c r="D10" s="480"/>
      <c r="E10" s="96"/>
    </row>
    <row r="11" spans="2:5" ht="15.75">
      <c r="B11" s="154" t="s">
        <v>854</v>
      </c>
      <c r="C11" s="480"/>
      <c r="D11" s="480"/>
      <c r="E11" s="264" t="str">
        <f>mvalloc!D23</f>
        <v>  </v>
      </c>
    </row>
    <row r="12" spans="2:5" ht="15.75">
      <c r="B12" s="154" t="s">
        <v>855</v>
      </c>
      <c r="C12" s="480"/>
      <c r="D12" s="480"/>
      <c r="E12" s="264" t="str">
        <f>mvalloc!E23</f>
        <v>  </v>
      </c>
    </row>
    <row r="13" spans="2:5" ht="15.75">
      <c r="B13" s="168" t="s">
        <v>520</v>
      </c>
      <c r="C13" s="480"/>
      <c r="D13" s="480"/>
      <c r="E13" s="264" t="str">
        <f>mvalloc!F23</f>
        <v>  </v>
      </c>
    </row>
    <row r="14" spans="2:5" ht="15.75">
      <c r="B14" s="168" t="s">
        <v>232</v>
      </c>
      <c r="C14" s="480"/>
      <c r="D14" s="480"/>
      <c r="E14" s="264" t="str">
        <f>mvalloc!G23</f>
        <v> </v>
      </c>
    </row>
    <row r="15" spans="2:5" ht="15.75">
      <c r="B15" s="316"/>
      <c r="C15" s="480"/>
      <c r="D15" s="480"/>
      <c r="E15" s="96"/>
    </row>
    <row r="16" spans="2:5" ht="15.75">
      <c r="B16" s="316"/>
      <c r="C16" s="480"/>
      <c r="D16" s="480"/>
      <c r="E16" s="96"/>
    </row>
    <row r="17" spans="2:5" ht="15.75">
      <c r="B17" s="316"/>
      <c r="C17" s="480"/>
      <c r="D17" s="480"/>
      <c r="E17" s="96"/>
    </row>
    <row r="18" spans="2:5" ht="15.75">
      <c r="B18" s="304" t="s">
        <v>859</v>
      </c>
      <c r="C18" s="480"/>
      <c r="D18" s="480"/>
      <c r="E18" s="96"/>
    </row>
    <row r="19" spans="2:5" ht="15.75">
      <c r="B19" s="305" t="s">
        <v>966</v>
      </c>
      <c r="C19" s="480"/>
      <c r="D19" s="480"/>
      <c r="E19" s="96"/>
    </row>
    <row r="20" spans="2:5" ht="15.75">
      <c r="B20" s="305" t="s">
        <v>968</v>
      </c>
      <c r="C20" s="446">
        <f>IF(C21*0.1&lt;C19,"Exceed 10% Rule","")</f>
      </c>
      <c r="D20" s="446">
        <f>IF(D21*0.1&lt;D19,"Exceed 10% Rule","")</f>
      </c>
      <c r="E20" s="333">
        <f>IF(E21*0.1+E40&lt;E19,"Exceed 10% Rule","")</f>
      </c>
    </row>
    <row r="21" spans="2:5" ht="15.75">
      <c r="B21" s="307" t="s">
        <v>860</v>
      </c>
      <c r="C21" s="481">
        <f>SUM(C9:C19)</f>
        <v>0</v>
      </c>
      <c r="D21" s="481">
        <f>SUM(D9:D19)</f>
        <v>0</v>
      </c>
      <c r="E21" s="355">
        <f>SUM(E9:E19)</f>
        <v>0</v>
      </c>
    </row>
    <row r="22" spans="2:5" ht="15.75">
      <c r="B22" s="307" t="s">
        <v>861</v>
      </c>
      <c r="C22" s="481">
        <f>C7+C21</f>
        <v>0</v>
      </c>
      <c r="D22" s="481">
        <f>D7+D21</f>
        <v>0</v>
      </c>
      <c r="E22" s="355">
        <f>E7+E21</f>
        <v>0</v>
      </c>
    </row>
    <row r="23" spans="2:5" ht="15.75">
      <c r="B23" s="154" t="s">
        <v>864</v>
      </c>
      <c r="C23" s="305"/>
      <c r="D23" s="305"/>
      <c r="E23" s="164"/>
    </row>
    <row r="24" spans="2:5" ht="15.75">
      <c r="B24" s="316"/>
      <c r="C24" s="480"/>
      <c r="D24" s="480"/>
      <c r="E24" s="96"/>
    </row>
    <row r="25" spans="2:5" ht="15.75">
      <c r="B25" s="316"/>
      <c r="C25" s="480"/>
      <c r="D25" s="480"/>
      <c r="E25" s="96"/>
    </row>
    <row r="26" spans="2:5" ht="15.75">
      <c r="B26" s="316"/>
      <c r="C26" s="480"/>
      <c r="D26" s="480"/>
      <c r="E26" s="96"/>
    </row>
    <row r="27" spans="2:5" ht="15.75">
      <c r="B27" s="316"/>
      <c r="C27" s="480"/>
      <c r="D27" s="480"/>
      <c r="E27" s="96"/>
    </row>
    <row r="28" spans="2:5" ht="15.75">
      <c r="B28" s="316"/>
      <c r="C28" s="480"/>
      <c r="D28" s="480"/>
      <c r="E28" s="96"/>
    </row>
    <row r="29" spans="2:5" ht="15.75">
      <c r="B29" s="316"/>
      <c r="C29" s="480"/>
      <c r="D29" s="480"/>
      <c r="E29" s="96"/>
    </row>
    <row r="30" spans="2:5" ht="15.75">
      <c r="B30" s="305" t="s">
        <v>965</v>
      </c>
      <c r="C30" s="480"/>
      <c r="D30" s="480"/>
      <c r="E30" s="100">
        <f>Nhood!E21</f>
      </c>
    </row>
    <row r="31" spans="2:5" ht="15.75">
      <c r="B31" s="305" t="s">
        <v>966</v>
      </c>
      <c r="C31" s="480"/>
      <c r="D31" s="480"/>
      <c r="E31" s="96"/>
    </row>
    <row r="32" spans="2:5" ht="15.75">
      <c r="B32" s="305" t="s">
        <v>967</v>
      </c>
      <c r="C32" s="446">
        <f>IF(C33*0.1&lt;C31,"Exceed 10% Rule","")</f>
      </c>
      <c r="D32" s="446">
        <f>IF(D33*0.1&lt;D31,"Exceed 10% Rule","")</f>
      </c>
      <c r="E32" s="333">
        <f>IF(E33*0.1&lt;E31,"Exceed 10% Rule","")</f>
      </c>
    </row>
    <row r="33" spans="2:5" ht="15.75">
      <c r="B33" s="307" t="s">
        <v>865</v>
      </c>
      <c r="C33" s="450">
        <f>SUM(C24:C31)</f>
        <v>0</v>
      </c>
      <c r="D33" s="450">
        <f>SUM(D24:D31)</f>
        <v>0</v>
      </c>
      <c r="E33" s="353">
        <f>SUM(E24:E31)</f>
        <v>0</v>
      </c>
    </row>
    <row r="34" spans="2:5" ht="15.75">
      <c r="B34" s="154" t="s">
        <v>570</v>
      </c>
      <c r="C34" s="445">
        <f>C22-C33</f>
        <v>0</v>
      </c>
      <c r="D34" s="445">
        <f>D22-D33</f>
        <v>0</v>
      </c>
      <c r="E34" s="326" t="s">
        <v>462</v>
      </c>
    </row>
    <row r="35" spans="2:6" ht="15.75">
      <c r="B35" s="286" t="str">
        <f>CONCATENATE("",$E$1-2,"/",$E$1-1," Budget Authority Amount:")</f>
        <v>2010/2011 Budget Authority Amount:</v>
      </c>
      <c r="C35" s="278">
        <f>inputOth!B45</f>
        <v>0</v>
      </c>
      <c r="D35" s="278">
        <f>inputPrYr!D31</f>
        <v>0</v>
      </c>
      <c r="E35" s="326" t="s">
        <v>462</v>
      </c>
      <c r="F35" s="319"/>
    </row>
    <row r="36" spans="2:6" ht="15.75">
      <c r="B36" s="286"/>
      <c r="C36" s="700" t="s">
        <v>923</v>
      </c>
      <c r="D36" s="701"/>
      <c r="E36" s="96"/>
      <c r="F36" s="319">
        <f>IF(E33/0.95-E33&lt;E36,"Exceeds 5%","")</f>
      </c>
    </row>
    <row r="37" spans="2:5" ht="15.75">
      <c r="B37" s="487" t="str">
        <f>CONCATENATE(C85,"     ",D85)</f>
        <v>     </v>
      </c>
      <c r="C37" s="702" t="s">
        <v>924</v>
      </c>
      <c r="D37" s="703"/>
      <c r="E37" s="264">
        <f>E33+E36</f>
        <v>0</v>
      </c>
    </row>
    <row r="38" spans="2:5" ht="15.75">
      <c r="B38" s="487" t="str">
        <f>CONCATENATE(C86,"      ",D86)</f>
        <v>      </v>
      </c>
      <c r="C38" s="320"/>
      <c r="D38" s="109" t="s">
        <v>866</v>
      </c>
      <c r="E38" s="100">
        <f>IF(E37-E22&gt;0,E37-E22,0)</f>
        <v>0</v>
      </c>
    </row>
    <row r="39" spans="2:5" ht="15.75">
      <c r="B39" s="109"/>
      <c r="C39" s="469" t="s">
        <v>925</v>
      </c>
      <c r="D39" s="460">
        <f>inputOth!$E$23</f>
        <v>0.03</v>
      </c>
      <c r="E39" s="264">
        <f>ROUND(IF(D39&gt;0,(E38*D39),0),0)</f>
        <v>0</v>
      </c>
    </row>
    <row r="40" spans="2:5" ht="15.75">
      <c r="B40" s="69"/>
      <c r="C40" s="698" t="str">
        <f>CONCATENATE("Amount of  ",$E$1-1," Ad Valorem Tax")</f>
        <v>Amount of  2011 Ad Valorem Tax</v>
      </c>
      <c r="D40" s="699"/>
      <c r="E40" s="338">
        <f>E38+E39</f>
        <v>0</v>
      </c>
    </row>
    <row r="41" spans="2:5" ht="15.75">
      <c r="B41" s="69"/>
      <c r="C41" s="146"/>
      <c r="D41" s="146"/>
      <c r="E41" s="146"/>
    </row>
    <row r="42" spans="2:5" ht="15.75">
      <c r="B42" s="68" t="s">
        <v>851</v>
      </c>
      <c r="C42" s="539" t="str">
        <f aca="true" t="shared" si="0" ref="C42:E43">C5</f>
        <v>Prior Year Actual</v>
      </c>
      <c r="D42" s="540" t="str">
        <f t="shared" si="0"/>
        <v>Current Year Estimate</v>
      </c>
      <c r="E42" s="536" t="str">
        <f t="shared" si="0"/>
        <v>Proposed Budget Year</v>
      </c>
    </row>
    <row r="43" spans="2:5" ht="15.75">
      <c r="B43" s="472">
        <f>inputPrYr!$B$32</f>
        <v>0</v>
      </c>
      <c r="C43" s="448">
        <f t="shared" si="0"/>
        <v>2010</v>
      </c>
      <c r="D43" s="448">
        <f t="shared" si="0"/>
        <v>2011</v>
      </c>
      <c r="E43" s="311">
        <f t="shared" si="0"/>
        <v>2012</v>
      </c>
    </row>
    <row r="44" spans="2:5" ht="15.75">
      <c r="B44" s="154" t="s">
        <v>569</v>
      </c>
      <c r="C44" s="480"/>
      <c r="D44" s="447">
        <f>C71</f>
        <v>0</v>
      </c>
      <c r="E44" s="264">
        <f>D71</f>
        <v>0</v>
      </c>
    </row>
    <row r="45" spans="2:5" ht="15.75">
      <c r="B45" s="300" t="s">
        <v>571</v>
      </c>
      <c r="C45" s="168"/>
      <c r="D45" s="168"/>
      <c r="E45" s="112"/>
    </row>
    <row r="46" spans="2:5" ht="15.75">
      <c r="B46" s="154" t="s">
        <v>852</v>
      </c>
      <c r="C46" s="480"/>
      <c r="D46" s="447">
        <f>inputPrYr!E32</f>
        <v>0</v>
      </c>
      <c r="E46" s="326" t="s">
        <v>462</v>
      </c>
    </row>
    <row r="47" spans="2:5" ht="15.75">
      <c r="B47" s="154" t="s">
        <v>853</v>
      </c>
      <c r="C47" s="480"/>
      <c r="D47" s="480"/>
      <c r="E47" s="96"/>
    </row>
    <row r="48" spans="2:5" ht="15.75">
      <c r="B48" s="154" t="s">
        <v>854</v>
      </c>
      <c r="C48" s="480"/>
      <c r="D48" s="480"/>
      <c r="E48" s="264" t="str">
        <f>mvalloc!D24</f>
        <v>  </v>
      </c>
    </row>
    <row r="49" spans="2:5" ht="15.75">
      <c r="B49" s="154" t="s">
        <v>855</v>
      </c>
      <c r="C49" s="480"/>
      <c r="D49" s="480"/>
      <c r="E49" s="264" t="str">
        <f>mvalloc!E24</f>
        <v>  </v>
      </c>
    </row>
    <row r="50" spans="2:5" ht="15.75">
      <c r="B50" s="168" t="s">
        <v>520</v>
      </c>
      <c r="C50" s="480"/>
      <c r="D50" s="480"/>
      <c r="E50" s="264" t="str">
        <f>mvalloc!F24</f>
        <v>  </v>
      </c>
    </row>
    <row r="51" spans="2:5" ht="15.75">
      <c r="B51" s="168" t="s">
        <v>232</v>
      </c>
      <c r="C51" s="480"/>
      <c r="D51" s="480"/>
      <c r="E51" s="264" t="str">
        <f>mvalloc!G24</f>
        <v> </v>
      </c>
    </row>
    <row r="52" spans="2:5" ht="15.75">
      <c r="B52" s="316"/>
      <c r="C52" s="480"/>
      <c r="D52" s="480"/>
      <c r="E52" s="96"/>
    </row>
    <row r="53" spans="2:5" ht="15.75">
      <c r="B53" s="316"/>
      <c r="C53" s="480"/>
      <c r="D53" s="480"/>
      <c r="E53" s="96"/>
    </row>
    <row r="54" spans="2:5" ht="15.75">
      <c r="B54" s="316"/>
      <c r="C54" s="480"/>
      <c r="D54" s="480"/>
      <c r="E54" s="96"/>
    </row>
    <row r="55" spans="2:5" ht="15.75">
      <c r="B55" s="304" t="s">
        <v>859</v>
      </c>
      <c r="C55" s="480"/>
      <c r="D55" s="480"/>
      <c r="E55" s="96"/>
    </row>
    <row r="56" spans="2:5" ht="15.75">
      <c r="B56" s="305" t="s">
        <v>966</v>
      </c>
      <c r="C56" s="480"/>
      <c r="D56" s="480"/>
      <c r="E56" s="96"/>
    </row>
    <row r="57" spans="2:5" ht="15.75">
      <c r="B57" s="305" t="s">
        <v>968</v>
      </c>
      <c r="C57" s="446">
        <f>IF(C58*0.1&lt;C56,"Exceed 10% Rule","")</f>
      </c>
      <c r="D57" s="446">
        <f>IF(D58*0.1&lt;D56,"Exceed 10% Rule","")</f>
      </c>
      <c r="E57" s="333">
        <f>IF(E58*0.1+E77&lt;E56,"Exceed 10% Rule","")</f>
      </c>
    </row>
    <row r="58" spans="2:5" ht="15.75">
      <c r="B58" s="307" t="s">
        <v>860</v>
      </c>
      <c r="C58" s="450">
        <f>SUM(C46:C56)</f>
        <v>0</v>
      </c>
      <c r="D58" s="450">
        <f>SUM(D46:D56)</f>
        <v>0</v>
      </c>
      <c r="E58" s="353">
        <f>SUM(E46:E56)</f>
        <v>0</v>
      </c>
    </row>
    <row r="59" spans="2:5" ht="15.75">
      <c r="B59" s="307" t="s">
        <v>861</v>
      </c>
      <c r="C59" s="450">
        <f>C44+C58</f>
        <v>0</v>
      </c>
      <c r="D59" s="450">
        <f>D44+D58</f>
        <v>0</v>
      </c>
      <c r="E59" s="353">
        <f>E44+E58</f>
        <v>0</v>
      </c>
    </row>
    <row r="60" spans="2:5" ht="15.75">
      <c r="B60" s="154" t="s">
        <v>864</v>
      </c>
      <c r="C60" s="305"/>
      <c r="D60" s="305"/>
      <c r="E60" s="164"/>
    </row>
    <row r="61" spans="2:5" ht="15.75">
      <c r="B61" s="316"/>
      <c r="C61" s="480"/>
      <c r="D61" s="480"/>
      <c r="E61" s="96"/>
    </row>
    <row r="62" spans="2:5" ht="15.75">
      <c r="B62" s="316"/>
      <c r="C62" s="480"/>
      <c r="D62" s="480"/>
      <c r="E62" s="96"/>
    </row>
    <row r="63" spans="2:5" ht="15.75">
      <c r="B63" s="316"/>
      <c r="C63" s="480"/>
      <c r="D63" s="480"/>
      <c r="E63" s="96"/>
    </row>
    <row r="64" spans="2:5" ht="15.75">
      <c r="B64" s="316"/>
      <c r="C64" s="480"/>
      <c r="D64" s="480"/>
      <c r="E64" s="96"/>
    </row>
    <row r="65" spans="2:5" ht="15.75">
      <c r="B65" s="316"/>
      <c r="C65" s="480"/>
      <c r="D65" s="480"/>
      <c r="E65" s="96"/>
    </row>
    <row r="66" spans="2:5" ht="15.75">
      <c r="B66" s="316"/>
      <c r="C66" s="480"/>
      <c r="D66" s="480"/>
      <c r="E66" s="96"/>
    </row>
    <row r="67" spans="2:5" ht="15.75">
      <c r="B67" s="305" t="s">
        <v>965</v>
      </c>
      <c r="C67" s="480"/>
      <c r="D67" s="480"/>
      <c r="E67" s="100">
        <f>Nhood!E22</f>
      </c>
    </row>
    <row r="68" spans="2:5" ht="15.75">
      <c r="B68" s="305" t="s">
        <v>966</v>
      </c>
      <c r="C68" s="480"/>
      <c r="D68" s="480"/>
      <c r="E68" s="96"/>
    </row>
    <row r="69" spans="2:5" ht="15.75">
      <c r="B69" s="305" t="s">
        <v>967</v>
      </c>
      <c r="C69" s="446">
        <f>IF(C70*0.1&lt;C68,"Exceed 10% Rule","")</f>
      </c>
      <c r="D69" s="446">
        <f>IF(D70*0.1&lt;D68,"Exceed 10% Rule","")</f>
      </c>
      <c r="E69" s="333">
        <f>IF(E70*0.1&lt;E68,"Exceed 10% Rule","")</f>
      </c>
    </row>
    <row r="70" spans="2:5" ht="15.75">
      <c r="B70" s="307" t="s">
        <v>865</v>
      </c>
      <c r="C70" s="450">
        <f>SUM(C61:C68)</f>
        <v>0</v>
      </c>
      <c r="D70" s="450">
        <f>SUM(D61:D68)</f>
        <v>0</v>
      </c>
      <c r="E70" s="353">
        <f>SUM(E61:E68)</f>
        <v>0</v>
      </c>
    </row>
    <row r="71" spans="2:5" ht="15.75">
      <c r="B71" s="154" t="s">
        <v>570</v>
      </c>
      <c r="C71" s="445">
        <f>C59-C70</f>
        <v>0</v>
      </c>
      <c r="D71" s="445">
        <f>D59-D70</f>
        <v>0</v>
      </c>
      <c r="E71" s="326" t="s">
        <v>462</v>
      </c>
    </row>
    <row r="72" spans="2:6" ht="15.75">
      <c r="B72" s="286" t="str">
        <f>CONCATENATE("",$E$1-2,"/",$E$1-1," Budget Authority Amount:")</f>
        <v>2010/2011 Budget Authority Amount:</v>
      </c>
      <c r="C72" s="278">
        <f>inputOth!B46</f>
        <v>0</v>
      </c>
      <c r="D72" s="278">
        <f>inputPrYr!D32</f>
        <v>0</v>
      </c>
      <c r="E72" s="326" t="s">
        <v>462</v>
      </c>
      <c r="F72" s="319"/>
    </row>
    <row r="73" spans="2:6" ht="15.75">
      <c r="B73" s="286"/>
      <c r="C73" s="700" t="s">
        <v>923</v>
      </c>
      <c r="D73" s="701"/>
      <c r="E73" s="96"/>
      <c r="F73" s="319">
        <f>IF(E70/0.95-E70&lt;E73,"Exceeds 5%","")</f>
      </c>
    </row>
    <row r="74" spans="2:5" ht="15.75">
      <c r="B74" s="487" t="str">
        <f>CONCATENATE(C87,"      ",D87)</f>
        <v>      </v>
      </c>
      <c r="C74" s="702" t="s">
        <v>924</v>
      </c>
      <c r="D74" s="703"/>
      <c r="E74" s="264">
        <f>E70+E73</f>
        <v>0</v>
      </c>
    </row>
    <row r="75" spans="2:5" ht="15.75">
      <c r="B75" s="487" t="str">
        <f>CONCATENATE(C88,"      ",D88)</f>
        <v>      </v>
      </c>
      <c r="C75" s="320"/>
      <c r="D75" s="109" t="s">
        <v>866</v>
      </c>
      <c r="E75" s="100">
        <f>IF(E74-E59&gt;0,E74-E59,0)</f>
        <v>0</v>
      </c>
    </row>
    <row r="76" spans="2:5" ht="15.75">
      <c r="B76" s="109"/>
      <c r="C76" s="469" t="s">
        <v>925</v>
      </c>
      <c r="D76" s="460">
        <f>inputOth!$E$23</f>
        <v>0.03</v>
      </c>
      <c r="E76" s="264">
        <f>ROUND(IF(D76&gt;0,(E75*D76),0),0)</f>
        <v>0</v>
      </c>
    </row>
    <row r="77" spans="2:5" ht="15.75">
      <c r="B77" s="69"/>
      <c r="C77" s="698" t="str">
        <f>CONCATENATE("Amount of  ",$E$1-1," Ad Valorem Tax")</f>
        <v>Amount of  2011 Ad Valorem Tax</v>
      </c>
      <c r="D77" s="699"/>
      <c r="E77" s="338">
        <f>E75+E76</f>
        <v>0</v>
      </c>
    </row>
    <row r="78" spans="2:5" ht="15.75">
      <c r="B78" s="321" t="s">
        <v>477</v>
      </c>
      <c r="C78" s="339"/>
      <c r="D78" s="69"/>
      <c r="E78" s="69"/>
    </row>
    <row r="85" spans="3:4" ht="15.75" hidden="1">
      <c r="C85" s="53">
        <f>IF(C33&gt;C35,"See Tab A","")</f>
      </c>
      <c r="D85" s="53">
        <f>IF(D33&gt;D35,"See Tab C","")</f>
      </c>
    </row>
    <row r="86" spans="3:4" ht="15.75" hidden="1">
      <c r="C86" s="53">
        <f>IF(C34&lt;0,"See Tab B","")</f>
      </c>
      <c r="D86" s="53">
        <f>IF(D34&lt;0,"See Tab D","")</f>
      </c>
    </row>
    <row r="87" spans="3:4" ht="15.75" hidden="1">
      <c r="C87" s="53">
        <f>IF(C70&gt;C72,"See Tab A","")</f>
      </c>
      <c r="D87" s="53">
        <f>IF(D70&gt;D72,"See Tab C","")</f>
      </c>
    </row>
    <row r="88" spans="3:4" ht="15.75" hidden="1">
      <c r="C88" s="53">
        <f>IF(C71&lt;0,"See Tab B","")</f>
      </c>
      <c r="D88" s="53">
        <f>IF(D71&lt;0,"See Tab D","")</f>
      </c>
    </row>
  </sheetData>
  <sheetProtection sheet="1"/>
  <mergeCells count="6">
    <mergeCell ref="C77:D77"/>
    <mergeCell ref="C40:D40"/>
    <mergeCell ref="C36:D36"/>
    <mergeCell ref="C37:D37"/>
    <mergeCell ref="C73:D73"/>
    <mergeCell ref="C74:D74"/>
  </mergeCells>
  <conditionalFormatting sqref="E36">
    <cfRule type="cellIs" priority="3" dxfId="350" operator="greaterThan" stopIfTrue="1">
      <formula>$E$33/0.95-$E$33</formula>
    </cfRule>
  </conditionalFormatting>
  <conditionalFormatting sqref="E73">
    <cfRule type="cellIs" priority="4" dxfId="350" operator="greaterThan" stopIfTrue="1">
      <formula>$E$70/0.95-$E$70</formula>
    </cfRule>
  </conditionalFormatting>
  <conditionalFormatting sqref="E68">
    <cfRule type="cellIs" priority="5" dxfId="350" operator="greaterThan" stopIfTrue="1">
      <formula>$E$70*0.1</formula>
    </cfRule>
  </conditionalFormatting>
  <conditionalFormatting sqref="C19">
    <cfRule type="cellIs" priority="6" dxfId="350" operator="greaterThan" stopIfTrue="1">
      <formula>$C$21*0.1</formula>
    </cfRule>
  </conditionalFormatting>
  <conditionalFormatting sqref="D19">
    <cfRule type="cellIs" priority="7" dxfId="350" operator="greaterThan" stopIfTrue="1">
      <formula>$D$21*0.1</formula>
    </cfRule>
  </conditionalFormatting>
  <conditionalFormatting sqref="E31">
    <cfRule type="cellIs" priority="8" dxfId="350" operator="greaterThan" stopIfTrue="1">
      <formula>$E$33*0.1</formula>
    </cfRule>
  </conditionalFormatting>
  <conditionalFormatting sqref="G54">
    <cfRule type="cellIs" priority="9" dxfId="351" operator="between" stopIfTrue="1">
      <formula>"g54*.01&lt;g52"</formula>
      <formula>"""Exceed 10% Rule"""</formula>
    </cfRule>
  </conditionalFormatting>
  <conditionalFormatting sqref="E19">
    <cfRule type="cellIs" priority="10" dxfId="350" operator="greaterThan" stopIfTrue="1">
      <formula>$E$21*0.1+E40</formula>
    </cfRule>
  </conditionalFormatting>
  <conditionalFormatting sqref="E56">
    <cfRule type="cellIs" priority="11" dxfId="350" operator="greaterThan" stopIfTrue="1">
      <formula>$E$58*0.1+E77</formula>
    </cfRule>
  </conditionalFormatting>
  <conditionalFormatting sqref="C68">
    <cfRule type="cellIs" priority="12" dxfId="2" operator="greaterThan" stopIfTrue="1">
      <formula>$C$70*0.1</formula>
    </cfRule>
  </conditionalFormatting>
  <conditionalFormatting sqref="D68">
    <cfRule type="cellIs" priority="13" dxfId="2" operator="greaterThan" stopIfTrue="1">
      <formula>$D$70*0.1</formula>
    </cfRule>
  </conditionalFormatting>
  <conditionalFormatting sqref="D56">
    <cfRule type="cellIs" priority="14" dxfId="2" operator="greaterThan" stopIfTrue="1">
      <formula>$D$58*0.1</formula>
    </cfRule>
  </conditionalFormatting>
  <conditionalFormatting sqref="C56">
    <cfRule type="cellIs" priority="15" dxfId="2" operator="greaterThan" stopIfTrue="1">
      <formula>$C$58*0.1</formula>
    </cfRule>
  </conditionalFormatting>
  <conditionalFormatting sqref="C31">
    <cfRule type="cellIs" priority="16" dxfId="2" operator="greaterThan" stopIfTrue="1">
      <formula>$C$33*0.1</formula>
    </cfRule>
  </conditionalFormatting>
  <conditionalFormatting sqref="D31">
    <cfRule type="cellIs" priority="17" dxfId="2" operator="greaterThan" stopIfTrue="1">
      <formula>$D$33*0.1</formula>
    </cfRule>
  </conditionalFormatting>
  <conditionalFormatting sqref="C33">
    <cfRule type="cellIs" priority="18" dxfId="2" operator="greaterThan" stopIfTrue="1">
      <formula>$C$35</formula>
    </cfRule>
  </conditionalFormatting>
  <conditionalFormatting sqref="D33">
    <cfRule type="cellIs" priority="19" dxfId="2" operator="greaterThan" stopIfTrue="1">
      <formula>$D$35</formula>
    </cfRule>
  </conditionalFormatting>
  <conditionalFormatting sqref="C34 C71">
    <cfRule type="cellIs" priority="20" dxfId="2" operator="lessThan" stopIfTrue="1">
      <formula>0</formula>
    </cfRule>
  </conditionalFormatting>
  <conditionalFormatting sqref="C70">
    <cfRule type="cellIs" priority="21" dxfId="2" operator="greaterThan" stopIfTrue="1">
      <formula>$C$72</formula>
    </cfRule>
  </conditionalFormatting>
  <conditionalFormatting sqref="D70">
    <cfRule type="cellIs" priority="22" dxfId="2" operator="greaterThan" stopIfTrue="1">
      <formula>$D$72</formula>
    </cfRule>
  </conditionalFormatting>
  <conditionalFormatting sqref="D34 D71">
    <cfRule type="cellIs" priority="2" dxfId="0" operator="lessThan" stopIfTrue="1">
      <formula>0</formula>
    </cfRule>
  </conditionalFormatting>
  <printOptions/>
  <pageMargins left="1.12" right="0.5" top="0.74" bottom="0.34" header="0.5" footer="0"/>
  <pageSetup blackAndWhite="1" fitToHeight="1" fitToWidth="1" horizontalDpi="120" verticalDpi="120" orientation="portrait" scale="65" r:id="rId1"/>
  <headerFooter alignWithMargins="0">
    <oddHeader>&amp;RState of Kansas
County
</oddHeader>
  </headerFooter>
</worksheet>
</file>

<file path=xl/worksheets/sheet27.xml><?xml version="1.0" encoding="utf-8"?>
<worksheet xmlns="http://schemas.openxmlformats.org/spreadsheetml/2006/main" xmlns:r="http://schemas.openxmlformats.org/officeDocument/2006/relationships">
  <sheetPr>
    <pageSetUpPr fitToPage="1"/>
  </sheetPr>
  <dimension ref="B1:F88"/>
  <sheetViews>
    <sheetView zoomScalePageLayoutView="0" workbookViewId="0" topLeftCell="A1">
      <selection activeCell="D70" sqref="D70"/>
    </sheetView>
  </sheetViews>
  <sheetFormatPr defaultColWidth="8.796875" defaultRowHeight="15"/>
  <cols>
    <col min="1" max="1" width="2.3984375" style="53" customWidth="1"/>
    <col min="2" max="2" width="31.09765625" style="53" customWidth="1"/>
    <col min="3" max="4" width="15.796875" style="53" customWidth="1"/>
    <col min="5" max="5" width="16.296875" style="53" customWidth="1"/>
    <col min="6" max="16384" width="8.8984375" style="53" customWidth="1"/>
  </cols>
  <sheetData>
    <row r="1" spans="2:5" ht="15.75">
      <c r="B1" s="205" t="str">
        <f>inputPrYr!C3</f>
        <v>MORRIS COUNTY</v>
      </c>
      <c r="C1" s="69"/>
      <c r="D1" s="69"/>
      <c r="E1" s="285">
        <f>inputPrYr!C5</f>
        <v>2012</v>
      </c>
    </row>
    <row r="2" spans="2:5" ht="15.75">
      <c r="B2" s="69"/>
      <c r="C2" s="69"/>
      <c r="D2" s="69"/>
      <c r="E2" s="109"/>
    </row>
    <row r="3" spans="2:5" ht="15.75">
      <c r="B3" s="214"/>
      <c r="C3" s="322"/>
      <c r="D3" s="322"/>
      <c r="E3" s="323"/>
    </row>
    <row r="4" spans="2:5" ht="15.75">
      <c r="B4" s="484" t="s">
        <v>528</v>
      </c>
      <c r="C4" s="146"/>
      <c r="D4" s="146"/>
      <c r="E4" s="146"/>
    </row>
    <row r="5" spans="2:5" ht="15.75">
      <c r="B5" s="68" t="s">
        <v>851</v>
      </c>
      <c r="C5" s="539" t="s">
        <v>479</v>
      </c>
      <c r="D5" s="540" t="s">
        <v>226</v>
      </c>
      <c r="E5" s="536" t="s">
        <v>227</v>
      </c>
    </row>
    <row r="6" spans="2:5" ht="15.75">
      <c r="B6" s="472">
        <f>inputPrYr!$B$33</f>
        <v>0</v>
      </c>
      <c r="C6" s="448">
        <f>E1-2</f>
        <v>2010</v>
      </c>
      <c r="D6" s="448">
        <f>E1-1</f>
        <v>2011</v>
      </c>
      <c r="E6" s="311">
        <f>E1</f>
        <v>2012</v>
      </c>
    </row>
    <row r="7" spans="2:5" ht="15.75">
      <c r="B7" s="154" t="s">
        <v>569</v>
      </c>
      <c r="C7" s="480"/>
      <c r="D7" s="447">
        <f>C34</f>
        <v>0</v>
      </c>
      <c r="E7" s="264">
        <f>D34</f>
        <v>0</v>
      </c>
    </row>
    <row r="8" spans="2:5" ht="15.75">
      <c r="B8" s="289" t="s">
        <v>571</v>
      </c>
      <c r="C8" s="168"/>
      <c r="D8" s="168"/>
      <c r="E8" s="112"/>
    </row>
    <row r="9" spans="2:5" ht="15.75">
      <c r="B9" s="154" t="s">
        <v>852</v>
      </c>
      <c r="C9" s="480"/>
      <c r="D9" s="447">
        <f>inputPrYr!E33</f>
        <v>0</v>
      </c>
      <c r="E9" s="326" t="s">
        <v>462</v>
      </c>
    </row>
    <row r="10" spans="2:5" ht="15.75">
      <c r="B10" s="154" t="s">
        <v>853</v>
      </c>
      <c r="C10" s="480"/>
      <c r="D10" s="480"/>
      <c r="E10" s="96"/>
    </row>
    <row r="11" spans="2:5" ht="15.75">
      <c r="B11" s="154" t="s">
        <v>854</v>
      </c>
      <c r="C11" s="480"/>
      <c r="D11" s="480"/>
      <c r="E11" s="264" t="str">
        <f>mvalloc!D25</f>
        <v>  </v>
      </c>
    </row>
    <row r="12" spans="2:5" ht="15.75">
      <c r="B12" s="154" t="s">
        <v>855</v>
      </c>
      <c r="C12" s="480"/>
      <c r="D12" s="480"/>
      <c r="E12" s="264" t="str">
        <f>mvalloc!E25</f>
        <v>  </v>
      </c>
    </row>
    <row r="13" spans="2:5" ht="15.75">
      <c r="B13" s="168" t="s">
        <v>520</v>
      </c>
      <c r="C13" s="480"/>
      <c r="D13" s="480"/>
      <c r="E13" s="264" t="str">
        <f>mvalloc!F25</f>
        <v>  </v>
      </c>
    </row>
    <row r="14" spans="2:5" ht="15.75">
      <c r="B14" s="168" t="s">
        <v>232</v>
      </c>
      <c r="C14" s="480"/>
      <c r="D14" s="480"/>
      <c r="E14" s="264" t="str">
        <f>mvalloc!G25</f>
        <v> </v>
      </c>
    </row>
    <row r="15" spans="2:5" ht="15.75">
      <c r="B15" s="316"/>
      <c r="C15" s="480"/>
      <c r="D15" s="480"/>
      <c r="E15" s="96"/>
    </row>
    <row r="16" spans="2:5" ht="15.75">
      <c r="B16" s="316"/>
      <c r="C16" s="480"/>
      <c r="D16" s="480"/>
      <c r="E16" s="96"/>
    </row>
    <row r="17" spans="2:5" ht="15.75">
      <c r="B17" s="316"/>
      <c r="C17" s="480"/>
      <c r="D17" s="480"/>
      <c r="E17" s="96"/>
    </row>
    <row r="18" spans="2:5" ht="15.75">
      <c r="B18" s="304" t="s">
        <v>859</v>
      </c>
      <c r="C18" s="480"/>
      <c r="D18" s="480"/>
      <c r="E18" s="96"/>
    </row>
    <row r="19" spans="2:5" ht="15.75">
      <c r="B19" s="305" t="s">
        <v>966</v>
      </c>
      <c r="C19" s="480"/>
      <c r="D19" s="480"/>
      <c r="E19" s="96"/>
    </row>
    <row r="20" spans="2:5" ht="15.75">
      <c r="B20" s="305" t="s">
        <v>968</v>
      </c>
      <c r="C20" s="446">
        <f>IF(C21*0.1&lt;C19,"Exceed 10% Rule","")</f>
      </c>
      <c r="D20" s="446">
        <f>IF(D21*0.1&lt;D19,"Exceed 10% Rule","")</f>
      </c>
      <c r="E20" s="333">
        <f>IF(E21*0.1+E40&lt;E19,"Exceed 10% Rule","")</f>
      </c>
    </row>
    <row r="21" spans="2:5" ht="15.75">
      <c r="B21" s="307" t="s">
        <v>860</v>
      </c>
      <c r="C21" s="450">
        <f>SUM(C9:C19)</f>
        <v>0</v>
      </c>
      <c r="D21" s="450">
        <f>SUM(D9:D19)</f>
        <v>0</v>
      </c>
      <c r="E21" s="353">
        <f>SUM(E9:E19)</f>
        <v>0</v>
      </c>
    </row>
    <row r="22" spans="2:5" ht="15.75">
      <c r="B22" s="307" t="s">
        <v>861</v>
      </c>
      <c r="C22" s="450">
        <f>C7+C21</f>
        <v>0</v>
      </c>
      <c r="D22" s="450">
        <f>D7+D21</f>
        <v>0</v>
      </c>
      <c r="E22" s="353">
        <f>E7+E21</f>
        <v>0</v>
      </c>
    </row>
    <row r="23" spans="2:5" ht="15.75">
      <c r="B23" s="154" t="s">
        <v>864</v>
      </c>
      <c r="C23" s="305"/>
      <c r="D23" s="305"/>
      <c r="E23" s="164"/>
    </row>
    <row r="24" spans="2:5" ht="15.75">
      <c r="B24" s="316"/>
      <c r="C24" s="480"/>
      <c r="D24" s="480"/>
      <c r="E24" s="96"/>
    </row>
    <row r="25" spans="2:5" ht="15.75">
      <c r="B25" s="316"/>
      <c r="C25" s="480"/>
      <c r="D25" s="480"/>
      <c r="E25" s="96"/>
    </row>
    <row r="26" spans="2:5" ht="15.75">
      <c r="B26" s="316"/>
      <c r="C26" s="480"/>
      <c r="D26" s="480"/>
      <c r="E26" s="96"/>
    </row>
    <row r="27" spans="2:5" ht="15.75">
      <c r="B27" s="316"/>
      <c r="C27" s="480"/>
      <c r="D27" s="480"/>
      <c r="E27" s="96"/>
    </row>
    <row r="28" spans="2:5" ht="15.75">
      <c r="B28" s="316"/>
      <c r="C28" s="480"/>
      <c r="D28" s="480"/>
      <c r="E28" s="96"/>
    </row>
    <row r="29" spans="2:5" ht="15.75">
      <c r="B29" s="316"/>
      <c r="C29" s="480"/>
      <c r="D29" s="480"/>
      <c r="E29" s="96"/>
    </row>
    <row r="30" spans="2:5" ht="15.75">
      <c r="B30" s="305" t="s">
        <v>965</v>
      </c>
      <c r="C30" s="480"/>
      <c r="D30" s="480"/>
      <c r="E30" s="100">
        <f>Nhood!E23</f>
      </c>
    </row>
    <row r="31" spans="2:5" ht="15.75">
      <c r="B31" s="305" t="s">
        <v>966</v>
      </c>
      <c r="C31" s="480"/>
      <c r="D31" s="480"/>
      <c r="E31" s="96"/>
    </row>
    <row r="32" spans="2:5" ht="15.75">
      <c r="B32" s="305" t="s">
        <v>967</v>
      </c>
      <c r="C32" s="446">
        <f>IF(C33*0.1&lt;C31,"Exceed 10% Rule","")</f>
      </c>
      <c r="D32" s="446">
        <f>IF(D33*0.1&lt;D31,"Exceed 10% Rule","")</f>
      </c>
      <c r="E32" s="333">
        <f>IF(E33*0.1&lt;E31,"Exceed 10% Rule","")</f>
      </c>
    </row>
    <row r="33" spans="2:5" ht="15.75">
      <c r="B33" s="307" t="s">
        <v>865</v>
      </c>
      <c r="C33" s="450">
        <f>SUM(C24:C31)</f>
        <v>0</v>
      </c>
      <c r="D33" s="450">
        <f>SUM(D24:D31)</f>
        <v>0</v>
      </c>
      <c r="E33" s="353">
        <f>SUM(E24:E31)</f>
        <v>0</v>
      </c>
    </row>
    <row r="34" spans="2:5" ht="15.75">
      <c r="B34" s="154" t="s">
        <v>570</v>
      </c>
      <c r="C34" s="445">
        <f>C22-C33</f>
        <v>0</v>
      </c>
      <c r="D34" s="445">
        <f>D22-D33</f>
        <v>0</v>
      </c>
      <c r="E34" s="326" t="s">
        <v>462</v>
      </c>
    </row>
    <row r="35" spans="2:6" ht="15.75">
      <c r="B35" s="286" t="str">
        <f>CONCATENATE("",$E$1-2,"/",$E$1-1," Budget Authority Amount:")</f>
        <v>2010/2011 Budget Authority Amount:</v>
      </c>
      <c r="C35" s="278">
        <f>inputOth!B47</f>
        <v>0</v>
      </c>
      <c r="D35" s="278">
        <f>inputPrYr!D33</f>
        <v>0</v>
      </c>
      <c r="E35" s="326" t="s">
        <v>462</v>
      </c>
      <c r="F35" s="319"/>
    </row>
    <row r="36" spans="2:6" ht="15.75">
      <c r="B36" s="286"/>
      <c r="C36" s="700" t="s">
        <v>923</v>
      </c>
      <c r="D36" s="701"/>
      <c r="E36" s="96"/>
      <c r="F36" s="319">
        <f>IF(E33/0.95-E33&lt;E36,"Exceeds 5%","")</f>
      </c>
    </row>
    <row r="37" spans="2:5" ht="15.75">
      <c r="B37" s="487" t="str">
        <f>CONCATENATE(C85,"     ",D85)</f>
        <v>     </v>
      </c>
      <c r="C37" s="702" t="s">
        <v>924</v>
      </c>
      <c r="D37" s="703"/>
      <c r="E37" s="264">
        <f>E33+E36</f>
        <v>0</v>
      </c>
    </row>
    <row r="38" spans="2:5" ht="15.75">
      <c r="B38" s="487" t="str">
        <f>CONCATENATE(C86,"      ",D86)</f>
        <v>      </v>
      </c>
      <c r="C38" s="320"/>
      <c r="D38" s="109" t="s">
        <v>866</v>
      </c>
      <c r="E38" s="100">
        <f>IF(E37-E22&gt;0,E37-E22,0)</f>
        <v>0</v>
      </c>
    </row>
    <row r="39" spans="2:5" ht="15.75">
      <c r="B39" s="109"/>
      <c r="C39" s="469" t="s">
        <v>925</v>
      </c>
      <c r="D39" s="460">
        <f>inputOth!$E$23</f>
        <v>0.03</v>
      </c>
      <c r="E39" s="264">
        <f>ROUND(IF(D39&gt;0,(E38*D39),0),0)</f>
        <v>0</v>
      </c>
    </row>
    <row r="40" spans="2:5" ht="15.75">
      <c r="B40" s="69"/>
      <c r="C40" s="698" t="str">
        <f>CONCATENATE("Amount of  ",$E$1-1," Ad Valorem Tax")</f>
        <v>Amount of  2011 Ad Valorem Tax</v>
      </c>
      <c r="D40" s="699"/>
      <c r="E40" s="338">
        <f>E38+E39</f>
        <v>0</v>
      </c>
    </row>
    <row r="41" spans="2:5" ht="15.75">
      <c r="B41" s="68"/>
      <c r="C41" s="146"/>
      <c r="D41" s="146"/>
      <c r="E41" s="146"/>
    </row>
    <row r="42" spans="2:5" ht="15.75">
      <c r="B42" s="68" t="s">
        <v>851</v>
      </c>
      <c r="C42" s="539" t="str">
        <f aca="true" t="shared" si="0" ref="C42:E43">C5</f>
        <v>Prior Year Actual</v>
      </c>
      <c r="D42" s="540" t="str">
        <f t="shared" si="0"/>
        <v>Current Year Estimate</v>
      </c>
      <c r="E42" s="536" t="str">
        <f t="shared" si="0"/>
        <v>Proposed Budget Year</v>
      </c>
    </row>
    <row r="43" spans="2:5" ht="15.75">
      <c r="B43" s="472">
        <f>inputPrYr!$B$34</f>
        <v>0</v>
      </c>
      <c r="C43" s="448">
        <f t="shared" si="0"/>
        <v>2010</v>
      </c>
      <c r="D43" s="448">
        <f t="shared" si="0"/>
        <v>2011</v>
      </c>
      <c r="E43" s="311">
        <f t="shared" si="0"/>
        <v>2012</v>
      </c>
    </row>
    <row r="44" spans="2:5" ht="15.75">
      <c r="B44" s="154" t="s">
        <v>569</v>
      </c>
      <c r="C44" s="480"/>
      <c r="D44" s="447">
        <f>C71</f>
        <v>0</v>
      </c>
      <c r="E44" s="264">
        <f>D71</f>
        <v>0</v>
      </c>
    </row>
    <row r="45" spans="2:5" ht="15.75">
      <c r="B45" s="300" t="s">
        <v>571</v>
      </c>
      <c r="C45" s="168"/>
      <c r="D45" s="168"/>
      <c r="E45" s="112"/>
    </row>
    <row r="46" spans="2:5" ht="15.75">
      <c r="B46" s="154" t="s">
        <v>852</v>
      </c>
      <c r="C46" s="480"/>
      <c r="D46" s="447">
        <f>inputPrYr!E34</f>
        <v>0</v>
      </c>
      <c r="E46" s="326" t="s">
        <v>462</v>
      </c>
    </row>
    <row r="47" spans="2:5" ht="15.75">
      <c r="B47" s="154" t="s">
        <v>853</v>
      </c>
      <c r="C47" s="480"/>
      <c r="D47" s="480"/>
      <c r="E47" s="96"/>
    </row>
    <row r="48" spans="2:5" ht="15.75">
      <c r="B48" s="154" t="s">
        <v>854</v>
      </c>
      <c r="C48" s="480"/>
      <c r="D48" s="480"/>
      <c r="E48" s="264" t="str">
        <f>mvalloc!D26</f>
        <v>  </v>
      </c>
    </row>
    <row r="49" spans="2:5" ht="15.75">
      <c r="B49" s="154" t="s">
        <v>855</v>
      </c>
      <c r="C49" s="480"/>
      <c r="D49" s="480"/>
      <c r="E49" s="264" t="str">
        <f>mvalloc!E26</f>
        <v>  </v>
      </c>
    </row>
    <row r="50" spans="2:5" ht="15.75">
      <c r="B50" s="168" t="s">
        <v>520</v>
      </c>
      <c r="C50" s="480"/>
      <c r="D50" s="480"/>
      <c r="E50" s="264" t="str">
        <f>mvalloc!F26</f>
        <v>  </v>
      </c>
    </row>
    <row r="51" spans="2:5" ht="15.75">
      <c r="B51" s="168" t="s">
        <v>232</v>
      </c>
      <c r="C51" s="480"/>
      <c r="D51" s="480"/>
      <c r="E51" s="264" t="str">
        <f>mvalloc!G26</f>
        <v> </v>
      </c>
    </row>
    <row r="52" spans="2:5" ht="15.75">
      <c r="B52" s="316"/>
      <c r="C52" s="480"/>
      <c r="D52" s="480"/>
      <c r="E52" s="96"/>
    </row>
    <row r="53" spans="2:5" ht="15.75">
      <c r="B53" s="316"/>
      <c r="C53" s="480"/>
      <c r="D53" s="480"/>
      <c r="E53" s="96"/>
    </row>
    <row r="54" spans="2:5" ht="15.75">
      <c r="B54" s="316"/>
      <c r="C54" s="480"/>
      <c r="D54" s="480"/>
      <c r="E54" s="96"/>
    </row>
    <row r="55" spans="2:5" ht="15.75">
      <c r="B55" s="304" t="s">
        <v>859</v>
      </c>
      <c r="C55" s="480"/>
      <c r="D55" s="480"/>
      <c r="E55" s="96"/>
    </row>
    <row r="56" spans="2:5" ht="15.75">
      <c r="B56" s="305" t="s">
        <v>966</v>
      </c>
      <c r="C56" s="480"/>
      <c r="D56" s="480"/>
      <c r="E56" s="96"/>
    </row>
    <row r="57" spans="2:5" ht="15.75">
      <c r="B57" s="305" t="s">
        <v>968</v>
      </c>
      <c r="C57" s="446">
        <f>IF(C58*0.1&lt;C56,"Exceed 10% Rule","")</f>
      </c>
      <c r="D57" s="446">
        <f>IF(D58*0.1&lt;D56,"Exceed 10% Rule","")</f>
      </c>
      <c r="E57" s="333">
        <f>IF(E58*0.1+E77&lt;E56,"Exceed 10% Rule","")</f>
      </c>
    </row>
    <row r="58" spans="2:5" ht="15.75">
      <c r="B58" s="307" t="s">
        <v>860</v>
      </c>
      <c r="C58" s="450">
        <f>SUM(C46:C56)</f>
        <v>0</v>
      </c>
      <c r="D58" s="450">
        <f>SUM(D46:D56)</f>
        <v>0</v>
      </c>
      <c r="E58" s="353">
        <f>SUM(E46:E56)</f>
        <v>0</v>
      </c>
    </row>
    <row r="59" spans="2:5" ht="15.75">
      <c r="B59" s="307" t="s">
        <v>861</v>
      </c>
      <c r="C59" s="450">
        <f>C44+C58</f>
        <v>0</v>
      </c>
      <c r="D59" s="450">
        <f>D44+D58</f>
        <v>0</v>
      </c>
      <c r="E59" s="353">
        <f>E44+E58</f>
        <v>0</v>
      </c>
    </row>
    <row r="60" spans="2:5" ht="15.75">
      <c r="B60" s="154" t="s">
        <v>864</v>
      </c>
      <c r="C60" s="305"/>
      <c r="D60" s="305"/>
      <c r="E60" s="164"/>
    </row>
    <row r="61" spans="2:5" ht="15.75">
      <c r="B61" s="316"/>
      <c r="C61" s="480"/>
      <c r="D61" s="480"/>
      <c r="E61" s="96"/>
    </row>
    <row r="62" spans="2:5" ht="15.75">
      <c r="B62" s="316"/>
      <c r="C62" s="480"/>
      <c r="D62" s="480"/>
      <c r="E62" s="96"/>
    </row>
    <row r="63" spans="2:5" ht="15.75">
      <c r="B63" s="316"/>
      <c r="C63" s="480"/>
      <c r="D63" s="480"/>
      <c r="E63" s="96"/>
    </row>
    <row r="64" spans="2:5" ht="15.75">
      <c r="B64" s="316"/>
      <c r="C64" s="480"/>
      <c r="D64" s="480"/>
      <c r="E64" s="96"/>
    </row>
    <row r="65" spans="2:5" ht="15.75">
      <c r="B65" s="316"/>
      <c r="C65" s="480"/>
      <c r="D65" s="480"/>
      <c r="E65" s="96"/>
    </row>
    <row r="66" spans="2:5" ht="15.75">
      <c r="B66" s="316"/>
      <c r="C66" s="480"/>
      <c r="D66" s="480"/>
      <c r="E66" s="96"/>
    </row>
    <row r="67" spans="2:5" ht="15.75">
      <c r="B67" s="305" t="s">
        <v>965</v>
      </c>
      <c r="C67" s="480"/>
      <c r="D67" s="480"/>
      <c r="E67" s="100">
        <f>Nhood!E24</f>
      </c>
    </row>
    <row r="68" spans="2:5" ht="15.75">
      <c r="B68" s="305" t="s">
        <v>966</v>
      </c>
      <c r="C68" s="480"/>
      <c r="D68" s="480"/>
      <c r="E68" s="96"/>
    </row>
    <row r="69" spans="2:5" ht="15.75">
      <c r="B69" s="305" t="s">
        <v>967</v>
      </c>
      <c r="C69" s="446">
        <f>IF(C70*0.1&lt;C68,"Exceed 10% Rule","")</f>
      </c>
      <c r="D69" s="446">
        <f>IF(D70*0.1&lt;D68,"Exceed 10% Rule","")</f>
      </c>
      <c r="E69" s="333">
        <f>IF(E70*0.1&lt;E68,"Exceed 10% Rule","")</f>
      </c>
    </row>
    <row r="70" spans="2:5" ht="15.75">
      <c r="B70" s="307" t="s">
        <v>865</v>
      </c>
      <c r="C70" s="450">
        <f>SUM(C61:C68)</f>
        <v>0</v>
      </c>
      <c r="D70" s="450">
        <f>SUM(D61:D68)</f>
        <v>0</v>
      </c>
      <c r="E70" s="353">
        <f>SUM(E61:E68)</f>
        <v>0</v>
      </c>
    </row>
    <row r="71" spans="2:5" ht="15.75">
      <c r="B71" s="154" t="s">
        <v>570</v>
      </c>
      <c r="C71" s="445">
        <f>C59-C70</f>
        <v>0</v>
      </c>
      <c r="D71" s="445">
        <f>D59-D70</f>
        <v>0</v>
      </c>
      <c r="E71" s="326" t="s">
        <v>462</v>
      </c>
    </row>
    <row r="72" spans="2:6" ht="15.75">
      <c r="B72" s="286" t="str">
        <f>CONCATENATE("",$E$1-2,"/",$E$1-1," Budget Authority Amount:")</f>
        <v>2010/2011 Budget Authority Amount:</v>
      </c>
      <c r="C72" s="278">
        <f>inputOth!B48</f>
        <v>0</v>
      </c>
      <c r="D72" s="278">
        <f>inputPrYr!D34</f>
        <v>0</v>
      </c>
      <c r="E72" s="326" t="s">
        <v>462</v>
      </c>
      <c r="F72" s="319"/>
    </row>
    <row r="73" spans="2:6" ht="15.75">
      <c r="B73" s="286"/>
      <c r="C73" s="700" t="s">
        <v>923</v>
      </c>
      <c r="D73" s="701"/>
      <c r="E73" s="96"/>
      <c r="F73" s="319">
        <f>IF(E70/0.95-E70&lt;E73,"Exceeds 5%","")</f>
      </c>
    </row>
    <row r="74" spans="2:5" ht="15.75">
      <c r="B74" s="487" t="str">
        <f>CONCATENATE(C87,"      ",D87)</f>
        <v>      </v>
      </c>
      <c r="C74" s="702" t="s">
        <v>924</v>
      </c>
      <c r="D74" s="703"/>
      <c r="E74" s="264">
        <f>E70+E73</f>
        <v>0</v>
      </c>
    </row>
    <row r="75" spans="2:5" ht="15.75">
      <c r="B75" s="487" t="str">
        <f>CONCATENATE(C88,"      ",D88)</f>
        <v>      </v>
      </c>
      <c r="C75" s="320"/>
      <c r="D75" s="109" t="s">
        <v>866</v>
      </c>
      <c r="E75" s="100">
        <f>IF(E74-E59&gt;0,E74-E59,0)</f>
        <v>0</v>
      </c>
    </row>
    <row r="76" spans="2:5" ht="15.75">
      <c r="B76" s="109"/>
      <c r="C76" s="469" t="s">
        <v>925</v>
      </c>
      <c r="D76" s="460">
        <f>inputOth!$E$23</f>
        <v>0.03</v>
      </c>
      <c r="E76" s="264">
        <f>ROUND(IF(D76&gt;0,(E75*D76),0),0)</f>
        <v>0</v>
      </c>
    </row>
    <row r="77" spans="2:5" ht="15.75">
      <c r="B77" s="69"/>
      <c r="C77" s="698" t="str">
        <f>CONCATENATE("Amount of  ",$E$1-1," Ad Valorem Tax")</f>
        <v>Amount of  2011 Ad Valorem Tax</v>
      </c>
      <c r="D77" s="699"/>
      <c r="E77" s="338">
        <f>E75+E76</f>
        <v>0</v>
      </c>
    </row>
    <row r="78" spans="2:5" ht="15.75">
      <c r="B78" s="321" t="s">
        <v>477</v>
      </c>
      <c r="C78" s="339"/>
      <c r="D78" s="69"/>
      <c r="E78" s="69"/>
    </row>
    <row r="85" spans="3:4" ht="15.75" hidden="1">
      <c r="C85" s="53">
        <f>IF(C33&gt;C35,"See Tab A","")</f>
      </c>
      <c r="D85" s="53">
        <f>IF(D33&gt;D35,"See Tab C","")</f>
      </c>
    </row>
    <row r="86" spans="3:4" ht="15.75" hidden="1">
      <c r="C86" s="53">
        <f>IF(C34&lt;0,"See Tab B","")</f>
      </c>
      <c r="D86" s="53">
        <f>IF(D34&lt;0,"See Tab D","")</f>
      </c>
    </row>
    <row r="87" spans="3:4" ht="15.75" hidden="1">
      <c r="C87" s="53">
        <f>IF(C70&gt;C72,"See Tab A","")</f>
      </c>
      <c r="D87" s="53">
        <f>IF(D70&gt;D72,"See Tab C","")</f>
      </c>
    </row>
    <row r="88" spans="3:4" ht="15.75" hidden="1">
      <c r="C88" s="53">
        <f>IF(C71&lt;0,"See Tab B","")</f>
      </c>
      <c r="D88" s="53">
        <f>IF(D71&lt;0,"See Tab D","")</f>
      </c>
    </row>
  </sheetData>
  <sheetProtection sheet="1"/>
  <mergeCells count="6">
    <mergeCell ref="C77:D77"/>
    <mergeCell ref="C40:D40"/>
    <mergeCell ref="C36:D36"/>
    <mergeCell ref="C37:D37"/>
    <mergeCell ref="C73:D73"/>
    <mergeCell ref="C74:D74"/>
  </mergeCells>
  <conditionalFormatting sqref="E36">
    <cfRule type="cellIs" priority="3" dxfId="350" operator="greaterThan" stopIfTrue="1">
      <formula>$E$33/0.95-$E$33</formula>
    </cfRule>
  </conditionalFormatting>
  <conditionalFormatting sqref="E73">
    <cfRule type="cellIs" priority="4" dxfId="350" operator="greaterThan" stopIfTrue="1">
      <formula>$E$70/0.95-$E$70</formula>
    </cfRule>
  </conditionalFormatting>
  <conditionalFormatting sqref="E68">
    <cfRule type="cellIs" priority="5" dxfId="350" operator="greaterThan" stopIfTrue="1">
      <formula>$E$70*0.1</formula>
    </cfRule>
  </conditionalFormatting>
  <conditionalFormatting sqref="C19">
    <cfRule type="cellIs" priority="6" dxfId="350" operator="greaterThan" stopIfTrue="1">
      <formula>$C$21*0.1</formula>
    </cfRule>
  </conditionalFormatting>
  <conditionalFormatting sqref="D19">
    <cfRule type="cellIs" priority="7" dxfId="350" operator="greaterThan" stopIfTrue="1">
      <formula>$D$21*0.1</formula>
    </cfRule>
  </conditionalFormatting>
  <conditionalFormatting sqref="E31">
    <cfRule type="cellIs" priority="8" dxfId="350" operator="greaterThan" stopIfTrue="1">
      <formula>$E$33*0.1</formula>
    </cfRule>
  </conditionalFormatting>
  <conditionalFormatting sqref="E19">
    <cfRule type="cellIs" priority="9" dxfId="350" operator="greaterThan" stopIfTrue="1">
      <formula>$E$21*0.1+E40</formula>
    </cfRule>
  </conditionalFormatting>
  <conditionalFormatting sqref="E56">
    <cfRule type="cellIs" priority="10" dxfId="350" operator="greaterThan" stopIfTrue="1">
      <formula>$E$58*0.1+E77</formula>
    </cfRule>
  </conditionalFormatting>
  <conditionalFormatting sqref="C68">
    <cfRule type="cellIs" priority="11" dxfId="2" operator="greaterThan" stopIfTrue="1">
      <formula>$C$70*0.1</formula>
    </cfRule>
  </conditionalFormatting>
  <conditionalFormatting sqref="D68">
    <cfRule type="cellIs" priority="12" dxfId="2" operator="greaterThan" stopIfTrue="1">
      <formula>$D$70*0.1</formula>
    </cfRule>
  </conditionalFormatting>
  <conditionalFormatting sqref="D56">
    <cfRule type="cellIs" priority="13" dxfId="2" operator="greaterThan" stopIfTrue="1">
      <formula>$D$58*0.1</formula>
    </cfRule>
  </conditionalFormatting>
  <conditionalFormatting sqref="C56">
    <cfRule type="cellIs" priority="14" dxfId="2" operator="greaterThan" stopIfTrue="1">
      <formula>$C$58*0.1</formula>
    </cfRule>
  </conditionalFormatting>
  <conditionalFormatting sqref="C31">
    <cfRule type="cellIs" priority="15" dxfId="2" operator="greaterThan" stopIfTrue="1">
      <formula>$C$33*0.1</formula>
    </cfRule>
  </conditionalFormatting>
  <conditionalFormatting sqref="D31">
    <cfRule type="cellIs" priority="16" dxfId="2" operator="greaterThan" stopIfTrue="1">
      <formula>$D$33*0.1</formula>
    </cfRule>
  </conditionalFormatting>
  <conditionalFormatting sqref="C33">
    <cfRule type="cellIs" priority="17" dxfId="2" operator="greaterThan" stopIfTrue="1">
      <formula>$C$35</formula>
    </cfRule>
  </conditionalFormatting>
  <conditionalFormatting sqref="D33">
    <cfRule type="cellIs" priority="18" dxfId="2" operator="greaterThan" stopIfTrue="1">
      <formula>$D$35</formula>
    </cfRule>
  </conditionalFormatting>
  <conditionalFormatting sqref="C34 C71">
    <cfRule type="cellIs" priority="19" dxfId="2" operator="lessThan" stopIfTrue="1">
      <formula>0</formula>
    </cfRule>
  </conditionalFormatting>
  <conditionalFormatting sqref="C70">
    <cfRule type="cellIs" priority="20" dxfId="2" operator="greaterThan" stopIfTrue="1">
      <formula>$C$72</formula>
    </cfRule>
  </conditionalFormatting>
  <conditionalFormatting sqref="D70">
    <cfRule type="cellIs" priority="21" dxfId="2" operator="greaterThan" stopIfTrue="1">
      <formula>$D$72</formula>
    </cfRule>
  </conditionalFormatting>
  <conditionalFormatting sqref="D34 D71">
    <cfRule type="cellIs" priority="2" dxfId="0" operator="lessThan" stopIfTrue="1">
      <formula>0</formula>
    </cfRule>
  </conditionalFormatting>
  <printOptions/>
  <pageMargins left="1.12" right="0.5" top="0.74" bottom="0.34" header="0.5" footer="0"/>
  <pageSetup blackAndWhite="1" fitToHeight="1" fitToWidth="1" horizontalDpi="120" verticalDpi="120" orientation="portrait" scale="65" r:id="rId1"/>
  <headerFooter alignWithMargins="0">
    <oddHeader>&amp;RState of Kansas
County
</oddHeader>
  </headerFooter>
</worksheet>
</file>

<file path=xl/worksheets/sheet28.xml><?xml version="1.0" encoding="utf-8"?>
<worksheet xmlns="http://schemas.openxmlformats.org/spreadsheetml/2006/main" xmlns:r="http://schemas.openxmlformats.org/officeDocument/2006/relationships">
  <sheetPr>
    <pageSetUpPr fitToPage="1"/>
  </sheetPr>
  <dimension ref="B1:F88"/>
  <sheetViews>
    <sheetView zoomScalePageLayoutView="0" workbookViewId="0" topLeftCell="A1">
      <selection activeCell="D70" sqref="D70"/>
    </sheetView>
  </sheetViews>
  <sheetFormatPr defaultColWidth="8.796875" defaultRowHeight="15"/>
  <cols>
    <col min="1" max="1" width="2.3984375" style="53" customWidth="1"/>
    <col min="2" max="2" width="31.09765625" style="53" customWidth="1"/>
    <col min="3" max="4" width="15.796875" style="53" customWidth="1"/>
    <col min="5" max="5" width="16.19921875" style="53" customWidth="1"/>
    <col min="6" max="16384" width="8.8984375" style="53" customWidth="1"/>
  </cols>
  <sheetData>
    <row r="1" spans="2:5" ht="15.75">
      <c r="B1" s="205" t="str">
        <f>inputPrYr!C3</f>
        <v>MORRIS COUNTY</v>
      </c>
      <c r="C1" s="69"/>
      <c r="D1" s="69"/>
      <c r="E1" s="285">
        <f>inputPrYr!C5</f>
        <v>2012</v>
      </c>
    </row>
    <row r="2" spans="2:5" ht="15.75">
      <c r="B2" s="69"/>
      <c r="C2" s="69"/>
      <c r="D2" s="69"/>
      <c r="E2" s="109"/>
    </row>
    <row r="3" spans="2:5" ht="15.75">
      <c r="B3" s="214"/>
      <c r="C3" s="322"/>
      <c r="D3" s="322"/>
      <c r="E3" s="323"/>
    </row>
    <row r="4" spans="2:5" ht="15.75">
      <c r="B4" s="484" t="s">
        <v>528</v>
      </c>
      <c r="C4" s="146"/>
      <c r="D4" s="146"/>
      <c r="E4" s="146"/>
    </row>
    <row r="5" spans="2:5" ht="15.75">
      <c r="B5" s="68" t="s">
        <v>851</v>
      </c>
      <c r="C5" s="539" t="s">
        <v>479</v>
      </c>
      <c r="D5" s="540" t="s">
        <v>226</v>
      </c>
      <c r="E5" s="536" t="s">
        <v>227</v>
      </c>
    </row>
    <row r="6" spans="2:5" ht="15.75">
      <c r="B6" s="472">
        <f>inputPrYr!$B$35</f>
        <v>0</v>
      </c>
      <c r="C6" s="448">
        <f>E1-2</f>
        <v>2010</v>
      </c>
      <c r="D6" s="448">
        <f>E1-1</f>
        <v>2011</v>
      </c>
      <c r="E6" s="311">
        <f>E1</f>
        <v>2012</v>
      </c>
    </row>
    <row r="7" spans="2:5" ht="15.75">
      <c r="B7" s="154" t="s">
        <v>569</v>
      </c>
      <c r="C7" s="480"/>
      <c r="D7" s="447">
        <f>C34</f>
        <v>0</v>
      </c>
      <c r="E7" s="264">
        <f>D34</f>
        <v>0</v>
      </c>
    </row>
    <row r="8" spans="2:5" ht="15.75">
      <c r="B8" s="289" t="s">
        <v>571</v>
      </c>
      <c r="C8" s="168"/>
      <c r="D8" s="168"/>
      <c r="E8" s="112"/>
    </row>
    <row r="9" spans="2:5" ht="15.75">
      <c r="B9" s="154" t="s">
        <v>852</v>
      </c>
      <c r="C9" s="480"/>
      <c r="D9" s="447">
        <f>inputPrYr!E35</f>
        <v>0</v>
      </c>
      <c r="E9" s="326" t="s">
        <v>462</v>
      </c>
    </row>
    <row r="10" spans="2:5" ht="15.75">
      <c r="B10" s="154" t="s">
        <v>853</v>
      </c>
      <c r="C10" s="480"/>
      <c r="D10" s="480"/>
      <c r="E10" s="96"/>
    </row>
    <row r="11" spans="2:5" ht="15.75">
      <c r="B11" s="154" t="s">
        <v>854</v>
      </c>
      <c r="C11" s="480"/>
      <c r="D11" s="480"/>
      <c r="E11" s="264" t="str">
        <f>mvalloc!D27</f>
        <v>  </v>
      </c>
    </row>
    <row r="12" spans="2:5" ht="15.75">
      <c r="B12" s="154" t="s">
        <v>855</v>
      </c>
      <c r="C12" s="480"/>
      <c r="D12" s="480"/>
      <c r="E12" s="264" t="str">
        <f>mvalloc!E27</f>
        <v>  </v>
      </c>
    </row>
    <row r="13" spans="2:5" ht="15.75">
      <c r="B13" s="168" t="s">
        <v>520</v>
      </c>
      <c r="C13" s="480"/>
      <c r="D13" s="480"/>
      <c r="E13" s="264" t="str">
        <f>mvalloc!F27</f>
        <v>  </v>
      </c>
    </row>
    <row r="14" spans="2:5" ht="15.75">
      <c r="B14" s="168" t="s">
        <v>232</v>
      </c>
      <c r="C14" s="480"/>
      <c r="D14" s="480"/>
      <c r="E14" s="264" t="str">
        <f>mvalloc!G27</f>
        <v> </v>
      </c>
    </row>
    <row r="15" spans="2:5" ht="15.75">
      <c r="B15" s="316"/>
      <c r="C15" s="480"/>
      <c r="D15" s="480"/>
      <c r="E15" s="96"/>
    </row>
    <row r="16" spans="2:5" ht="15.75">
      <c r="B16" s="316"/>
      <c r="C16" s="480"/>
      <c r="D16" s="480"/>
      <c r="E16" s="96"/>
    </row>
    <row r="17" spans="2:5" ht="15.75">
      <c r="B17" s="316"/>
      <c r="C17" s="480"/>
      <c r="D17" s="480"/>
      <c r="E17" s="96"/>
    </row>
    <row r="18" spans="2:5" ht="15.75">
      <c r="B18" s="304" t="s">
        <v>859</v>
      </c>
      <c r="C18" s="480"/>
      <c r="D18" s="480"/>
      <c r="E18" s="96"/>
    </row>
    <row r="19" spans="2:5" ht="15.75">
      <c r="B19" s="305" t="s">
        <v>966</v>
      </c>
      <c r="C19" s="480"/>
      <c r="D19" s="480"/>
      <c r="E19" s="96"/>
    </row>
    <row r="20" spans="2:5" ht="15.75">
      <c r="B20" s="305" t="s">
        <v>968</v>
      </c>
      <c r="C20" s="446">
        <f>IF(C21*0.1&lt;C19,"Exceed 10% Rule","")</f>
      </c>
      <c r="D20" s="446">
        <f>IF(D21*0.1&lt;D19,"Exceed 10% Rule","")</f>
      </c>
      <c r="E20" s="333">
        <f>IF(E21*0.1+E40&lt;E19,"Exceed 10% Rule","")</f>
      </c>
    </row>
    <row r="21" spans="2:5" ht="15.75">
      <c r="B21" s="307" t="s">
        <v>860</v>
      </c>
      <c r="C21" s="450">
        <f>SUM(C9:C19)</f>
        <v>0</v>
      </c>
      <c r="D21" s="450">
        <f>SUM(D9:D19)</f>
        <v>0</v>
      </c>
      <c r="E21" s="353">
        <f>SUM(E9:E19)</f>
        <v>0</v>
      </c>
    </row>
    <row r="22" spans="2:5" ht="15.75">
      <c r="B22" s="307" t="s">
        <v>861</v>
      </c>
      <c r="C22" s="450">
        <f>C7+C21</f>
        <v>0</v>
      </c>
      <c r="D22" s="450">
        <f>D7+D21</f>
        <v>0</v>
      </c>
      <c r="E22" s="353">
        <f>E7+E21</f>
        <v>0</v>
      </c>
    </row>
    <row r="23" spans="2:5" ht="15.75">
      <c r="B23" s="154" t="s">
        <v>864</v>
      </c>
      <c r="C23" s="305"/>
      <c r="D23" s="305"/>
      <c r="E23" s="164"/>
    </row>
    <row r="24" spans="2:5" ht="15.75">
      <c r="B24" s="316"/>
      <c r="C24" s="480"/>
      <c r="D24" s="480"/>
      <c r="E24" s="96"/>
    </row>
    <row r="25" spans="2:5" ht="15.75">
      <c r="B25" s="316"/>
      <c r="C25" s="480"/>
      <c r="D25" s="480"/>
      <c r="E25" s="96"/>
    </row>
    <row r="26" spans="2:5" ht="15.75">
      <c r="B26" s="316"/>
      <c r="C26" s="480"/>
      <c r="D26" s="480"/>
      <c r="E26" s="96"/>
    </row>
    <row r="27" spans="2:5" ht="15.75">
      <c r="B27" s="316"/>
      <c r="C27" s="480"/>
      <c r="D27" s="480"/>
      <c r="E27" s="96"/>
    </row>
    <row r="28" spans="2:5" ht="15.75">
      <c r="B28" s="316"/>
      <c r="C28" s="480"/>
      <c r="D28" s="480"/>
      <c r="E28" s="96"/>
    </row>
    <row r="29" spans="2:5" ht="15.75">
      <c r="B29" s="316"/>
      <c r="C29" s="480"/>
      <c r="D29" s="480"/>
      <c r="E29" s="96"/>
    </row>
    <row r="30" spans="2:5" ht="15.75">
      <c r="B30" s="305" t="s">
        <v>965</v>
      </c>
      <c r="C30" s="480"/>
      <c r="D30" s="480"/>
      <c r="E30" s="100">
        <f>Nhood!E25</f>
      </c>
    </row>
    <row r="31" spans="2:5" ht="15.75">
      <c r="B31" s="305" t="s">
        <v>966</v>
      </c>
      <c r="C31" s="480"/>
      <c r="D31" s="480"/>
      <c r="E31" s="96"/>
    </row>
    <row r="32" spans="2:5" ht="15.75">
      <c r="B32" s="305" t="s">
        <v>967</v>
      </c>
      <c r="C32" s="446">
        <f>IF(C33*0.1&lt;C31,"Exceed 10% Rule","")</f>
      </c>
      <c r="D32" s="446">
        <f>IF(D33*0.1&lt;D31,"Exceed 10% Rule","")</f>
      </c>
      <c r="E32" s="333">
        <f>IF(E33*0.1&lt;E31,"Exceed 10% Rule","")</f>
      </c>
    </row>
    <row r="33" spans="2:5" ht="15.75">
      <c r="B33" s="307" t="s">
        <v>865</v>
      </c>
      <c r="C33" s="450">
        <f>SUM(C24:C31)</f>
        <v>0</v>
      </c>
      <c r="D33" s="450">
        <f>SUM(D24:D31)</f>
        <v>0</v>
      </c>
      <c r="E33" s="353">
        <f>SUM(E24:E31)</f>
        <v>0</v>
      </c>
    </row>
    <row r="34" spans="2:5" ht="15.75">
      <c r="B34" s="154" t="s">
        <v>570</v>
      </c>
      <c r="C34" s="445">
        <f>C22-C33</f>
        <v>0</v>
      </c>
      <c r="D34" s="445">
        <f>D22-D33</f>
        <v>0</v>
      </c>
      <c r="E34" s="326" t="s">
        <v>462</v>
      </c>
    </row>
    <row r="35" spans="2:6" ht="15.75">
      <c r="B35" s="286" t="str">
        <f>CONCATENATE("",$E$1-2,"/",$E$1-1," Budget Authority Amount:")</f>
        <v>2010/2011 Budget Authority Amount:</v>
      </c>
      <c r="C35" s="278">
        <f>inputOth!B49</f>
        <v>0</v>
      </c>
      <c r="D35" s="278">
        <f>inputPrYr!D35</f>
        <v>0</v>
      </c>
      <c r="E35" s="326" t="s">
        <v>462</v>
      </c>
      <c r="F35" s="319"/>
    </row>
    <row r="36" spans="2:6" ht="15.75">
      <c r="B36" s="286"/>
      <c r="C36" s="700" t="s">
        <v>923</v>
      </c>
      <c r="D36" s="701"/>
      <c r="E36" s="96"/>
      <c r="F36" s="319">
        <f>IF(E33/0.95-E33&lt;E36,"Exceeds 5%","")</f>
      </c>
    </row>
    <row r="37" spans="2:5" ht="15.75">
      <c r="B37" s="487" t="str">
        <f>CONCATENATE(C85,"     ",D85)</f>
        <v>     </v>
      </c>
      <c r="C37" s="702" t="s">
        <v>924</v>
      </c>
      <c r="D37" s="703"/>
      <c r="E37" s="100">
        <f>E33+E36</f>
        <v>0</v>
      </c>
    </row>
    <row r="38" spans="2:5" ht="15.75">
      <c r="B38" s="487" t="str">
        <f>CONCATENATE(C86,"      ",D86)</f>
        <v>      </v>
      </c>
      <c r="C38" s="320"/>
      <c r="D38" s="109" t="s">
        <v>866</v>
      </c>
      <c r="E38" s="100">
        <f>IF(E37-E22&gt;0,E37-E22,0)</f>
        <v>0</v>
      </c>
    </row>
    <row r="39" spans="2:5" ht="15.75">
      <c r="B39" s="109"/>
      <c r="C39" s="469" t="s">
        <v>925</v>
      </c>
      <c r="D39" s="460">
        <f>inputOth!$E$23</f>
        <v>0.03</v>
      </c>
      <c r="E39" s="264">
        <f>ROUND(IF(D39&gt;0,(E38*D39),0),0)</f>
        <v>0</v>
      </c>
    </row>
    <row r="40" spans="2:5" ht="15.75">
      <c r="B40" s="69"/>
      <c r="C40" s="698" t="str">
        <f>CONCATENATE("Amount of  ",$E$1-1," Ad Valorem Tax")</f>
        <v>Amount of  2011 Ad Valorem Tax</v>
      </c>
      <c r="D40" s="699"/>
      <c r="E40" s="338">
        <f>E38+E39</f>
        <v>0</v>
      </c>
    </row>
    <row r="41" spans="2:5" ht="15.75">
      <c r="B41" s="69"/>
      <c r="C41" s="146"/>
      <c r="D41" s="146"/>
      <c r="E41" s="146"/>
    </row>
    <row r="42" spans="2:5" ht="15.75">
      <c r="B42" s="68" t="s">
        <v>851</v>
      </c>
      <c r="C42" s="539" t="str">
        <f aca="true" t="shared" si="0" ref="C42:E43">C5</f>
        <v>Prior Year Actual</v>
      </c>
      <c r="D42" s="540" t="str">
        <f t="shared" si="0"/>
        <v>Current Year Estimate</v>
      </c>
      <c r="E42" s="536" t="str">
        <f t="shared" si="0"/>
        <v>Proposed Budget Year</v>
      </c>
    </row>
    <row r="43" spans="2:5" ht="15.75">
      <c r="B43" s="472">
        <f>inputPrYr!$B$36</f>
        <v>0</v>
      </c>
      <c r="C43" s="448">
        <f t="shared" si="0"/>
        <v>2010</v>
      </c>
      <c r="D43" s="448">
        <f t="shared" si="0"/>
        <v>2011</v>
      </c>
      <c r="E43" s="311">
        <f t="shared" si="0"/>
        <v>2012</v>
      </c>
    </row>
    <row r="44" spans="2:5" ht="15.75">
      <c r="B44" s="154" t="s">
        <v>569</v>
      </c>
      <c r="C44" s="480"/>
      <c r="D44" s="447">
        <f>C71</f>
        <v>0</v>
      </c>
      <c r="E44" s="264">
        <f>D71</f>
        <v>0</v>
      </c>
    </row>
    <row r="45" spans="2:5" ht="15.75">
      <c r="B45" s="300" t="s">
        <v>571</v>
      </c>
      <c r="C45" s="168"/>
      <c r="D45" s="168"/>
      <c r="E45" s="112"/>
    </row>
    <row r="46" spans="2:5" ht="15.75">
      <c r="B46" s="154" t="s">
        <v>852</v>
      </c>
      <c r="C46" s="480"/>
      <c r="D46" s="447">
        <f>inputPrYr!E36</f>
        <v>0</v>
      </c>
      <c r="E46" s="326" t="s">
        <v>462</v>
      </c>
    </row>
    <row r="47" spans="2:5" ht="15.75">
      <c r="B47" s="154" t="s">
        <v>853</v>
      </c>
      <c r="C47" s="480"/>
      <c r="D47" s="480"/>
      <c r="E47" s="96"/>
    </row>
    <row r="48" spans="2:5" ht="15.75">
      <c r="B48" s="154" t="s">
        <v>854</v>
      </c>
      <c r="C48" s="480"/>
      <c r="D48" s="480"/>
      <c r="E48" s="264" t="str">
        <f>mvalloc!D28</f>
        <v>  </v>
      </c>
    </row>
    <row r="49" spans="2:5" ht="15.75">
      <c r="B49" s="154" t="s">
        <v>855</v>
      </c>
      <c r="C49" s="480"/>
      <c r="D49" s="480"/>
      <c r="E49" s="264" t="str">
        <f>mvalloc!E28</f>
        <v>  </v>
      </c>
    </row>
    <row r="50" spans="2:5" ht="15.75">
      <c r="B50" s="168" t="s">
        <v>520</v>
      </c>
      <c r="C50" s="480"/>
      <c r="D50" s="480"/>
      <c r="E50" s="264" t="str">
        <f>mvalloc!F28</f>
        <v>  </v>
      </c>
    </row>
    <row r="51" spans="2:5" ht="15.75">
      <c r="B51" s="168" t="s">
        <v>232</v>
      </c>
      <c r="C51" s="480"/>
      <c r="D51" s="480"/>
      <c r="E51" s="264" t="str">
        <f>mvalloc!G28</f>
        <v> </v>
      </c>
    </row>
    <row r="52" spans="2:5" ht="15.75">
      <c r="B52" s="316"/>
      <c r="C52" s="480"/>
      <c r="D52" s="480"/>
      <c r="E52" s="96"/>
    </row>
    <row r="53" spans="2:5" ht="15.75">
      <c r="B53" s="316"/>
      <c r="C53" s="480"/>
      <c r="D53" s="480"/>
      <c r="E53" s="96"/>
    </row>
    <row r="54" spans="2:5" ht="15.75">
      <c r="B54" s="304"/>
      <c r="C54" s="480"/>
      <c r="D54" s="480"/>
      <c r="E54" s="96"/>
    </row>
    <row r="55" spans="2:5" ht="15.75">
      <c r="B55" s="304" t="s">
        <v>859</v>
      </c>
      <c r="C55" s="480"/>
      <c r="D55" s="480"/>
      <c r="E55" s="90"/>
    </row>
    <row r="56" spans="2:5" ht="15.75">
      <c r="B56" s="305" t="s">
        <v>966</v>
      </c>
      <c r="C56" s="480"/>
      <c r="D56" s="480"/>
      <c r="E56" s="96"/>
    </row>
    <row r="57" spans="2:5" ht="15.75">
      <c r="B57" s="305" t="s">
        <v>968</v>
      </c>
      <c r="C57" s="446">
        <f>IF(C58*0.1&lt;C56,"Exceed 10% Rule","")</f>
      </c>
      <c r="D57" s="446">
        <f>IF(D58*0.1&lt;D56,"Exceed 10% Rule","")</f>
      </c>
      <c r="E57" s="333">
        <f>IF(E58*0.1+E77&lt;E56,"Exceed 10% Rule","")</f>
      </c>
    </row>
    <row r="58" spans="2:5" ht="15.75">
      <c r="B58" s="307" t="s">
        <v>860</v>
      </c>
      <c r="C58" s="450">
        <f>SUM(C46:C56)</f>
        <v>0</v>
      </c>
      <c r="D58" s="450">
        <f>SUM(D46:D56)</f>
        <v>0</v>
      </c>
      <c r="E58" s="353">
        <f>SUM(E46:E56)</f>
        <v>0</v>
      </c>
    </row>
    <row r="59" spans="2:5" ht="15.75">
      <c r="B59" s="307" t="s">
        <v>861</v>
      </c>
      <c r="C59" s="450">
        <f>C44+C58</f>
        <v>0</v>
      </c>
      <c r="D59" s="450">
        <f>D44+D58</f>
        <v>0</v>
      </c>
      <c r="E59" s="353">
        <f>E44+E58</f>
        <v>0</v>
      </c>
    </row>
    <row r="60" spans="2:5" ht="15.75">
      <c r="B60" s="154" t="s">
        <v>864</v>
      </c>
      <c r="C60" s="305"/>
      <c r="D60" s="305"/>
      <c r="E60" s="164"/>
    </row>
    <row r="61" spans="2:5" ht="15.75">
      <c r="B61" s="316"/>
      <c r="C61" s="480"/>
      <c r="D61" s="480"/>
      <c r="E61" s="96"/>
    </row>
    <row r="62" spans="2:5" ht="15.75">
      <c r="B62" s="316"/>
      <c r="C62" s="480"/>
      <c r="D62" s="480"/>
      <c r="E62" s="96"/>
    </row>
    <row r="63" spans="2:5" ht="15.75">
      <c r="B63" s="316"/>
      <c r="C63" s="480"/>
      <c r="D63" s="480"/>
      <c r="E63" s="96"/>
    </row>
    <row r="64" spans="2:5" ht="15.75">
      <c r="B64" s="316"/>
      <c r="C64" s="480"/>
      <c r="D64" s="480"/>
      <c r="E64" s="96"/>
    </row>
    <row r="65" spans="2:5" ht="15.75">
      <c r="B65" s="316"/>
      <c r="C65" s="480"/>
      <c r="D65" s="480"/>
      <c r="E65" s="96"/>
    </row>
    <row r="66" spans="2:5" ht="15.75">
      <c r="B66" s="316"/>
      <c r="C66" s="480"/>
      <c r="D66" s="480"/>
      <c r="E66" s="96"/>
    </row>
    <row r="67" spans="2:5" ht="15.75">
      <c r="B67" s="305" t="s">
        <v>965</v>
      </c>
      <c r="C67" s="480"/>
      <c r="D67" s="480"/>
      <c r="E67" s="100">
        <f>Nhood!E26</f>
      </c>
    </row>
    <row r="68" spans="2:5" ht="15.75">
      <c r="B68" s="305" t="s">
        <v>966</v>
      </c>
      <c r="C68" s="480"/>
      <c r="D68" s="480"/>
      <c r="E68" s="96"/>
    </row>
    <row r="69" spans="2:5" ht="15.75">
      <c r="B69" s="305" t="s">
        <v>967</v>
      </c>
      <c r="C69" s="446">
        <f>IF(C70*0.1&lt;C68,"Exceed 10% Rule","")</f>
      </c>
      <c r="D69" s="446">
        <f>IF(D70*0.1&lt;D68,"Exceed 10% Rule","")</f>
      </c>
      <c r="E69" s="333">
        <f>IF(E70*0.1&lt;E68,"Exceed 10% Rule","")</f>
      </c>
    </row>
    <row r="70" spans="2:5" ht="15.75">
      <c r="B70" s="307" t="s">
        <v>865</v>
      </c>
      <c r="C70" s="450">
        <f>SUM(C61:C68)</f>
        <v>0</v>
      </c>
      <c r="D70" s="450">
        <f>SUM(D61:D68)</f>
        <v>0</v>
      </c>
      <c r="E70" s="353">
        <f>SUM(E61:E68)</f>
        <v>0</v>
      </c>
    </row>
    <row r="71" spans="2:5" ht="15.75">
      <c r="B71" s="154" t="s">
        <v>570</v>
      </c>
      <c r="C71" s="445">
        <f>C59-C70</f>
        <v>0</v>
      </c>
      <c r="D71" s="445">
        <f>D59-D70</f>
        <v>0</v>
      </c>
      <c r="E71" s="326" t="s">
        <v>462</v>
      </c>
    </row>
    <row r="72" spans="2:6" ht="15.75">
      <c r="B72" s="286" t="str">
        <f>CONCATENATE("",$E$1-2,"/",$E$1-1," Budget Authority Amount:")</f>
        <v>2010/2011 Budget Authority Amount:</v>
      </c>
      <c r="C72" s="278">
        <f>inputOth!B50</f>
        <v>0</v>
      </c>
      <c r="D72" s="278">
        <f>inputPrYr!D36</f>
        <v>0</v>
      </c>
      <c r="E72" s="326" t="s">
        <v>462</v>
      </c>
      <c r="F72" s="319"/>
    </row>
    <row r="73" spans="2:6" ht="15.75">
      <c r="B73" s="286"/>
      <c r="C73" s="700" t="s">
        <v>923</v>
      </c>
      <c r="D73" s="701"/>
      <c r="E73" s="96"/>
      <c r="F73" s="319">
        <f>IF(E70/0.95-E70&lt;E73,"Exceeds 5%","")</f>
      </c>
    </row>
    <row r="74" spans="2:5" ht="15.75">
      <c r="B74" s="487" t="str">
        <f>CONCATENATE(C87,"      ",D87)</f>
        <v>      </v>
      </c>
      <c r="C74" s="702" t="s">
        <v>924</v>
      </c>
      <c r="D74" s="703"/>
      <c r="E74" s="264">
        <f>E70+E73</f>
        <v>0</v>
      </c>
    </row>
    <row r="75" spans="2:5" ht="15.75">
      <c r="B75" s="487" t="str">
        <f>CONCATENATE(C88,"      ",D88)</f>
        <v>      </v>
      </c>
      <c r="C75" s="320"/>
      <c r="D75" s="109" t="s">
        <v>866</v>
      </c>
      <c r="E75" s="100">
        <f>IF(E74-E59&gt;0,E74-E59,0)</f>
        <v>0</v>
      </c>
    </row>
    <row r="76" spans="2:5" ht="15.75">
      <c r="B76" s="109"/>
      <c r="C76" s="469" t="s">
        <v>925</v>
      </c>
      <c r="D76" s="460">
        <f>inputOth!$E$23</f>
        <v>0.03</v>
      </c>
      <c r="E76" s="264">
        <f>ROUND(IF(D76&gt;0,(E75*D76),0),0)</f>
        <v>0</v>
      </c>
    </row>
    <row r="77" spans="2:5" ht="15.75">
      <c r="B77" s="69"/>
      <c r="C77" s="698" t="str">
        <f>CONCATENATE("Amount of  ",$E$1-1," Ad Valorem Tax")</f>
        <v>Amount of  2011 Ad Valorem Tax</v>
      </c>
      <c r="D77" s="699"/>
      <c r="E77" s="338">
        <f>E75+E76</f>
        <v>0</v>
      </c>
    </row>
    <row r="78" spans="2:5" ht="15.75">
      <c r="B78" s="321" t="s">
        <v>477</v>
      </c>
      <c r="C78" s="339"/>
      <c r="D78" s="69"/>
      <c r="E78" s="69"/>
    </row>
    <row r="85" spans="3:4" ht="15.75" hidden="1">
      <c r="C85" s="53">
        <f>IF(C33&gt;C35,"See Tab A","")</f>
      </c>
      <c r="D85" s="53">
        <f>IF(D33&gt;D35,"See Tab C","")</f>
      </c>
    </row>
    <row r="86" spans="3:4" ht="15.75" hidden="1">
      <c r="C86" s="53">
        <f>IF(C34&lt;0,"See Tab B","")</f>
      </c>
      <c r="D86" s="53">
        <f>IF(D34&lt;0,"See Tab D","")</f>
      </c>
    </row>
    <row r="87" spans="3:4" ht="15.75" hidden="1">
      <c r="C87" s="53">
        <f>IF(C70&gt;C72,"See Tab A","")</f>
      </c>
      <c r="D87" s="53">
        <f>IF(D70&gt;D72,"See Tab C","")</f>
      </c>
    </row>
    <row r="88" spans="3:4" ht="15.75" hidden="1">
      <c r="C88" s="53">
        <f>IF(C71&lt;0,"See Tab B","")</f>
      </c>
      <c r="D88" s="53">
        <f>IF(D71&lt;0,"See Tab D","")</f>
      </c>
    </row>
  </sheetData>
  <sheetProtection sheet="1"/>
  <mergeCells count="6">
    <mergeCell ref="C77:D77"/>
    <mergeCell ref="C40:D40"/>
    <mergeCell ref="C36:D36"/>
    <mergeCell ref="C37:D37"/>
    <mergeCell ref="C73:D73"/>
    <mergeCell ref="C74:D74"/>
  </mergeCells>
  <conditionalFormatting sqref="E36">
    <cfRule type="cellIs" priority="3" dxfId="350" operator="greaterThan" stopIfTrue="1">
      <formula>$E$33/0.95-$E$33</formula>
    </cfRule>
  </conditionalFormatting>
  <conditionalFormatting sqref="E73">
    <cfRule type="cellIs" priority="4" dxfId="350" operator="greaterThan" stopIfTrue="1">
      <formula>$E$70/0.95-$E$70</formula>
    </cfRule>
  </conditionalFormatting>
  <conditionalFormatting sqref="E68">
    <cfRule type="cellIs" priority="5" dxfId="350" operator="greaterThan" stopIfTrue="1">
      <formula>$E$70*0.1</formula>
    </cfRule>
  </conditionalFormatting>
  <conditionalFormatting sqref="C19">
    <cfRule type="cellIs" priority="6" dxfId="350" operator="greaterThan" stopIfTrue="1">
      <formula>$C$21*0.1</formula>
    </cfRule>
  </conditionalFormatting>
  <conditionalFormatting sqref="D19">
    <cfRule type="cellIs" priority="7" dxfId="350" operator="greaterThan" stopIfTrue="1">
      <formula>$D$21*0.1</formula>
    </cfRule>
  </conditionalFormatting>
  <conditionalFormatting sqref="E31">
    <cfRule type="cellIs" priority="8" dxfId="350" operator="greaterThan" stopIfTrue="1">
      <formula>$E$33*0.1</formula>
    </cfRule>
  </conditionalFormatting>
  <conditionalFormatting sqref="E19">
    <cfRule type="cellIs" priority="9" dxfId="350" operator="greaterThan" stopIfTrue="1">
      <formula>$E$21*0.1+E40</formula>
    </cfRule>
  </conditionalFormatting>
  <conditionalFormatting sqref="E56">
    <cfRule type="cellIs" priority="10" dxfId="350" operator="greaterThan" stopIfTrue="1">
      <formula>$E$58*0.1+E77</formula>
    </cfRule>
  </conditionalFormatting>
  <conditionalFormatting sqref="C68">
    <cfRule type="cellIs" priority="11" dxfId="2" operator="greaterThan" stopIfTrue="1">
      <formula>$C$70*0.1</formula>
    </cfRule>
  </conditionalFormatting>
  <conditionalFormatting sqref="D68">
    <cfRule type="cellIs" priority="12" dxfId="2" operator="greaterThan" stopIfTrue="1">
      <formula>$D$70*0.1</formula>
    </cfRule>
  </conditionalFormatting>
  <conditionalFormatting sqref="D56">
    <cfRule type="cellIs" priority="13" dxfId="2" operator="greaterThan" stopIfTrue="1">
      <formula>$D$58*0.1</formula>
    </cfRule>
  </conditionalFormatting>
  <conditionalFormatting sqref="C56">
    <cfRule type="cellIs" priority="14" dxfId="2" operator="greaterThan" stopIfTrue="1">
      <formula>$C$58*0.1</formula>
    </cfRule>
  </conditionalFormatting>
  <conditionalFormatting sqref="C31">
    <cfRule type="cellIs" priority="15" dxfId="2" operator="greaterThan" stopIfTrue="1">
      <formula>$C$33*0.1</formula>
    </cfRule>
  </conditionalFormatting>
  <conditionalFormatting sqref="D31">
    <cfRule type="cellIs" priority="16" dxfId="2" operator="greaterThan" stopIfTrue="1">
      <formula>$D$33*0.1</formula>
    </cfRule>
  </conditionalFormatting>
  <conditionalFormatting sqref="C33">
    <cfRule type="cellIs" priority="17" dxfId="2" operator="greaterThan" stopIfTrue="1">
      <formula>$C$35</formula>
    </cfRule>
  </conditionalFormatting>
  <conditionalFormatting sqref="D33">
    <cfRule type="cellIs" priority="18" dxfId="2" operator="greaterThan" stopIfTrue="1">
      <formula>$D$35</formula>
    </cfRule>
  </conditionalFormatting>
  <conditionalFormatting sqref="C34 C71">
    <cfRule type="cellIs" priority="19" dxfId="2" operator="lessThan" stopIfTrue="1">
      <formula>0</formula>
    </cfRule>
  </conditionalFormatting>
  <conditionalFormatting sqref="C70">
    <cfRule type="cellIs" priority="20" dxfId="2" operator="greaterThan" stopIfTrue="1">
      <formula>$C$72</formula>
    </cfRule>
  </conditionalFormatting>
  <conditionalFormatting sqref="D70">
    <cfRule type="cellIs" priority="21" dxfId="2" operator="greaterThan" stopIfTrue="1">
      <formula>$D$72</formula>
    </cfRule>
  </conditionalFormatting>
  <conditionalFormatting sqref="D34 D71">
    <cfRule type="cellIs" priority="2" dxfId="0" operator="lessThan" stopIfTrue="1">
      <formula>0</formula>
    </cfRule>
  </conditionalFormatting>
  <printOptions/>
  <pageMargins left="1.12" right="0.5" top="0.74" bottom="0.34" header="0.5" footer="0"/>
  <pageSetup blackAndWhite="1" fitToHeight="1" fitToWidth="1" horizontalDpi="120" verticalDpi="120" orientation="portrait" scale="65" r:id="rId1"/>
  <headerFooter alignWithMargins="0">
    <oddHeader>&amp;RState of Kansas
County
</oddHeader>
  </headerFooter>
</worksheet>
</file>

<file path=xl/worksheets/sheet29.xml><?xml version="1.0" encoding="utf-8"?>
<worksheet xmlns="http://schemas.openxmlformats.org/spreadsheetml/2006/main" xmlns:r="http://schemas.openxmlformats.org/officeDocument/2006/relationships">
  <sheetPr>
    <pageSetUpPr fitToPage="1"/>
  </sheetPr>
  <dimension ref="B1:F88"/>
  <sheetViews>
    <sheetView zoomScalePageLayoutView="0" workbookViewId="0" topLeftCell="A1">
      <selection activeCell="D70" sqref="D70"/>
    </sheetView>
  </sheetViews>
  <sheetFormatPr defaultColWidth="8.796875" defaultRowHeight="15"/>
  <cols>
    <col min="1" max="1" width="2.3984375" style="53" customWidth="1"/>
    <col min="2" max="2" width="31.09765625" style="53" customWidth="1"/>
    <col min="3" max="4" width="15.796875" style="53" customWidth="1"/>
    <col min="5" max="5" width="16.19921875" style="53" customWidth="1"/>
    <col min="6" max="16384" width="8.8984375" style="53" customWidth="1"/>
  </cols>
  <sheetData>
    <row r="1" spans="2:5" ht="15.75">
      <c r="B1" s="205" t="str">
        <f>inputPrYr!C3</f>
        <v>MORRIS COUNTY</v>
      </c>
      <c r="C1" s="69"/>
      <c r="D1" s="69"/>
      <c r="E1" s="285">
        <f>inputPrYr!C5</f>
        <v>2012</v>
      </c>
    </row>
    <row r="2" spans="2:5" ht="15.75">
      <c r="B2" s="69"/>
      <c r="C2" s="69"/>
      <c r="D2" s="69"/>
      <c r="E2" s="109"/>
    </row>
    <row r="3" spans="2:5" ht="15.75">
      <c r="B3" s="214"/>
      <c r="C3" s="322"/>
      <c r="D3" s="322"/>
      <c r="E3" s="323"/>
    </row>
    <row r="4" spans="2:5" ht="15.75">
      <c r="B4" s="484" t="s">
        <v>528</v>
      </c>
      <c r="C4" s="146"/>
      <c r="D4" s="146"/>
      <c r="E4" s="146"/>
    </row>
    <row r="5" spans="2:5" ht="15.75">
      <c r="B5" s="68" t="s">
        <v>851</v>
      </c>
      <c r="C5" s="539" t="s">
        <v>479</v>
      </c>
      <c r="D5" s="540" t="s">
        <v>226</v>
      </c>
      <c r="E5" s="536" t="s">
        <v>227</v>
      </c>
    </row>
    <row r="6" spans="2:5" ht="15.75">
      <c r="B6" s="205"/>
      <c r="C6" s="448">
        <f>E1-2</f>
        <v>2010</v>
      </c>
      <c r="D6" s="448">
        <f>E1-1</f>
        <v>2011</v>
      </c>
      <c r="E6" s="311">
        <f>E1</f>
        <v>2012</v>
      </c>
    </row>
    <row r="7" spans="2:5" ht="15.75">
      <c r="B7" s="154" t="s">
        <v>569</v>
      </c>
      <c r="C7" s="480"/>
      <c r="D7" s="447">
        <f>C34</f>
        <v>0</v>
      </c>
      <c r="E7" s="264">
        <f>D34</f>
        <v>0</v>
      </c>
    </row>
    <row r="8" spans="2:5" ht="15.75">
      <c r="B8" s="289" t="s">
        <v>571</v>
      </c>
      <c r="C8" s="168"/>
      <c r="D8" s="168"/>
      <c r="E8" s="112"/>
    </row>
    <row r="9" spans="2:5" ht="15.75">
      <c r="B9" s="154" t="s">
        <v>852</v>
      </c>
      <c r="C9" s="480"/>
      <c r="D9" s="447">
        <f>inputPrYr!E37</f>
        <v>0</v>
      </c>
      <c r="E9" s="326" t="s">
        <v>462</v>
      </c>
    </row>
    <row r="10" spans="2:5" ht="15.75">
      <c r="B10" s="154" t="s">
        <v>853</v>
      </c>
      <c r="C10" s="480"/>
      <c r="D10" s="480"/>
      <c r="E10" s="96"/>
    </row>
    <row r="11" spans="2:5" ht="15.75">
      <c r="B11" s="154" t="s">
        <v>854</v>
      </c>
      <c r="C11" s="480"/>
      <c r="D11" s="480"/>
      <c r="E11" s="264" t="str">
        <f>mvalloc!D29</f>
        <v>  </v>
      </c>
    </row>
    <row r="12" spans="2:5" ht="15.75">
      <c r="B12" s="154" t="s">
        <v>855</v>
      </c>
      <c r="C12" s="480"/>
      <c r="D12" s="480"/>
      <c r="E12" s="264" t="str">
        <f>mvalloc!E29</f>
        <v>  </v>
      </c>
    </row>
    <row r="13" spans="2:5" ht="15.75">
      <c r="B13" s="168" t="s">
        <v>520</v>
      </c>
      <c r="C13" s="480"/>
      <c r="D13" s="480"/>
      <c r="E13" s="264" t="str">
        <f>mvalloc!F29</f>
        <v>  </v>
      </c>
    </row>
    <row r="14" spans="2:5" ht="15.75">
      <c r="B14" s="168" t="s">
        <v>232</v>
      </c>
      <c r="C14" s="480"/>
      <c r="D14" s="480"/>
      <c r="E14" s="264" t="str">
        <f>mvalloc!G29</f>
        <v> </v>
      </c>
    </row>
    <row r="15" spans="2:5" ht="15.75">
      <c r="B15" s="316"/>
      <c r="C15" s="480"/>
      <c r="D15" s="480"/>
      <c r="E15" s="96"/>
    </row>
    <row r="16" spans="2:5" ht="15.75">
      <c r="B16" s="316"/>
      <c r="C16" s="480"/>
      <c r="D16" s="480"/>
      <c r="E16" s="96"/>
    </row>
    <row r="17" spans="2:5" ht="15.75">
      <c r="B17" s="316"/>
      <c r="C17" s="480"/>
      <c r="D17" s="480"/>
      <c r="E17" s="96"/>
    </row>
    <row r="18" spans="2:5" ht="15.75">
      <c r="B18" s="304" t="s">
        <v>859</v>
      </c>
      <c r="C18" s="480"/>
      <c r="D18" s="480"/>
      <c r="E18" s="96"/>
    </row>
    <row r="19" spans="2:5" ht="15.75">
      <c r="B19" s="305" t="s">
        <v>966</v>
      </c>
      <c r="C19" s="480"/>
      <c r="D19" s="480"/>
      <c r="E19" s="96"/>
    </row>
    <row r="20" spans="2:5" ht="15.75">
      <c r="B20" s="305" t="s">
        <v>968</v>
      </c>
      <c r="C20" s="446">
        <f>IF(C21*0.1&lt;C19,"Exceed 10% Rule","")</f>
      </c>
      <c r="D20" s="446">
        <f>IF(D21*0.1&lt;D19,"Exceed 10% Rule","")</f>
      </c>
      <c r="E20" s="333">
        <f>IF(E21*0.1+E40&lt;E19,"Exceed 10% Rule","")</f>
      </c>
    </row>
    <row r="21" spans="2:5" ht="15.75">
      <c r="B21" s="307" t="s">
        <v>860</v>
      </c>
      <c r="C21" s="450">
        <f>SUM(C9:C19)</f>
        <v>0</v>
      </c>
      <c r="D21" s="450">
        <f>SUM(D9:D19)</f>
        <v>0</v>
      </c>
      <c r="E21" s="353">
        <f>SUM(E9:E19)</f>
        <v>0</v>
      </c>
    </row>
    <row r="22" spans="2:5" ht="15.75">
      <c r="B22" s="307" t="s">
        <v>861</v>
      </c>
      <c r="C22" s="450">
        <f>C7+C21</f>
        <v>0</v>
      </c>
      <c r="D22" s="450">
        <f>D7+D21</f>
        <v>0</v>
      </c>
      <c r="E22" s="353">
        <f>E7+E21</f>
        <v>0</v>
      </c>
    </row>
    <row r="23" spans="2:5" ht="15.75">
      <c r="B23" s="154" t="s">
        <v>864</v>
      </c>
      <c r="C23" s="305"/>
      <c r="D23" s="305"/>
      <c r="E23" s="164"/>
    </row>
    <row r="24" spans="2:5" ht="15.75">
      <c r="B24" s="316"/>
      <c r="C24" s="480"/>
      <c r="D24" s="480"/>
      <c r="E24" s="96"/>
    </row>
    <row r="25" spans="2:5" ht="15.75">
      <c r="B25" s="316"/>
      <c r="C25" s="480"/>
      <c r="D25" s="480"/>
      <c r="E25" s="96"/>
    </row>
    <row r="26" spans="2:5" ht="15.75">
      <c r="B26" s="316"/>
      <c r="C26" s="480"/>
      <c r="D26" s="480"/>
      <c r="E26" s="96"/>
    </row>
    <row r="27" spans="2:5" ht="15.75">
      <c r="B27" s="316"/>
      <c r="C27" s="480"/>
      <c r="D27" s="480"/>
      <c r="E27" s="96"/>
    </row>
    <row r="28" spans="2:5" ht="15.75">
      <c r="B28" s="316"/>
      <c r="C28" s="480"/>
      <c r="D28" s="480"/>
      <c r="E28" s="96"/>
    </row>
    <row r="29" spans="2:5" ht="15.75">
      <c r="B29" s="316"/>
      <c r="C29" s="480"/>
      <c r="D29" s="480"/>
      <c r="E29" s="96"/>
    </row>
    <row r="30" spans="2:5" ht="15.75">
      <c r="B30" s="305" t="s">
        <v>965</v>
      </c>
      <c r="C30" s="480"/>
      <c r="D30" s="480"/>
      <c r="E30" s="100">
        <f>Nhood!E27</f>
      </c>
    </row>
    <row r="31" spans="2:5" ht="15.75">
      <c r="B31" s="305" t="s">
        <v>966</v>
      </c>
      <c r="C31" s="480"/>
      <c r="D31" s="480"/>
      <c r="E31" s="96"/>
    </row>
    <row r="32" spans="2:5" ht="15.75">
      <c r="B32" s="305" t="s">
        <v>967</v>
      </c>
      <c r="C32" s="446">
        <f>IF(C33*0.1&lt;C31,"Exceed 10% Rule","")</f>
      </c>
      <c r="D32" s="446">
        <f>IF(D33*0.1&lt;D31,"Exceed 10% Rule","")</f>
      </c>
      <c r="E32" s="333">
        <f>IF(E33*0.1&lt;E31,"Exceed 10% Rule","")</f>
      </c>
    </row>
    <row r="33" spans="2:5" ht="15.75">
      <c r="B33" s="307" t="s">
        <v>865</v>
      </c>
      <c r="C33" s="450">
        <f>SUM(C24:C31)</f>
        <v>0</v>
      </c>
      <c r="D33" s="450">
        <f>SUM(D24:D31)</f>
        <v>0</v>
      </c>
      <c r="E33" s="353">
        <f>SUM(E24:E31)</f>
        <v>0</v>
      </c>
    </row>
    <row r="34" spans="2:5" ht="15.75">
      <c r="B34" s="154" t="s">
        <v>570</v>
      </c>
      <c r="C34" s="445">
        <f>C22-C33</f>
        <v>0</v>
      </c>
      <c r="D34" s="445">
        <f>D22-D33</f>
        <v>0</v>
      </c>
      <c r="E34" s="326" t="s">
        <v>462</v>
      </c>
    </row>
    <row r="35" spans="2:6" ht="15.75">
      <c r="B35" s="286" t="str">
        <f>CONCATENATE("",$E$1-2,"/",$E$1-1," Budget Authority Amount:")</f>
        <v>2010/2011 Budget Authority Amount:</v>
      </c>
      <c r="C35" s="278">
        <f>inputOth!B51</f>
        <v>0</v>
      </c>
      <c r="D35" s="278">
        <f>inputPrYr!D37</f>
        <v>0</v>
      </c>
      <c r="E35" s="326" t="s">
        <v>462</v>
      </c>
      <c r="F35" s="319"/>
    </row>
    <row r="36" spans="2:6" ht="15.75">
      <c r="B36" s="286"/>
      <c r="C36" s="700" t="s">
        <v>923</v>
      </c>
      <c r="D36" s="701"/>
      <c r="E36" s="96"/>
      <c r="F36" s="319">
        <f>IF(E33/0.95-E33&lt;E36,"Exceeds 5%","")</f>
      </c>
    </row>
    <row r="37" spans="2:5" ht="15.75">
      <c r="B37" s="487" t="str">
        <f>CONCATENATE(C85,"     ",D85)</f>
        <v>     </v>
      </c>
      <c r="C37" s="702" t="s">
        <v>924</v>
      </c>
      <c r="D37" s="703"/>
      <c r="E37" s="264">
        <f>E33+E36</f>
        <v>0</v>
      </c>
    </row>
    <row r="38" spans="2:5" ht="15.75">
      <c r="B38" s="487" t="str">
        <f>CONCATENATE(C86,"      ",D86)</f>
        <v>      </v>
      </c>
      <c r="C38" s="320"/>
      <c r="D38" s="109" t="s">
        <v>866</v>
      </c>
      <c r="E38" s="100">
        <f>IF(E37-E22&gt;0,E37-E22,0)</f>
        <v>0</v>
      </c>
    </row>
    <row r="39" spans="2:5" ht="15.75">
      <c r="B39" s="109"/>
      <c r="C39" s="469" t="s">
        <v>925</v>
      </c>
      <c r="D39" s="460">
        <f>inputOth!$E$23</f>
        <v>0.03</v>
      </c>
      <c r="E39" s="264">
        <f>ROUND(IF(D39&gt;0,(E38*D39),0),0)</f>
        <v>0</v>
      </c>
    </row>
    <row r="40" spans="2:5" ht="15.75">
      <c r="B40" s="69"/>
      <c r="C40" s="698" t="str">
        <f>CONCATENATE("Amount of  ",$E$1-1," Ad Valorem Tax")</f>
        <v>Amount of  2011 Ad Valorem Tax</v>
      </c>
      <c r="D40" s="699"/>
      <c r="E40" s="338">
        <f>E38+E39</f>
        <v>0</v>
      </c>
    </row>
    <row r="41" spans="2:5" ht="15.75">
      <c r="B41" s="69"/>
      <c r="C41" s="146"/>
      <c r="D41" s="146"/>
      <c r="E41" s="146"/>
    </row>
    <row r="42" spans="2:5" ht="15.75">
      <c r="B42" s="68" t="s">
        <v>851</v>
      </c>
      <c r="C42" s="539" t="str">
        <f aca="true" t="shared" si="0" ref="C42:E43">C5</f>
        <v>Prior Year Actual</v>
      </c>
      <c r="D42" s="540" t="str">
        <f t="shared" si="0"/>
        <v>Current Year Estimate</v>
      </c>
      <c r="E42" s="536" t="str">
        <f t="shared" si="0"/>
        <v>Proposed Budget Year</v>
      </c>
    </row>
    <row r="43" spans="2:5" ht="15.75">
      <c r="B43" s="472">
        <f>inputPrYr!$B$38</f>
        <v>0</v>
      </c>
      <c r="C43" s="448">
        <f t="shared" si="0"/>
        <v>2010</v>
      </c>
      <c r="D43" s="448">
        <f t="shared" si="0"/>
        <v>2011</v>
      </c>
      <c r="E43" s="311">
        <f t="shared" si="0"/>
        <v>2012</v>
      </c>
    </row>
    <row r="44" spans="2:5" ht="15.75">
      <c r="B44" s="154" t="s">
        <v>569</v>
      </c>
      <c r="C44" s="480"/>
      <c r="D44" s="447">
        <f>C71</f>
        <v>0</v>
      </c>
      <c r="E44" s="264">
        <f>D71</f>
        <v>0</v>
      </c>
    </row>
    <row r="45" spans="2:5" ht="15.75">
      <c r="B45" s="300" t="s">
        <v>571</v>
      </c>
      <c r="C45" s="168"/>
      <c r="D45" s="168"/>
      <c r="E45" s="112"/>
    </row>
    <row r="46" spans="2:5" ht="15.75">
      <c r="B46" s="154" t="s">
        <v>852</v>
      </c>
      <c r="C46" s="480"/>
      <c r="D46" s="447">
        <f>inputPrYr!E38</f>
        <v>0</v>
      </c>
      <c r="E46" s="326" t="s">
        <v>462</v>
      </c>
    </row>
    <row r="47" spans="2:5" ht="15.75">
      <c r="B47" s="154" t="s">
        <v>853</v>
      </c>
      <c r="C47" s="480"/>
      <c r="D47" s="480"/>
      <c r="E47" s="96"/>
    </row>
    <row r="48" spans="2:5" ht="15.75">
      <c r="B48" s="154" t="s">
        <v>854</v>
      </c>
      <c r="C48" s="480"/>
      <c r="D48" s="480"/>
      <c r="E48" s="264" t="str">
        <f>mvalloc!D30</f>
        <v>  </v>
      </c>
    </row>
    <row r="49" spans="2:5" ht="15.75">
      <c r="B49" s="154" t="s">
        <v>855</v>
      </c>
      <c r="C49" s="480"/>
      <c r="D49" s="480"/>
      <c r="E49" s="264" t="str">
        <f>mvalloc!E30</f>
        <v>  </v>
      </c>
    </row>
    <row r="50" spans="2:5" ht="15.75">
      <c r="B50" s="168" t="s">
        <v>520</v>
      </c>
      <c r="C50" s="480"/>
      <c r="D50" s="480"/>
      <c r="E50" s="264" t="str">
        <f>mvalloc!F30</f>
        <v>  </v>
      </c>
    </row>
    <row r="51" spans="2:5" ht="15.75">
      <c r="B51" s="168" t="s">
        <v>232</v>
      </c>
      <c r="C51" s="480"/>
      <c r="D51" s="480"/>
      <c r="E51" s="264" t="str">
        <f>mvalloc!G30</f>
        <v> </v>
      </c>
    </row>
    <row r="52" spans="2:5" ht="15.75">
      <c r="B52" s="316"/>
      <c r="C52" s="480"/>
      <c r="D52" s="480"/>
      <c r="E52" s="96"/>
    </row>
    <row r="53" spans="2:5" ht="15.75">
      <c r="B53" s="316"/>
      <c r="C53" s="480"/>
      <c r="D53" s="480"/>
      <c r="E53" s="96"/>
    </row>
    <row r="54" spans="2:5" ht="15.75">
      <c r="B54" s="316"/>
      <c r="C54" s="480"/>
      <c r="D54" s="480"/>
      <c r="E54" s="96"/>
    </row>
    <row r="55" spans="2:5" ht="15.75">
      <c r="B55" s="304" t="s">
        <v>859</v>
      </c>
      <c r="C55" s="480"/>
      <c r="D55" s="480"/>
      <c r="E55" s="96"/>
    </row>
    <row r="56" spans="2:5" ht="15.75">
      <c r="B56" s="305" t="s">
        <v>966</v>
      </c>
      <c r="C56" s="480"/>
      <c r="D56" s="480"/>
      <c r="E56" s="96"/>
    </row>
    <row r="57" spans="2:5" ht="15.75">
      <c r="B57" s="305" t="s">
        <v>968</v>
      </c>
      <c r="C57" s="446">
        <f>IF(C58*0.1&lt;C56,"Exceed 10% Rule","")</f>
      </c>
      <c r="D57" s="446">
        <f>IF(D58*0.1&lt;D56,"Exceed 10% Rule","")</f>
      </c>
      <c r="E57" s="333">
        <f>IF(E58*0.1+E77&lt;E56,"Exceed 10% Rule","")</f>
      </c>
    </row>
    <row r="58" spans="2:5" ht="15.75">
      <c r="B58" s="307" t="s">
        <v>860</v>
      </c>
      <c r="C58" s="450">
        <f>SUM(C46:C56)</f>
        <v>0</v>
      </c>
      <c r="D58" s="450">
        <f>SUM(D46:D56)</f>
        <v>0</v>
      </c>
      <c r="E58" s="353">
        <f>SUM(E46:E56)</f>
        <v>0</v>
      </c>
    </row>
    <row r="59" spans="2:5" ht="15.75">
      <c r="B59" s="307" t="s">
        <v>861</v>
      </c>
      <c r="C59" s="450">
        <f>C44+C58</f>
        <v>0</v>
      </c>
      <c r="D59" s="450">
        <f>D44+D58</f>
        <v>0</v>
      </c>
      <c r="E59" s="353">
        <f>E44+E58</f>
        <v>0</v>
      </c>
    </row>
    <row r="60" spans="2:5" ht="15.75">
      <c r="B60" s="154" t="s">
        <v>864</v>
      </c>
      <c r="C60" s="305"/>
      <c r="D60" s="305"/>
      <c r="E60" s="164"/>
    </row>
    <row r="61" spans="2:5" ht="15.75">
      <c r="B61" s="316"/>
      <c r="C61" s="480"/>
      <c r="D61" s="480"/>
      <c r="E61" s="96"/>
    </row>
    <row r="62" spans="2:5" ht="15.75">
      <c r="B62" s="316"/>
      <c r="C62" s="480"/>
      <c r="D62" s="480"/>
      <c r="E62" s="96"/>
    </row>
    <row r="63" spans="2:5" ht="15.75">
      <c r="B63" s="316"/>
      <c r="C63" s="480"/>
      <c r="D63" s="480"/>
      <c r="E63" s="96"/>
    </row>
    <row r="64" spans="2:5" ht="15.75">
      <c r="B64" s="316"/>
      <c r="C64" s="480"/>
      <c r="D64" s="480"/>
      <c r="E64" s="96"/>
    </row>
    <row r="65" spans="2:5" ht="15.75">
      <c r="B65" s="316"/>
      <c r="C65" s="480"/>
      <c r="D65" s="480"/>
      <c r="E65" s="96"/>
    </row>
    <row r="66" spans="2:5" ht="15.75">
      <c r="B66" s="316"/>
      <c r="C66" s="480"/>
      <c r="D66" s="480"/>
      <c r="E66" s="96"/>
    </row>
    <row r="67" spans="2:5" ht="15.75">
      <c r="B67" s="305" t="s">
        <v>965</v>
      </c>
      <c r="C67" s="480"/>
      <c r="D67" s="480"/>
      <c r="E67" s="100">
        <f>Nhood!E28</f>
      </c>
    </row>
    <row r="68" spans="2:5" ht="15.75">
      <c r="B68" s="305" t="s">
        <v>966</v>
      </c>
      <c r="C68" s="480"/>
      <c r="D68" s="480"/>
      <c r="E68" s="96"/>
    </row>
    <row r="69" spans="2:5" ht="15.75">
      <c r="B69" s="305" t="s">
        <v>967</v>
      </c>
      <c r="C69" s="446">
        <f>IF(C70*0.1&lt;C68,"Exceed 10% Rule","")</f>
      </c>
      <c r="D69" s="446">
        <f>IF(D70*0.1&lt;D68,"Exceed 10% Rule","")</f>
      </c>
      <c r="E69" s="333">
        <f>IF(E70*0.1&lt;E68,"Exceed 10% Rule","")</f>
      </c>
    </row>
    <row r="70" spans="2:5" ht="15.75">
      <c r="B70" s="307" t="s">
        <v>865</v>
      </c>
      <c r="C70" s="450">
        <f>SUM(C61:C68)</f>
        <v>0</v>
      </c>
      <c r="D70" s="450">
        <f>SUM(D61:D68)</f>
        <v>0</v>
      </c>
      <c r="E70" s="353">
        <f>SUM(E61:E68)</f>
        <v>0</v>
      </c>
    </row>
    <row r="71" spans="2:5" ht="15.75">
      <c r="B71" s="154" t="s">
        <v>570</v>
      </c>
      <c r="C71" s="445">
        <f>C59-C70</f>
        <v>0</v>
      </c>
      <c r="D71" s="445">
        <f>D59-D70</f>
        <v>0</v>
      </c>
      <c r="E71" s="326" t="s">
        <v>462</v>
      </c>
    </row>
    <row r="72" spans="2:6" ht="15.75">
      <c r="B72" s="286" t="str">
        <f>CONCATENATE("",$E$1-2,"/",$E$1-1," Budget Authority Amount:")</f>
        <v>2010/2011 Budget Authority Amount:</v>
      </c>
      <c r="C72" s="278">
        <f>inputOth!B52</f>
        <v>0</v>
      </c>
      <c r="D72" s="278">
        <f>inputPrYr!D38</f>
        <v>0</v>
      </c>
      <c r="E72" s="326" t="s">
        <v>462</v>
      </c>
      <c r="F72" s="319"/>
    </row>
    <row r="73" spans="2:6" ht="15.75">
      <c r="B73" s="286"/>
      <c r="C73" s="700" t="s">
        <v>923</v>
      </c>
      <c r="D73" s="701"/>
      <c r="E73" s="96"/>
      <c r="F73" s="319">
        <f>IF(E70/0.95-E70&lt;E73,"Exceeds 5%","")</f>
      </c>
    </row>
    <row r="74" spans="2:5" ht="15.75">
      <c r="B74" s="487" t="str">
        <f>CONCATENATE(C87,"      ",D87)</f>
        <v>      </v>
      </c>
      <c r="C74" s="702" t="s">
        <v>924</v>
      </c>
      <c r="D74" s="703"/>
      <c r="E74" s="264">
        <f>E70+E73</f>
        <v>0</v>
      </c>
    </row>
    <row r="75" spans="2:5" ht="15.75">
      <c r="B75" s="487" t="str">
        <f>CONCATENATE(C88,"      ",D88)</f>
        <v>      </v>
      </c>
      <c r="C75" s="320"/>
      <c r="D75" s="109" t="s">
        <v>866</v>
      </c>
      <c r="E75" s="100">
        <f>IF(E74-E59&gt;0,E74-E59,0)</f>
        <v>0</v>
      </c>
    </row>
    <row r="76" spans="2:5" ht="15.75">
      <c r="B76" s="109"/>
      <c r="C76" s="469" t="s">
        <v>925</v>
      </c>
      <c r="D76" s="460">
        <f>inputOth!$E$23</f>
        <v>0.03</v>
      </c>
      <c r="E76" s="264">
        <f>ROUND(IF(D76&gt;0,(E75*D76),0),0)</f>
        <v>0</v>
      </c>
    </row>
    <row r="77" spans="2:5" ht="15.75">
      <c r="B77" s="69"/>
      <c r="C77" s="698" t="str">
        <f>CONCATENATE("Amount of  ",$E$1-1," Ad Valorem Tax")</f>
        <v>Amount of  2011 Ad Valorem Tax</v>
      </c>
      <c r="D77" s="699"/>
      <c r="E77" s="338">
        <f>E75+E76</f>
        <v>0</v>
      </c>
    </row>
    <row r="78" spans="2:5" ht="15.75">
      <c r="B78" s="321" t="s">
        <v>477</v>
      </c>
      <c r="C78" s="339"/>
      <c r="D78" s="69"/>
      <c r="E78" s="69"/>
    </row>
    <row r="85" spans="3:4" ht="15.75" hidden="1">
      <c r="C85" s="53">
        <f>IF(C33&gt;C35,"See Tab A","")</f>
      </c>
      <c r="D85" s="53">
        <f>IF(D33&gt;D35,"See Tab C","")</f>
      </c>
    </row>
    <row r="86" spans="3:4" ht="15.75" hidden="1">
      <c r="C86" s="53">
        <f>IF(C34&lt;0,"See Tab B","")</f>
      </c>
      <c r="D86" s="53">
        <f>IF(D34&lt;0,"See Tab D","")</f>
      </c>
    </row>
    <row r="87" spans="3:4" ht="15.75" hidden="1">
      <c r="C87" s="53">
        <f>IF(C70&gt;C72,"See Tab A","")</f>
      </c>
      <c r="D87" s="53">
        <f>IF(D70&gt;D72,"See Tab C","")</f>
      </c>
    </row>
    <row r="88" spans="3:4" ht="15.75" hidden="1">
      <c r="C88" s="53">
        <f>IF(C71&lt;0,"See Tab B","")</f>
      </c>
      <c r="D88" s="53">
        <f>IF(D71&lt;0,"See Tab D","")</f>
      </c>
    </row>
  </sheetData>
  <sheetProtection sheet="1"/>
  <mergeCells count="6">
    <mergeCell ref="C77:D77"/>
    <mergeCell ref="C40:D40"/>
    <mergeCell ref="C36:D36"/>
    <mergeCell ref="C37:D37"/>
    <mergeCell ref="C73:D73"/>
    <mergeCell ref="C74:D74"/>
  </mergeCells>
  <conditionalFormatting sqref="E36">
    <cfRule type="cellIs" priority="3" dxfId="350" operator="greaterThan" stopIfTrue="1">
      <formula>$E$33/0.95-$E$33</formula>
    </cfRule>
  </conditionalFormatting>
  <conditionalFormatting sqref="E73">
    <cfRule type="cellIs" priority="4" dxfId="350" operator="greaterThan" stopIfTrue="1">
      <formula>$E$70/0.95-$E$70</formula>
    </cfRule>
  </conditionalFormatting>
  <conditionalFormatting sqref="E68">
    <cfRule type="cellIs" priority="5" dxfId="350" operator="greaterThan" stopIfTrue="1">
      <formula>$E$70*0.1</formula>
    </cfRule>
  </conditionalFormatting>
  <conditionalFormatting sqref="C19">
    <cfRule type="cellIs" priority="6" dxfId="350" operator="greaterThan" stopIfTrue="1">
      <formula>$C$21*0.1</formula>
    </cfRule>
  </conditionalFormatting>
  <conditionalFormatting sqref="D19">
    <cfRule type="cellIs" priority="7" dxfId="350" operator="greaterThan" stopIfTrue="1">
      <formula>$D$21*0.1</formula>
    </cfRule>
  </conditionalFormatting>
  <conditionalFormatting sqref="E31">
    <cfRule type="cellIs" priority="8" dxfId="350" operator="greaterThan" stopIfTrue="1">
      <formula>$E$33*0.1</formula>
    </cfRule>
  </conditionalFormatting>
  <conditionalFormatting sqref="E19">
    <cfRule type="cellIs" priority="9" dxfId="350" operator="greaterThan" stopIfTrue="1">
      <formula>$E$21*0.1+E40</formula>
    </cfRule>
  </conditionalFormatting>
  <conditionalFormatting sqref="E56">
    <cfRule type="cellIs" priority="10" dxfId="350" operator="greaterThan" stopIfTrue="1">
      <formula>$E$58*0.1+E77</formula>
    </cfRule>
  </conditionalFormatting>
  <conditionalFormatting sqref="C68">
    <cfRule type="cellIs" priority="11" dxfId="2" operator="greaterThan" stopIfTrue="1">
      <formula>$C$70*0.1</formula>
    </cfRule>
  </conditionalFormatting>
  <conditionalFormatting sqref="D68">
    <cfRule type="cellIs" priority="12" dxfId="2" operator="greaterThan" stopIfTrue="1">
      <formula>$D$70*0.1</formula>
    </cfRule>
  </conditionalFormatting>
  <conditionalFormatting sqref="D56">
    <cfRule type="cellIs" priority="13" dxfId="2" operator="greaterThan" stopIfTrue="1">
      <formula>$D$58*0.1</formula>
    </cfRule>
  </conditionalFormatting>
  <conditionalFormatting sqref="C56">
    <cfRule type="cellIs" priority="14" dxfId="2" operator="greaterThan" stopIfTrue="1">
      <formula>$C$58*0.1</formula>
    </cfRule>
  </conditionalFormatting>
  <conditionalFormatting sqref="C31">
    <cfRule type="cellIs" priority="15" dxfId="2" operator="greaterThan" stopIfTrue="1">
      <formula>$C$33*0.1</formula>
    </cfRule>
  </conditionalFormatting>
  <conditionalFormatting sqref="D31">
    <cfRule type="cellIs" priority="16" dxfId="2" operator="greaterThan" stopIfTrue="1">
      <formula>$D$33*0.1</formula>
    </cfRule>
  </conditionalFormatting>
  <conditionalFormatting sqref="C33">
    <cfRule type="cellIs" priority="17" dxfId="2" operator="greaterThan" stopIfTrue="1">
      <formula>$C$35</formula>
    </cfRule>
  </conditionalFormatting>
  <conditionalFormatting sqref="D33">
    <cfRule type="cellIs" priority="18" dxfId="2" operator="greaterThan" stopIfTrue="1">
      <formula>$D$35</formula>
    </cfRule>
  </conditionalFormatting>
  <conditionalFormatting sqref="C34 C71">
    <cfRule type="cellIs" priority="19" dxfId="2" operator="lessThan" stopIfTrue="1">
      <formula>0</formula>
    </cfRule>
  </conditionalFormatting>
  <conditionalFormatting sqref="C70">
    <cfRule type="cellIs" priority="20" dxfId="2" operator="greaterThan" stopIfTrue="1">
      <formula>$C$72</formula>
    </cfRule>
  </conditionalFormatting>
  <conditionalFormatting sqref="D70">
    <cfRule type="cellIs" priority="21" dxfId="2" operator="greaterThan" stopIfTrue="1">
      <formula>$D$72</formula>
    </cfRule>
  </conditionalFormatting>
  <conditionalFormatting sqref="D34 D71">
    <cfRule type="cellIs" priority="2" dxfId="0" operator="lessThan" stopIfTrue="1">
      <formula>0</formula>
    </cfRule>
  </conditionalFormatting>
  <printOptions/>
  <pageMargins left="1.12" right="0.5" top="0.74" bottom="0.34" header="0.5" footer="0"/>
  <pageSetup blackAndWhite="1" fitToHeight="1" fitToWidth="1" horizontalDpi="300" verticalDpi="300" orientation="portrait" scale="65" r:id="rId1"/>
  <headerFooter alignWithMargins="0">
    <oddHeader>&amp;RState of Kansas
County
</oddHeader>
  </headerFooter>
</worksheet>
</file>

<file path=xl/worksheets/sheet3.xml><?xml version="1.0" encoding="utf-8"?>
<worksheet xmlns="http://schemas.openxmlformats.org/spreadsheetml/2006/main" xmlns:r="http://schemas.openxmlformats.org/officeDocument/2006/relationships">
  <sheetPr>
    <pageSetUpPr fitToPage="1"/>
  </sheetPr>
  <dimension ref="A1:E64"/>
  <sheetViews>
    <sheetView zoomScalePageLayoutView="0" workbookViewId="0" topLeftCell="A34">
      <selection activeCell="E24" sqref="E24"/>
    </sheetView>
  </sheetViews>
  <sheetFormatPr defaultColWidth="8.796875" defaultRowHeight="15"/>
  <cols>
    <col min="1" max="1" width="15.796875" style="48" customWidth="1"/>
    <col min="2" max="2" width="20.796875" style="48" customWidth="1"/>
    <col min="3" max="3" width="9.796875" style="48" customWidth="1"/>
    <col min="4" max="4" width="15.296875" style="48" customWidth="1"/>
    <col min="5" max="5" width="15.796875" style="48" customWidth="1"/>
    <col min="6" max="16384" width="8.8984375" style="48" customWidth="1"/>
  </cols>
  <sheetData>
    <row r="1" spans="1:5" ht="15.75">
      <c r="A1" s="127" t="str">
        <f>inputPrYr!C3</f>
        <v>MORRIS COUNTY</v>
      </c>
      <c r="B1" s="128"/>
      <c r="C1" s="128"/>
      <c r="D1" s="128"/>
      <c r="E1" s="110">
        <f>inputPrYr!C5</f>
        <v>2012</v>
      </c>
    </row>
    <row r="2" spans="1:5" ht="15">
      <c r="A2" s="128"/>
      <c r="B2" s="128"/>
      <c r="C2" s="128"/>
      <c r="D2" s="128"/>
      <c r="E2" s="128"/>
    </row>
    <row r="3" spans="1:5" ht="15.75">
      <c r="A3" s="69"/>
      <c r="B3" s="69"/>
      <c r="C3" s="69"/>
      <c r="D3" s="69"/>
      <c r="E3" s="129"/>
    </row>
    <row r="4" spans="1:5" ht="15.75">
      <c r="A4" s="82" t="str">
        <f>CONCATENATE("From the County Clerks ",E1," Budget Information:")</f>
        <v>From the County Clerks 2012 Budget Information:</v>
      </c>
      <c r="B4" s="81"/>
      <c r="C4" s="111"/>
      <c r="D4" s="69"/>
      <c r="E4" s="129"/>
    </row>
    <row r="5" spans="1:5" ht="15.75">
      <c r="A5" s="130" t="str">
        <f>CONCATENATE("Total Assessed Valuation for ",E1-1,"")</f>
        <v>Total Assessed Valuation for 2011</v>
      </c>
      <c r="B5" s="99"/>
      <c r="C5" s="99"/>
      <c r="D5" s="99"/>
      <c r="E5" s="96">
        <v>64442823</v>
      </c>
    </row>
    <row r="6" spans="1:5" ht="15.75">
      <c r="A6" s="130" t="str">
        <f>CONCATENATE("New Improvements for ",E1-1,"")</f>
        <v>New Improvements for 2011</v>
      </c>
      <c r="B6" s="99"/>
      <c r="C6" s="99"/>
      <c r="D6" s="99"/>
      <c r="E6" s="131">
        <v>661944</v>
      </c>
    </row>
    <row r="7" spans="1:5" ht="15.75">
      <c r="A7" s="130" t="str">
        <f>CONCATENATE("Personal Property excluding oil, gas, and mobile homes - ",E1-1,"")</f>
        <v>Personal Property excluding oil, gas, and mobile homes - 2011</v>
      </c>
      <c r="B7" s="99"/>
      <c r="C7" s="99"/>
      <c r="D7" s="99"/>
      <c r="E7" s="131">
        <v>2585017</v>
      </c>
    </row>
    <row r="8" spans="1:5" ht="15.75">
      <c r="A8" s="130" t="str">
        <f>CONCATENATE("Property that has changed in use for ",E1-1,"")</f>
        <v>Property that has changed in use for 2011</v>
      </c>
      <c r="B8" s="99"/>
      <c r="C8" s="99"/>
      <c r="D8" s="99"/>
      <c r="E8" s="131">
        <v>1877325</v>
      </c>
    </row>
    <row r="9" spans="1:5" ht="15.75">
      <c r="A9" s="130" t="str">
        <f>CONCATENATE("Personal Property excluding oil, gas, and mobile homes - ",E1-2,"")</f>
        <v>Personal Property excluding oil, gas, and mobile homes - 2010</v>
      </c>
      <c r="B9" s="99"/>
      <c r="C9" s="99"/>
      <c r="D9" s="99"/>
      <c r="E9" s="131">
        <v>2556866</v>
      </c>
    </row>
    <row r="10" spans="1:5" ht="15.75">
      <c r="A10" s="130" t="str">
        <f>CONCATENATE("Gross earnings (intangible) tax estimate for ",E1,"")</f>
        <v>Gross earnings (intangible) tax estimate for 2012</v>
      </c>
      <c r="B10" s="99"/>
      <c r="C10" s="99"/>
      <c r="D10" s="99"/>
      <c r="E10" s="96"/>
    </row>
    <row r="11" spans="1:5" ht="15.75">
      <c r="A11" s="130" t="s">
        <v>229</v>
      </c>
      <c r="B11" s="99"/>
      <c r="C11" s="99"/>
      <c r="D11" s="99"/>
      <c r="E11" s="96"/>
    </row>
    <row r="12" spans="1:5" ht="15.75">
      <c r="A12" s="69"/>
      <c r="B12" s="69"/>
      <c r="C12" s="69"/>
      <c r="D12" s="86"/>
      <c r="E12" s="86"/>
    </row>
    <row r="13" spans="1:5" ht="15.75">
      <c r="A13" s="82" t="str">
        <f>CONCATENATE("From the County Treasurer's ",E1," Budget Information:")</f>
        <v>From the County Treasurer's 2012 Budget Information:</v>
      </c>
      <c r="B13" s="81"/>
      <c r="C13" s="81"/>
      <c r="D13" s="129"/>
      <c r="E13" s="129"/>
    </row>
    <row r="14" spans="1:5" ht="15.75">
      <c r="A14" s="97" t="s">
        <v>447</v>
      </c>
      <c r="B14" s="98"/>
      <c r="C14" s="98"/>
      <c r="D14" s="132"/>
      <c r="E14" s="96">
        <v>387245</v>
      </c>
    </row>
    <row r="15" spans="1:5" ht="15.75">
      <c r="A15" s="130" t="s">
        <v>448</v>
      </c>
      <c r="B15" s="99"/>
      <c r="C15" s="99"/>
      <c r="D15" s="133"/>
      <c r="E15" s="96">
        <v>10349</v>
      </c>
    </row>
    <row r="16" spans="1:5" ht="15.75">
      <c r="A16" s="130" t="s">
        <v>533</v>
      </c>
      <c r="B16" s="99"/>
      <c r="C16" s="99"/>
      <c r="D16" s="133"/>
      <c r="E16" s="96">
        <v>31316</v>
      </c>
    </row>
    <row r="17" spans="1:5" ht="15.75">
      <c r="A17" s="130" t="s">
        <v>230</v>
      </c>
      <c r="B17" s="99"/>
      <c r="C17" s="99"/>
      <c r="D17" s="134"/>
      <c r="E17" s="96"/>
    </row>
    <row r="18" spans="1:5" ht="15.75">
      <c r="A18" s="130" t="s">
        <v>231</v>
      </c>
      <c r="B18" s="99"/>
      <c r="C18" s="99"/>
      <c r="D18" s="134"/>
      <c r="E18" s="96"/>
    </row>
    <row r="19" spans="1:5" ht="15.75">
      <c r="A19" s="130" t="s">
        <v>232</v>
      </c>
      <c r="B19" s="99"/>
      <c r="C19" s="99"/>
      <c r="D19" s="134"/>
      <c r="E19" s="96"/>
    </row>
    <row r="20" spans="1:5" ht="15.75">
      <c r="A20" s="69"/>
      <c r="B20" s="69"/>
      <c r="C20" s="69"/>
      <c r="D20" s="69"/>
      <c r="E20" s="69"/>
    </row>
    <row r="21" spans="1:5" ht="15.75">
      <c r="A21" s="135" t="s">
        <v>233</v>
      </c>
      <c r="B21" s="77"/>
      <c r="C21" s="77"/>
      <c r="D21" s="69"/>
      <c r="E21" s="69"/>
    </row>
    <row r="22" spans="1:5" ht="15.75">
      <c r="A22" s="75" t="str">
        <f>CONCATENATE("Actual Delinquency for ",E1-3," Tax - (round to three decimal places)")</f>
        <v>Actual Delinquency for 2009 Tax - (round to three decimal places)</v>
      </c>
      <c r="B22" s="71"/>
      <c r="C22" s="69"/>
      <c r="D22" s="69"/>
      <c r="E22" s="459">
        <v>1.981</v>
      </c>
    </row>
    <row r="23" spans="1:5" ht="15.75">
      <c r="A23" s="75" t="s">
        <v>234</v>
      </c>
      <c r="B23" s="75"/>
      <c r="C23" s="71"/>
      <c r="D23" s="71"/>
      <c r="E23" s="462">
        <v>0.03</v>
      </c>
    </row>
    <row r="24" spans="1:5" ht="15.75">
      <c r="A24" s="136" t="s">
        <v>235</v>
      </c>
      <c r="B24" s="136"/>
      <c r="C24" s="137"/>
      <c r="D24" s="137"/>
      <c r="E24" s="648" t="s">
        <v>46</v>
      </c>
    </row>
    <row r="25" spans="1:5" ht="15">
      <c r="A25" s="128"/>
      <c r="B25" s="128"/>
      <c r="C25" s="128"/>
      <c r="D25" s="128"/>
      <c r="E25" s="128"/>
    </row>
    <row r="26" spans="1:5" ht="15.75">
      <c r="A26" s="662" t="str">
        <f>CONCATENATE("From the ",E1-2," Budget Certificate Page")</f>
        <v>From the 2010 Budget Certificate Page</v>
      </c>
      <c r="B26" s="663"/>
      <c r="C26" s="128"/>
      <c r="D26" s="128"/>
      <c r="E26" s="128"/>
    </row>
    <row r="27" spans="1:5" ht="15.75">
      <c r="A27" s="138"/>
      <c r="B27" s="664" t="str">
        <f>CONCATENATE("",E1-2,"                         Expenditure Amt Budget Authority")</f>
        <v>2010                         Expenditure Amt Budget Authority</v>
      </c>
      <c r="C27" s="667" t="str">
        <f>CONCATENATE("Note: If the ",E1-2," budget was amended, then the")</f>
        <v>Note: If the 2010 budget was amended, then the</v>
      </c>
      <c r="D27" s="668"/>
      <c r="E27" s="668"/>
    </row>
    <row r="28" spans="1:5" ht="15.75">
      <c r="A28" s="139" t="s">
        <v>299</v>
      </c>
      <c r="B28" s="665"/>
      <c r="C28" s="140" t="s">
        <v>300</v>
      </c>
      <c r="D28" s="141"/>
      <c r="E28" s="141"/>
    </row>
    <row r="29" spans="1:5" ht="15.75">
      <c r="A29" s="142"/>
      <c r="B29" s="666"/>
      <c r="C29" s="140" t="s">
        <v>301</v>
      </c>
      <c r="D29" s="141"/>
      <c r="E29" s="141"/>
    </row>
    <row r="30" spans="1:5" ht="15.75">
      <c r="A30" s="143" t="str">
        <f>inputPrYr!B16</f>
        <v>General</v>
      </c>
      <c r="B30" s="144">
        <v>2018974</v>
      </c>
      <c r="C30" s="140"/>
      <c r="D30" s="141"/>
      <c r="E30" s="141"/>
    </row>
    <row r="31" spans="1:5" ht="15.75">
      <c r="A31" s="143" t="str">
        <f>inputPrYr!B17</f>
        <v>Debt Service</v>
      </c>
      <c r="B31" s="90"/>
      <c r="C31" s="140"/>
      <c r="D31" s="141"/>
      <c r="E31" s="141"/>
    </row>
    <row r="32" spans="1:5" ht="15.75">
      <c r="A32" s="143" t="str">
        <f>inputPrYr!B18</f>
        <v>Road &amp; Bridge</v>
      </c>
      <c r="B32" s="90">
        <v>2106600</v>
      </c>
      <c r="C32" s="128"/>
      <c r="D32" s="128"/>
      <c r="E32" s="128"/>
    </row>
    <row r="33" spans="1:5" ht="15.75">
      <c r="A33" s="143" t="str">
        <f>inputPrYr!B19</f>
        <v>Special Bridge</v>
      </c>
      <c r="B33" s="90">
        <v>110000</v>
      </c>
      <c r="C33" s="128"/>
      <c r="D33" s="128"/>
      <c r="E33" s="128"/>
    </row>
    <row r="34" spans="1:5" ht="15.75">
      <c r="A34" s="143" t="str">
        <f>inputPrYr!B20</f>
        <v>Reappraisal</v>
      </c>
      <c r="B34" s="90">
        <v>169000</v>
      </c>
      <c r="C34" s="128"/>
      <c r="D34" s="128"/>
      <c r="E34" s="128"/>
    </row>
    <row r="35" spans="1:5" ht="15.75">
      <c r="A35" s="143" t="str">
        <f>inputPrYr!B21</f>
        <v>County Health</v>
      </c>
      <c r="B35" s="90">
        <v>103076</v>
      </c>
      <c r="C35" s="128"/>
      <c r="D35" s="128"/>
      <c r="E35" s="128"/>
    </row>
    <row r="36" spans="1:5" ht="15.75">
      <c r="A36" s="143" t="str">
        <f>inputPrYr!B22</f>
        <v>Noxious Weed</v>
      </c>
      <c r="B36" s="90">
        <v>175250</v>
      </c>
      <c r="C36" s="128"/>
      <c r="D36" s="128"/>
      <c r="E36" s="128"/>
    </row>
    <row r="37" spans="1:5" ht="15.75">
      <c r="A37" s="143" t="str">
        <f>inputPrYr!B23</f>
        <v>Ambulance</v>
      </c>
      <c r="B37" s="90">
        <v>135076</v>
      </c>
      <c r="C37" s="128"/>
      <c r="D37" s="128"/>
      <c r="E37" s="128"/>
    </row>
    <row r="38" spans="1:5" ht="15.75">
      <c r="A38" s="143" t="str">
        <f>inputPrYr!B24</f>
        <v>Mental Health</v>
      </c>
      <c r="B38" s="90">
        <v>47375</v>
      </c>
      <c r="C38" s="128"/>
      <c r="D38" s="128"/>
      <c r="E38" s="128"/>
    </row>
    <row r="39" spans="1:5" ht="15.75">
      <c r="A39" s="143" t="str">
        <f>inputPrYr!B25</f>
        <v>Hospital Maintenance</v>
      </c>
      <c r="B39" s="90">
        <v>126152</v>
      </c>
      <c r="C39" s="128"/>
      <c r="D39" s="128"/>
      <c r="E39" s="128"/>
    </row>
    <row r="40" spans="1:5" ht="15.75">
      <c r="A40" s="143" t="str">
        <f>inputPrYr!B26</f>
        <v>Employee Benefits</v>
      </c>
      <c r="B40" s="90">
        <v>674400</v>
      </c>
      <c r="C40" s="128"/>
      <c r="D40" s="128"/>
      <c r="E40" s="128"/>
    </row>
    <row r="41" spans="1:5" ht="15.75">
      <c r="A41" s="143">
        <f>inputPrYr!B27</f>
        <v>0</v>
      </c>
      <c r="B41" s="90"/>
      <c r="C41" s="128"/>
      <c r="D41" s="128"/>
      <c r="E41" s="128"/>
    </row>
    <row r="42" spans="1:5" ht="15.75">
      <c r="A42" s="143">
        <f>inputPrYr!B28</f>
        <v>0</v>
      </c>
      <c r="B42" s="90"/>
      <c r="C42" s="128"/>
      <c r="D42" s="128"/>
      <c r="E42" s="128"/>
    </row>
    <row r="43" spans="1:5" ht="15.75">
      <c r="A43" s="143">
        <f>inputPrYr!B29</f>
        <v>0</v>
      </c>
      <c r="B43" s="90"/>
      <c r="C43" s="128"/>
      <c r="D43" s="128"/>
      <c r="E43" s="128"/>
    </row>
    <row r="44" spans="1:5" ht="15.75">
      <c r="A44" s="143">
        <f>inputPrYr!B30</f>
        <v>0</v>
      </c>
      <c r="B44" s="90"/>
      <c r="C44" s="128"/>
      <c r="D44" s="128"/>
      <c r="E44" s="128"/>
    </row>
    <row r="45" spans="1:5" ht="15.75">
      <c r="A45" s="143">
        <f>inputPrYr!B31</f>
        <v>0</v>
      </c>
      <c r="B45" s="90"/>
      <c r="C45" s="128"/>
      <c r="D45" s="128"/>
      <c r="E45" s="128"/>
    </row>
    <row r="46" spans="1:5" ht="15.75">
      <c r="A46" s="143">
        <f>inputPrYr!B32</f>
        <v>0</v>
      </c>
      <c r="B46" s="90"/>
      <c r="C46" s="128"/>
      <c r="D46" s="128"/>
      <c r="E46" s="128"/>
    </row>
    <row r="47" spans="1:5" ht="15.75">
      <c r="A47" s="143">
        <f>inputPrYr!B33</f>
        <v>0</v>
      </c>
      <c r="B47" s="90"/>
      <c r="C47" s="128"/>
      <c r="D47" s="128"/>
      <c r="E47" s="128"/>
    </row>
    <row r="48" spans="1:5" ht="15.75">
      <c r="A48" s="143">
        <f>inputPrYr!B34</f>
        <v>0</v>
      </c>
      <c r="B48" s="90"/>
      <c r="C48" s="128"/>
      <c r="D48" s="128"/>
      <c r="E48" s="128"/>
    </row>
    <row r="49" spans="1:5" ht="15.75">
      <c r="A49" s="143">
        <f>inputPrYr!B35</f>
        <v>0</v>
      </c>
      <c r="B49" s="90"/>
      <c r="C49" s="128"/>
      <c r="D49" s="128"/>
      <c r="E49" s="128"/>
    </row>
    <row r="50" spans="1:5" ht="15.75">
      <c r="A50" s="143">
        <f>inputPrYr!B36</f>
        <v>0</v>
      </c>
      <c r="B50" s="90"/>
      <c r="C50" s="128"/>
      <c r="D50" s="128"/>
      <c r="E50" s="128"/>
    </row>
    <row r="51" spans="1:5" ht="15.75">
      <c r="A51" s="143">
        <f>inputPrYr!B37</f>
        <v>0</v>
      </c>
      <c r="B51" s="90"/>
      <c r="C51" s="128"/>
      <c r="D51" s="128"/>
      <c r="E51" s="128"/>
    </row>
    <row r="52" spans="1:5" ht="15.75">
      <c r="A52" s="143">
        <f>inputPrYr!B38</f>
        <v>0</v>
      </c>
      <c r="B52" s="90"/>
      <c r="C52" s="128"/>
      <c r="D52" s="128"/>
      <c r="E52" s="128"/>
    </row>
    <row r="53" spans="1:5" ht="15.75">
      <c r="A53" s="143">
        <f>inputPrYr!B39</f>
        <v>0</v>
      </c>
      <c r="B53" s="90"/>
      <c r="C53" s="128"/>
      <c r="D53" s="128"/>
      <c r="E53" s="128"/>
    </row>
    <row r="54" spans="1:5" ht="15.75">
      <c r="A54" s="143">
        <f>inputPrYr!B40</f>
        <v>0</v>
      </c>
      <c r="B54" s="90"/>
      <c r="C54" s="128"/>
      <c r="D54" s="128"/>
      <c r="E54" s="128"/>
    </row>
    <row r="55" spans="1:5" ht="15.75">
      <c r="A55" s="143" t="str">
        <f>inputPrYr!B44</f>
        <v>Hospital Revenue Bond</v>
      </c>
      <c r="B55" s="90">
        <v>60931</v>
      </c>
      <c r="C55" s="128"/>
      <c r="D55" s="128"/>
      <c r="E55" s="128"/>
    </row>
    <row r="56" spans="1:5" ht="15.75">
      <c r="A56" s="143" t="str">
        <f>inputPrYr!B45</f>
        <v>Solid Waste</v>
      </c>
      <c r="B56" s="90">
        <v>387168</v>
      </c>
      <c r="C56" s="128"/>
      <c r="D56" s="128"/>
      <c r="E56" s="128"/>
    </row>
    <row r="57" spans="1:5" ht="15.75">
      <c r="A57" s="143" t="str">
        <f>inputPrYr!B46</f>
        <v>911 Emergency</v>
      </c>
      <c r="B57" s="90">
        <v>93500</v>
      </c>
      <c r="C57" s="128"/>
      <c r="D57" s="128"/>
      <c r="E57" s="128"/>
    </row>
    <row r="58" spans="1:5" ht="15.75">
      <c r="A58" s="143" t="str">
        <f>inputPrYr!B47</f>
        <v>911 Wireless</v>
      </c>
      <c r="B58" s="90">
        <v>20000</v>
      </c>
      <c r="C58" s="128"/>
      <c r="D58" s="128"/>
      <c r="E58" s="128"/>
    </row>
    <row r="59" spans="1:5" ht="15.75">
      <c r="A59" s="143" t="str">
        <f>inputPrYr!B48</f>
        <v>Diversion</v>
      </c>
      <c r="B59" s="90">
        <v>35989</v>
      </c>
      <c r="C59" s="128"/>
      <c r="D59" s="128"/>
      <c r="E59" s="128"/>
    </row>
    <row r="60" spans="1:5" ht="15.75">
      <c r="A60" s="143">
        <f>inputPrYr!B49</f>
        <v>0</v>
      </c>
      <c r="B60" s="90"/>
      <c r="C60" s="128"/>
      <c r="D60" s="128"/>
      <c r="E60" s="128"/>
    </row>
    <row r="61" spans="1:5" ht="15.75">
      <c r="A61" s="143">
        <f>inputPrYr!B50</f>
        <v>0</v>
      </c>
      <c r="B61" s="90"/>
      <c r="C61" s="128"/>
      <c r="D61" s="128"/>
      <c r="E61" s="128"/>
    </row>
    <row r="62" spans="1:5" ht="15.75">
      <c r="A62" s="143">
        <f>inputPrYr!B51</f>
        <v>0</v>
      </c>
      <c r="B62" s="90"/>
      <c r="C62" s="128"/>
      <c r="D62" s="128"/>
      <c r="E62" s="128"/>
    </row>
    <row r="63" spans="1:5" ht="15.75">
      <c r="A63" s="143">
        <f>inputPrYr!B52</f>
        <v>0</v>
      </c>
      <c r="B63" s="90"/>
      <c r="C63" s="128"/>
      <c r="D63" s="128"/>
      <c r="E63" s="128"/>
    </row>
    <row r="64" spans="1:5" ht="15.75">
      <c r="A64" s="143">
        <f>inputPrYr!B53</f>
        <v>0</v>
      </c>
      <c r="B64" s="90"/>
      <c r="C64" s="128"/>
      <c r="D64" s="128"/>
      <c r="E64" s="128"/>
    </row>
  </sheetData>
  <sheetProtection sheet="1"/>
  <mergeCells count="3">
    <mergeCell ref="A26:B26"/>
    <mergeCell ref="B27:B29"/>
    <mergeCell ref="C27:E27"/>
  </mergeCells>
  <printOptions/>
  <pageMargins left="0.75" right="0.75" top="1" bottom="1" header="0.5" footer="0.5"/>
  <pageSetup blackAndWhite="1" fitToHeight="1" fitToWidth="1" horizontalDpi="600" verticalDpi="600" orientation="portrait" scale="72" r:id="rId1"/>
</worksheet>
</file>

<file path=xl/worksheets/sheet30.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1">
      <selection activeCell="D70" sqref="D70"/>
    </sheetView>
  </sheetViews>
  <sheetFormatPr defaultColWidth="8.796875" defaultRowHeight="15"/>
  <cols>
    <col min="1" max="1" width="2.3984375" style="53" customWidth="1"/>
    <col min="2" max="2" width="31.09765625" style="53" customWidth="1"/>
    <col min="3" max="4" width="15.796875" style="53" customWidth="1"/>
    <col min="5" max="5" width="16.19921875" style="53" customWidth="1"/>
    <col min="6" max="16384" width="8.8984375" style="53" customWidth="1"/>
  </cols>
  <sheetData>
    <row r="1" spans="2:5" ht="15.75">
      <c r="B1" s="205" t="str">
        <f>inputPrYr!C3</f>
        <v>MORRIS COUNTY</v>
      </c>
      <c r="C1" s="69"/>
      <c r="D1" s="69"/>
      <c r="E1" s="285">
        <f>inputPrYr!C5</f>
        <v>2012</v>
      </c>
    </row>
    <row r="2" spans="2:5" ht="15.75">
      <c r="B2" s="69"/>
      <c r="C2" s="69"/>
      <c r="D2" s="69"/>
      <c r="E2" s="109"/>
    </row>
    <row r="3" spans="2:5" ht="15.75">
      <c r="B3" s="214"/>
      <c r="C3" s="322"/>
      <c r="D3" s="322"/>
      <c r="E3" s="323"/>
    </row>
    <row r="4" spans="2:5" ht="15.75">
      <c r="B4" s="484" t="s">
        <v>528</v>
      </c>
      <c r="C4" s="146"/>
      <c r="D4" s="146"/>
      <c r="E4" s="146"/>
    </row>
    <row r="5" spans="2:5" ht="15.75">
      <c r="B5" s="68" t="s">
        <v>851</v>
      </c>
      <c r="C5" s="539" t="s">
        <v>479</v>
      </c>
      <c r="D5" s="540" t="s">
        <v>226</v>
      </c>
      <c r="E5" s="536" t="s">
        <v>227</v>
      </c>
    </row>
    <row r="6" spans="2:5" ht="15.75">
      <c r="B6" s="472">
        <f>inputPrYr!$B$39</f>
        <v>0</v>
      </c>
      <c r="C6" s="448">
        <f>E1-2</f>
        <v>2010</v>
      </c>
      <c r="D6" s="448">
        <f>E1-1</f>
        <v>2011</v>
      </c>
      <c r="E6" s="311">
        <f>E1</f>
        <v>2012</v>
      </c>
    </row>
    <row r="7" spans="2:5" ht="15.75">
      <c r="B7" s="154" t="s">
        <v>569</v>
      </c>
      <c r="C7" s="480"/>
      <c r="D7" s="447">
        <f>C34</f>
        <v>0</v>
      </c>
      <c r="E7" s="264">
        <f>D34</f>
        <v>0</v>
      </c>
    </row>
    <row r="8" spans="2:5" ht="15.75">
      <c r="B8" s="289" t="s">
        <v>571</v>
      </c>
      <c r="C8" s="168"/>
      <c r="D8" s="168"/>
      <c r="E8" s="112"/>
    </row>
    <row r="9" spans="2:5" ht="15.75">
      <c r="B9" s="154" t="s">
        <v>852</v>
      </c>
      <c r="C9" s="480"/>
      <c r="D9" s="447">
        <f>inputPrYr!E39</f>
        <v>0</v>
      </c>
      <c r="E9" s="326" t="s">
        <v>462</v>
      </c>
    </row>
    <row r="10" spans="2:5" ht="15.75">
      <c r="B10" s="154" t="s">
        <v>853</v>
      </c>
      <c r="C10" s="480"/>
      <c r="D10" s="480"/>
      <c r="E10" s="96"/>
    </row>
    <row r="11" spans="2:5" ht="15.75">
      <c r="B11" s="154" t="s">
        <v>854</v>
      </c>
      <c r="C11" s="480"/>
      <c r="D11" s="480"/>
      <c r="E11" s="264" t="str">
        <f>mvalloc!D31</f>
        <v>  </v>
      </c>
    </row>
    <row r="12" spans="2:5" ht="15.75">
      <c r="B12" s="154" t="s">
        <v>855</v>
      </c>
      <c r="C12" s="480"/>
      <c r="D12" s="480"/>
      <c r="E12" s="264" t="str">
        <f>mvalloc!E31</f>
        <v>  </v>
      </c>
    </row>
    <row r="13" spans="2:5" ht="15.75">
      <c r="B13" s="168" t="s">
        <v>520</v>
      </c>
      <c r="C13" s="480"/>
      <c r="D13" s="480"/>
      <c r="E13" s="264" t="str">
        <f>mvalloc!F31</f>
        <v>  </v>
      </c>
    </row>
    <row r="14" spans="2:5" ht="15.75">
      <c r="B14" s="168" t="s">
        <v>232</v>
      </c>
      <c r="C14" s="480"/>
      <c r="D14" s="480"/>
      <c r="E14" s="264" t="str">
        <f>mvalloc!G31</f>
        <v> </v>
      </c>
    </row>
    <row r="15" spans="2:5" ht="15.75">
      <c r="B15" s="316"/>
      <c r="C15" s="480"/>
      <c r="D15" s="480"/>
      <c r="E15" s="96"/>
    </row>
    <row r="16" spans="2:5" ht="15.75">
      <c r="B16" s="316"/>
      <c r="C16" s="480"/>
      <c r="D16" s="480"/>
      <c r="E16" s="96"/>
    </row>
    <row r="17" spans="2:5" ht="15.75">
      <c r="B17" s="316"/>
      <c r="C17" s="480"/>
      <c r="D17" s="480"/>
      <c r="E17" s="96"/>
    </row>
    <row r="18" spans="2:5" ht="15.75">
      <c r="B18" s="304" t="s">
        <v>859</v>
      </c>
      <c r="C18" s="480"/>
      <c r="D18" s="480"/>
      <c r="E18" s="96"/>
    </row>
    <row r="19" spans="2:5" ht="15.75">
      <c r="B19" s="305" t="s">
        <v>966</v>
      </c>
      <c r="C19" s="480"/>
      <c r="D19" s="480"/>
      <c r="E19" s="96"/>
    </row>
    <row r="20" spans="2:5" ht="15.75">
      <c r="B20" s="305" t="s">
        <v>968</v>
      </c>
      <c r="C20" s="446">
        <f>IF(C21*0.1&lt;C19,"Exceed 10% Rule","")</f>
      </c>
      <c r="D20" s="446">
        <f>IF(D21*0.1&lt;D19,"Exceed 10% Rule","")</f>
      </c>
      <c r="E20" s="333">
        <f>IF(E21*0.1+E40&lt;E19,"Exceed 10% Rule","")</f>
      </c>
    </row>
    <row r="21" spans="2:5" ht="15.75">
      <c r="B21" s="307" t="s">
        <v>860</v>
      </c>
      <c r="C21" s="450">
        <f>SUM(C9:C19)</f>
        <v>0</v>
      </c>
      <c r="D21" s="450">
        <f>SUM(D9:D19)</f>
        <v>0</v>
      </c>
      <c r="E21" s="353">
        <f>SUM(E9:E19)</f>
        <v>0</v>
      </c>
    </row>
    <row r="22" spans="2:5" ht="15.75">
      <c r="B22" s="307" t="s">
        <v>861</v>
      </c>
      <c r="C22" s="450">
        <f>C7+C21</f>
        <v>0</v>
      </c>
      <c r="D22" s="450">
        <f>D7+D21</f>
        <v>0</v>
      </c>
      <c r="E22" s="353">
        <f>E7+E21</f>
        <v>0</v>
      </c>
    </row>
    <row r="23" spans="2:5" ht="15.75">
      <c r="B23" s="154" t="s">
        <v>864</v>
      </c>
      <c r="C23" s="305"/>
      <c r="D23" s="305"/>
      <c r="E23" s="164"/>
    </row>
    <row r="24" spans="2:5" ht="15.75">
      <c r="B24" s="316"/>
      <c r="C24" s="480"/>
      <c r="D24" s="480"/>
      <c r="E24" s="96"/>
    </row>
    <row r="25" spans="2:5" ht="15.75">
      <c r="B25" s="316"/>
      <c r="C25" s="480"/>
      <c r="D25" s="480"/>
      <c r="E25" s="96"/>
    </row>
    <row r="26" spans="2:5" ht="15.75">
      <c r="B26" s="316"/>
      <c r="C26" s="480"/>
      <c r="D26" s="480"/>
      <c r="E26" s="96"/>
    </row>
    <row r="27" spans="2:5" ht="15.75">
      <c r="B27" s="316"/>
      <c r="C27" s="480"/>
      <c r="D27" s="480"/>
      <c r="E27" s="96"/>
    </row>
    <row r="28" spans="2:5" ht="15.75">
      <c r="B28" s="316"/>
      <c r="C28" s="480"/>
      <c r="D28" s="480"/>
      <c r="E28" s="96"/>
    </row>
    <row r="29" spans="2:5" ht="15.75">
      <c r="B29" s="316"/>
      <c r="C29" s="480"/>
      <c r="D29" s="480"/>
      <c r="E29" s="96"/>
    </row>
    <row r="30" spans="2:5" ht="15.75">
      <c r="B30" s="305" t="s">
        <v>965</v>
      </c>
      <c r="C30" s="480"/>
      <c r="D30" s="480"/>
      <c r="E30" s="100">
        <f>Nhood!E29</f>
      </c>
    </row>
    <row r="31" spans="2:5" ht="15.75">
      <c r="B31" s="305" t="s">
        <v>966</v>
      </c>
      <c r="C31" s="480"/>
      <c r="D31" s="480"/>
      <c r="E31" s="96"/>
    </row>
    <row r="32" spans="2:5" ht="15.75">
      <c r="B32" s="305" t="s">
        <v>967</v>
      </c>
      <c r="C32" s="446">
        <f>IF(C33*0.1&lt;C31,"Exceed 10% Rule","")</f>
      </c>
      <c r="D32" s="446">
        <f>IF(D33*0.1&lt;D31,"Exceed 10% Rule","")</f>
      </c>
      <c r="E32" s="333">
        <f>IF(E33*0.1&lt;E31,"Exceed 10% Rule","")</f>
      </c>
    </row>
    <row r="33" spans="2:5" ht="15.75">
      <c r="B33" s="307" t="s">
        <v>865</v>
      </c>
      <c r="C33" s="450">
        <f>SUM(C24:C31)</f>
        <v>0</v>
      </c>
      <c r="D33" s="450">
        <f>SUM(D24:D31)</f>
        <v>0</v>
      </c>
      <c r="E33" s="353">
        <f>SUM(E24:E31)</f>
        <v>0</v>
      </c>
    </row>
    <row r="34" spans="2:5" ht="15.75">
      <c r="B34" s="154" t="s">
        <v>570</v>
      </c>
      <c r="C34" s="445">
        <f>C22-C33</f>
        <v>0</v>
      </c>
      <c r="D34" s="445">
        <f>D22-D33</f>
        <v>0</v>
      </c>
      <c r="E34" s="326" t="s">
        <v>462</v>
      </c>
    </row>
    <row r="35" spans="2:6" ht="15.75">
      <c r="B35" s="286" t="str">
        <f>CONCATENATE("",$E$1-2,"/",$E$1-1," Budget Authority Amount:")</f>
        <v>2010/2011 Budget Authority Amount:</v>
      </c>
      <c r="C35" s="278">
        <f>inputOth!B53</f>
        <v>0</v>
      </c>
      <c r="D35" s="278">
        <f>inputPrYr!D39</f>
        <v>0</v>
      </c>
      <c r="E35" s="326" t="s">
        <v>462</v>
      </c>
      <c r="F35" s="319"/>
    </row>
    <row r="36" spans="2:6" ht="15.75">
      <c r="B36" s="286"/>
      <c r="C36" s="700" t="s">
        <v>923</v>
      </c>
      <c r="D36" s="701"/>
      <c r="E36" s="96"/>
      <c r="F36" s="319">
        <f>IF(E33/0.95-E33&lt;E36,"Exceeds 5%","")</f>
      </c>
    </row>
    <row r="37" spans="2:5" ht="15.75">
      <c r="B37" s="487" t="str">
        <f>CONCATENATE(C85,"     ",D85)</f>
        <v>     </v>
      </c>
      <c r="C37" s="702" t="s">
        <v>924</v>
      </c>
      <c r="D37" s="703"/>
      <c r="E37" s="264">
        <f>E33+E36</f>
        <v>0</v>
      </c>
    </row>
    <row r="38" spans="2:5" ht="15.75">
      <c r="B38" s="487" t="str">
        <f>CONCATENATE(C86,"      ",D86)</f>
        <v>      </v>
      </c>
      <c r="C38" s="320"/>
      <c r="D38" s="109" t="s">
        <v>866</v>
      </c>
      <c r="E38" s="100">
        <f>IF(E37-E22&gt;0,E37-E22,0)</f>
        <v>0</v>
      </c>
    </row>
    <row r="39" spans="2:5" ht="15.75">
      <c r="B39" s="109"/>
      <c r="C39" s="469" t="s">
        <v>925</v>
      </c>
      <c r="D39" s="460">
        <f>inputOth!$E$23</f>
        <v>0.03</v>
      </c>
      <c r="E39" s="264">
        <f>ROUND(IF(D39&gt;0,(E38*D39),0),0)</f>
        <v>0</v>
      </c>
    </row>
    <row r="40" spans="2:5" ht="15.75">
      <c r="B40" s="69"/>
      <c r="C40" s="698" t="str">
        <f>CONCATENATE("Amount of  ",$E$1-1," Ad Valorem Tax")</f>
        <v>Amount of  2011 Ad Valorem Tax</v>
      </c>
      <c r="D40" s="699"/>
      <c r="E40" s="338">
        <f>E38+E39</f>
        <v>0</v>
      </c>
    </row>
    <row r="41" spans="2:5" ht="15.75">
      <c r="B41" s="69"/>
      <c r="C41" s="146"/>
      <c r="D41" s="146"/>
      <c r="E41" s="146"/>
    </row>
    <row r="42" spans="2:5" ht="15.75">
      <c r="B42" s="68" t="s">
        <v>851</v>
      </c>
      <c r="C42" s="539" t="str">
        <f aca="true" t="shared" si="0" ref="C42:E43">C5</f>
        <v>Prior Year Actual</v>
      </c>
      <c r="D42" s="540" t="str">
        <f t="shared" si="0"/>
        <v>Current Year Estimate</v>
      </c>
      <c r="E42" s="536" t="str">
        <f t="shared" si="0"/>
        <v>Proposed Budget Year</v>
      </c>
    </row>
    <row r="43" spans="2:5" ht="15.75">
      <c r="B43" s="472">
        <f>inputPrYr!$B$40</f>
        <v>0</v>
      </c>
      <c r="C43" s="448">
        <f t="shared" si="0"/>
        <v>2010</v>
      </c>
      <c r="D43" s="448">
        <f t="shared" si="0"/>
        <v>2011</v>
      </c>
      <c r="E43" s="311">
        <f t="shared" si="0"/>
        <v>2012</v>
      </c>
    </row>
    <row r="44" spans="2:5" ht="15.75">
      <c r="B44" s="154" t="s">
        <v>569</v>
      </c>
      <c r="C44" s="480"/>
      <c r="D44" s="447">
        <f>C71</f>
        <v>0</v>
      </c>
      <c r="E44" s="264">
        <f>D71</f>
        <v>0</v>
      </c>
    </row>
    <row r="45" spans="2:5" ht="15.75">
      <c r="B45" s="300" t="s">
        <v>571</v>
      </c>
      <c r="C45" s="168"/>
      <c r="D45" s="168"/>
      <c r="E45" s="112"/>
    </row>
    <row r="46" spans="2:5" ht="15.75">
      <c r="B46" s="154" t="s">
        <v>852</v>
      </c>
      <c r="C46" s="480"/>
      <c r="D46" s="447">
        <f>inputPrYr!E40</f>
        <v>0</v>
      </c>
      <c r="E46" s="326" t="s">
        <v>462</v>
      </c>
    </row>
    <row r="47" spans="2:5" ht="15.75">
      <c r="B47" s="154" t="s">
        <v>853</v>
      </c>
      <c r="C47" s="480"/>
      <c r="D47" s="480"/>
      <c r="E47" s="96"/>
    </row>
    <row r="48" spans="2:5" ht="15.75">
      <c r="B48" s="154" t="s">
        <v>854</v>
      </c>
      <c r="C48" s="480"/>
      <c r="D48" s="480"/>
      <c r="E48" s="264" t="str">
        <f>mvalloc!D32</f>
        <v>  </v>
      </c>
    </row>
    <row r="49" spans="2:5" ht="15.75">
      <c r="B49" s="154" t="s">
        <v>855</v>
      </c>
      <c r="C49" s="480"/>
      <c r="D49" s="480"/>
      <c r="E49" s="264" t="str">
        <f>mvalloc!E32</f>
        <v>  </v>
      </c>
    </row>
    <row r="50" spans="2:5" ht="15.75">
      <c r="B50" s="168" t="s">
        <v>520</v>
      </c>
      <c r="C50" s="480"/>
      <c r="D50" s="480"/>
      <c r="E50" s="264" t="str">
        <f>mvalloc!F32</f>
        <v>  </v>
      </c>
    </row>
    <row r="51" spans="2:5" ht="15.75">
      <c r="B51" s="168" t="s">
        <v>232</v>
      </c>
      <c r="C51" s="480"/>
      <c r="D51" s="480"/>
      <c r="E51" s="264" t="str">
        <f>mvalloc!G32</f>
        <v> </v>
      </c>
    </row>
    <row r="52" spans="2:5" ht="15.75">
      <c r="B52" s="316"/>
      <c r="C52" s="480"/>
      <c r="D52" s="480"/>
      <c r="E52" s="96"/>
    </row>
    <row r="53" spans="2:5" ht="15.75">
      <c r="B53" s="316"/>
      <c r="C53" s="480"/>
      <c r="D53" s="480"/>
      <c r="E53" s="96"/>
    </row>
    <row r="54" spans="2:5" ht="15.75">
      <c r="B54" s="316"/>
      <c r="C54" s="480"/>
      <c r="D54" s="480"/>
      <c r="E54" s="96"/>
    </row>
    <row r="55" spans="2:5" ht="15.75">
      <c r="B55" s="304" t="s">
        <v>859</v>
      </c>
      <c r="C55" s="480"/>
      <c r="D55" s="480"/>
      <c r="E55" s="96"/>
    </row>
    <row r="56" spans="2:5" ht="15.75">
      <c r="B56" s="305" t="s">
        <v>966</v>
      </c>
      <c r="C56" s="480"/>
      <c r="D56" s="480"/>
      <c r="E56" s="96"/>
    </row>
    <row r="57" spans="2:5" ht="15.75">
      <c r="B57" s="305" t="s">
        <v>968</v>
      </c>
      <c r="C57" s="446">
        <f>IF(C58*0.1&lt;C56,"Exceed 10% Rule","")</f>
      </c>
      <c r="D57" s="446">
        <f>IF(D58*0.1&lt;D56,"Exceed 10% Rule","")</f>
      </c>
      <c r="E57" s="333">
        <f>IF(E58*0.1+E77&lt;E56,"Exceed 10% Rule","")</f>
      </c>
    </row>
    <row r="58" spans="2:5" ht="15.75">
      <c r="B58" s="307" t="s">
        <v>860</v>
      </c>
      <c r="C58" s="450">
        <f>SUM(C46:C56)</f>
        <v>0</v>
      </c>
      <c r="D58" s="450">
        <f>SUM(D46:D56)</f>
        <v>0</v>
      </c>
      <c r="E58" s="353">
        <f>SUM(E46:E56)</f>
        <v>0</v>
      </c>
    </row>
    <row r="59" spans="2:5" ht="15.75">
      <c r="B59" s="307" t="s">
        <v>861</v>
      </c>
      <c r="C59" s="450">
        <f>C44+C58</f>
        <v>0</v>
      </c>
      <c r="D59" s="450">
        <f>D44+D58</f>
        <v>0</v>
      </c>
      <c r="E59" s="353">
        <f>E44+E58</f>
        <v>0</v>
      </c>
    </row>
    <row r="60" spans="2:5" ht="15.75">
      <c r="B60" s="154" t="s">
        <v>864</v>
      </c>
      <c r="C60" s="305"/>
      <c r="D60" s="305"/>
      <c r="E60" s="164"/>
    </row>
    <row r="61" spans="2:5" ht="15.75">
      <c r="B61" s="316"/>
      <c r="C61" s="480"/>
      <c r="D61" s="480"/>
      <c r="E61" s="96"/>
    </row>
    <row r="62" spans="2:5" ht="15.75">
      <c r="B62" s="316"/>
      <c r="C62" s="480"/>
      <c r="D62" s="480"/>
      <c r="E62" s="96"/>
    </row>
    <row r="63" spans="2:5" ht="15.75">
      <c r="B63" s="316"/>
      <c r="C63" s="480"/>
      <c r="D63" s="480"/>
      <c r="E63" s="96"/>
    </row>
    <row r="64" spans="2:5" ht="15.75">
      <c r="B64" s="316"/>
      <c r="C64" s="480"/>
      <c r="D64" s="480"/>
      <c r="E64" s="96"/>
    </row>
    <row r="65" spans="2:5" ht="15.75">
      <c r="B65" s="316"/>
      <c r="C65" s="480"/>
      <c r="D65" s="480"/>
      <c r="E65" s="96"/>
    </row>
    <row r="66" spans="2:5" ht="15.75">
      <c r="B66" s="316"/>
      <c r="C66" s="480"/>
      <c r="D66" s="480"/>
      <c r="E66" s="96"/>
    </row>
    <row r="67" spans="2:5" ht="15.75">
      <c r="B67" s="305" t="s">
        <v>965</v>
      </c>
      <c r="C67" s="480"/>
      <c r="D67" s="480"/>
      <c r="E67" s="100">
        <f>Nhood!E30</f>
      </c>
    </row>
    <row r="68" spans="2:5" ht="15.75">
      <c r="B68" s="305" t="s">
        <v>966</v>
      </c>
      <c r="C68" s="480"/>
      <c r="D68" s="480"/>
      <c r="E68" s="96"/>
    </row>
    <row r="69" spans="2:5" ht="15.75">
      <c r="B69" s="305" t="s">
        <v>967</v>
      </c>
      <c r="C69" s="446">
        <f>IF(C70*0.1&lt;C68,"Exceed 10% Rule","")</f>
      </c>
      <c r="D69" s="446">
        <f>IF(D70*0.1&lt;D68,"Exceed 10% Rule","")</f>
      </c>
      <c r="E69" s="333">
        <f>IF(E70*0.1&lt;E68,"Exceed 10% Rule","")</f>
      </c>
    </row>
    <row r="70" spans="2:5" ht="15.75">
      <c r="B70" s="307" t="s">
        <v>865</v>
      </c>
      <c r="C70" s="450">
        <f>SUM(C61:C68)</f>
        <v>0</v>
      </c>
      <c r="D70" s="450">
        <f>SUM(D61:D68)</f>
        <v>0</v>
      </c>
      <c r="E70" s="353">
        <f>SUM(E61:E68)</f>
        <v>0</v>
      </c>
    </row>
    <row r="71" spans="2:5" ht="15.75">
      <c r="B71" s="154" t="s">
        <v>570</v>
      </c>
      <c r="C71" s="445">
        <f>C59-C70</f>
        <v>0</v>
      </c>
      <c r="D71" s="445">
        <f>D59-D70</f>
        <v>0</v>
      </c>
      <c r="E71" s="326" t="s">
        <v>462</v>
      </c>
    </row>
    <row r="72" spans="2:6" ht="15.75">
      <c r="B72" s="286" t="str">
        <f>CONCATENATE("",$E$1-2,"/",$E$1-1," Budget Authority Amount:")</f>
        <v>2010/2011 Budget Authority Amount:</v>
      </c>
      <c r="C72" s="278">
        <f>inputOth!B54</f>
        <v>0</v>
      </c>
      <c r="D72" s="278">
        <f>inputPrYr!D40</f>
        <v>0</v>
      </c>
      <c r="E72" s="326" t="s">
        <v>462</v>
      </c>
      <c r="F72" s="319"/>
    </row>
    <row r="73" spans="2:6" ht="15.75">
      <c r="B73" s="286"/>
      <c r="C73" s="700" t="s">
        <v>923</v>
      </c>
      <c r="D73" s="701"/>
      <c r="E73" s="96"/>
      <c r="F73" s="319">
        <f>IF(E70/0.95-E70&lt;E73,"Exceeds 5%","")</f>
      </c>
    </row>
    <row r="74" spans="2:5" ht="15.75">
      <c r="B74" s="487" t="str">
        <f>CONCATENATE(C87,"      ",D87)</f>
        <v>      </v>
      </c>
      <c r="C74" s="702" t="s">
        <v>924</v>
      </c>
      <c r="D74" s="703"/>
      <c r="E74" s="264">
        <f>E70+E73</f>
        <v>0</v>
      </c>
    </row>
    <row r="75" spans="2:5" ht="15.75">
      <c r="B75" s="487" t="str">
        <f>CONCATENATE(C88,"      ",D88)</f>
        <v>      </v>
      </c>
      <c r="C75" s="320"/>
      <c r="D75" s="109" t="s">
        <v>866</v>
      </c>
      <c r="E75" s="100">
        <f>IF(E74-E59&gt;0,E74-E59,0)</f>
        <v>0</v>
      </c>
    </row>
    <row r="76" spans="2:5" ht="15.75">
      <c r="B76" s="109"/>
      <c r="C76" s="469" t="s">
        <v>925</v>
      </c>
      <c r="D76" s="460">
        <f>inputOth!$E$23</f>
        <v>0.03</v>
      </c>
      <c r="E76" s="264">
        <f>ROUND(IF(D76&gt;0,(E75*D76),0),0)</f>
        <v>0</v>
      </c>
    </row>
    <row r="77" spans="2:5" ht="15.75">
      <c r="B77" s="69"/>
      <c r="C77" s="698" t="str">
        <f>CONCATENATE("Amount of  ",$E$1-1," Ad Valorem Tax")</f>
        <v>Amount of  2011 Ad Valorem Tax</v>
      </c>
      <c r="D77" s="699"/>
      <c r="E77" s="338">
        <f>E75+E76</f>
        <v>0</v>
      </c>
    </row>
    <row r="78" spans="2:5" ht="15.75">
      <c r="B78" s="321" t="s">
        <v>477</v>
      </c>
      <c r="C78" s="339"/>
      <c r="D78" s="69"/>
      <c r="E78" s="69"/>
    </row>
    <row r="85" spans="3:4" ht="15.75" hidden="1">
      <c r="C85" s="53">
        <f>IF(C33&gt;C35,"See Tab A","")</f>
      </c>
      <c r="D85" s="53">
        <f>IF(D33&gt;D35,"See Tab C","")</f>
      </c>
    </row>
    <row r="86" spans="3:4" ht="15.75" hidden="1">
      <c r="C86" s="53">
        <f>IF(C34&lt;0,"See Tab B","")</f>
      </c>
      <c r="D86" s="53">
        <f>IF(D34&lt;0,"See Tab D","")</f>
      </c>
    </row>
    <row r="87" spans="3:4" ht="15.75" hidden="1">
      <c r="C87" s="53">
        <f>IF(C70&gt;C72,"See Tab A","")</f>
      </c>
      <c r="D87" s="53">
        <f>IF(D70&gt;D72,"See Tab C","")</f>
      </c>
    </row>
    <row r="88" spans="3:4" ht="15.75" hidden="1">
      <c r="C88" s="53">
        <f>IF(C71&lt;0,"See Tab B","")</f>
      </c>
      <c r="D88" s="53">
        <f>IF(D71&lt;0,"See Tab D","")</f>
      </c>
    </row>
    <row r="91" spans="3:4" ht="15.75">
      <c r="C91" s="53">
        <f>IF(C74&lt;0,"See Tab B","")</f>
      </c>
      <c r="D91" s="53">
        <f>IF(D74&lt;0,"See Tab D","")</f>
      </c>
    </row>
  </sheetData>
  <sheetProtection sheet="1"/>
  <mergeCells count="6">
    <mergeCell ref="C77:D77"/>
    <mergeCell ref="C40:D40"/>
    <mergeCell ref="C36:D36"/>
    <mergeCell ref="C37:D37"/>
    <mergeCell ref="C73:D73"/>
    <mergeCell ref="C74:D74"/>
  </mergeCells>
  <conditionalFormatting sqref="E36">
    <cfRule type="cellIs" priority="3" dxfId="350" operator="greaterThan" stopIfTrue="1">
      <formula>$E$33/0.95-$E$33</formula>
    </cfRule>
  </conditionalFormatting>
  <conditionalFormatting sqref="E73">
    <cfRule type="cellIs" priority="4" dxfId="350" operator="greaterThan" stopIfTrue="1">
      <formula>$E$70/0.95-$E$70</formula>
    </cfRule>
  </conditionalFormatting>
  <conditionalFormatting sqref="E68">
    <cfRule type="cellIs" priority="5" dxfId="350" operator="greaterThan" stopIfTrue="1">
      <formula>$E$70*0.1</formula>
    </cfRule>
  </conditionalFormatting>
  <conditionalFormatting sqref="C19">
    <cfRule type="cellIs" priority="6" dxfId="350" operator="greaterThan" stopIfTrue="1">
      <formula>$C$21*0.1</formula>
    </cfRule>
  </conditionalFormatting>
  <conditionalFormatting sqref="D19">
    <cfRule type="cellIs" priority="7" dxfId="350" operator="greaterThan" stopIfTrue="1">
      <formula>$D$21*0.1</formula>
    </cfRule>
  </conditionalFormatting>
  <conditionalFormatting sqref="E31">
    <cfRule type="cellIs" priority="8" dxfId="350" operator="greaterThan" stopIfTrue="1">
      <formula>$E$33*0.1</formula>
    </cfRule>
  </conditionalFormatting>
  <conditionalFormatting sqref="E19">
    <cfRule type="cellIs" priority="9" dxfId="350" operator="greaterThan" stopIfTrue="1">
      <formula>$E$21*0.1+E40</formula>
    </cfRule>
  </conditionalFormatting>
  <conditionalFormatting sqref="E56">
    <cfRule type="cellIs" priority="10" dxfId="350" operator="greaterThan" stopIfTrue="1">
      <formula>$E$58*0.1+E77</formula>
    </cfRule>
  </conditionalFormatting>
  <conditionalFormatting sqref="C68">
    <cfRule type="cellIs" priority="11" dxfId="2" operator="greaterThan" stopIfTrue="1">
      <formula>$C$70*0.1</formula>
    </cfRule>
  </conditionalFormatting>
  <conditionalFormatting sqref="D68">
    <cfRule type="cellIs" priority="12" dxfId="2" operator="greaterThan" stopIfTrue="1">
      <formula>$D$70*0.1</formula>
    </cfRule>
  </conditionalFormatting>
  <conditionalFormatting sqref="C71 C34">
    <cfRule type="cellIs" priority="13" dxfId="2" operator="lessThan" stopIfTrue="1">
      <formula>0</formula>
    </cfRule>
  </conditionalFormatting>
  <conditionalFormatting sqref="C70">
    <cfRule type="cellIs" priority="14" dxfId="2" operator="greaterThan" stopIfTrue="1">
      <formula>$C$72</formula>
    </cfRule>
  </conditionalFormatting>
  <conditionalFormatting sqref="D70">
    <cfRule type="cellIs" priority="15" dxfId="2" operator="greaterThan" stopIfTrue="1">
      <formula>$D$72</formula>
    </cfRule>
  </conditionalFormatting>
  <conditionalFormatting sqref="D56">
    <cfRule type="cellIs" priority="16" dxfId="2" operator="greaterThan" stopIfTrue="1">
      <formula>$D$58*0.1</formula>
    </cfRule>
  </conditionalFormatting>
  <conditionalFormatting sqref="C56">
    <cfRule type="cellIs" priority="17" dxfId="2" operator="greaterThan" stopIfTrue="1">
      <formula>$C$58*0.1</formula>
    </cfRule>
  </conditionalFormatting>
  <conditionalFormatting sqref="C31">
    <cfRule type="cellIs" priority="18" dxfId="2" operator="greaterThan" stopIfTrue="1">
      <formula>$C$33*0.1</formula>
    </cfRule>
  </conditionalFormatting>
  <conditionalFormatting sqref="D31">
    <cfRule type="cellIs" priority="19" dxfId="2" operator="greaterThan" stopIfTrue="1">
      <formula>$D$33*0.1</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1">
    <cfRule type="cellIs" priority="2" dxfId="0" operator="lessThan" stopIfTrue="1">
      <formula>0</formula>
    </cfRule>
  </conditionalFormatting>
  <printOptions/>
  <pageMargins left="1.12" right="0.5" top="0.74" bottom="0.34" header="0.5" footer="0"/>
  <pageSetup blackAndWhite="1" fitToHeight="1" fitToWidth="1" horizontalDpi="300" verticalDpi="300" orientation="portrait" scale="59" r:id="rId1"/>
  <headerFooter alignWithMargins="0">
    <oddHeader>&amp;RState of Kansas
County
</oddHeader>
  </headerFooter>
</worksheet>
</file>

<file path=xl/worksheets/sheet31.xml><?xml version="1.0" encoding="utf-8"?>
<worksheet xmlns="http://schemas.openxmlformats.org/spreadsheetml/2006/main" xmlns:r="http://schemas.openxmlformats.org/officeDocument/2006/relationships">
  <sheetPr>
    <pageSetUpPr fitToPage="1"/>
  </sheetPr>
  <dimension ref="B1:E66"/>
  <sheetViews>
    <sheetView zoomScalePageLayoutView="0" workbookViewId="0" topLeftCell="A1">
      <selection activeCell="C67" sqref="C67"/>
    </sheetView>
  </sheetViews>
  <sheetFormatPr defaultColWidth="8.796875" defaultRowHeight="15"/>
  <cols>
    <col min="1" max="1" width="2.3984375" style="53" customWidth="1"/>
    <col min="2" max="2" width="31.09765625" style="53" customWidth="1"/>
    <col min="3" max="4" width="15.796875" style="53" customWidth="1"/>
    <col min="5" max="5" width="16.296875" style="53" customWidth="1"/>
    <col min="6" max="16384" width="8.8984375" style="53" customWidth="1"/>
  </cols>
  <sheetData>
    <row r="1" spans="2:5" ht="15.75">
      <c r="B1" s="205" t="str">
        <f>(inputPrYr!C3)</f>
        <v>MORRIS COUNTY</v>
      </c>
      <c r="C1" s="69"/>
      <c r="D1" s="69"/>
      <c r="E1" s="285">
        <f>inputPrYr!C5</f>
        <v>2012</v>
      </c>
    </row>
    <row r="2" spans="2:5" ht="15.75">
      <c r="B2" s="69"/>
      <c r="C2" s="69"/>
      <c r="D2" s="69"/>
      <c r="E2" s="109"/>
    </row>
    <row r="3" spans="2:5" ht="15.75">
      <c r="B3" s="214" t="s">
        <v>529</v>
      </c>
      <c r="C3" s="322"/>
      <c r="D3" s="322"/>
      <c r="E3" s="323"/>
    </row>
    <row r="4" spans="2:5" ht="15.75">
      <c r="B4" s="69"/>
      <c r="C4" s="146"/>
      <c r="D4" s="146"/>
      <c r="E4" s="146"/>
    </row>
    <row r="5" spans="2:5" ht="15.75">
      <c r="B5" s="68" t="s">
        <v>851</v>
      </c>
      <c r="C5" s="535" t="s">
        <v>479</v>
      </c>
      <c r="D5" s="536" t="s">
        <v>226</v>
      </c>
      <c r="E5" s="536" t="s">
        <v>227</v>
      </c>
    </row>
    <row r="6" spans="2:5" ht="15.75">
      <c r="B6" s="472" t="s">
        <v>38</v>
      </c>
      <c r="C6" s="311">
        <f>E1-2</f>
        <v>2010</v>
      </c>
      <c r="D6" s="311">
        <f>E1-1</f>
        <v>2011</v>
      </c>
      <c r="E6" s="311">
        <f>E1</f>
        <v>2012</v>
      </c>
    </row>
    <row r="7" spans="2:5" ht="15.75">
      <c r="B7" s="154" t="s">
        <v>569</v>
      </c>
      <c r="C7" s="96">
        <v>61779</v>
      </c>
      <c r="D7" s="264">
        <f>C30</f>
        <v>69218</v>
      </c>
      <c r="E7" s="264">
        <f>D30</f>
        <v>75644</v>
      </c>
    </row>
    <row r="8" spans="2:5" ht="15.75">
      <c r="B8" s="176" t="s">
        <v>571</v>
      </c>
      <c r="C8" s="164"/>
      <c r="D8" s="164"/>
      <c r="E8" s="164"/>
    </row>
    <row r="9" spans="2:5" ht="15.75">
      <c r="B9" s="316" t="s">
        <v>704</v>
      </c>
      <c r="C9" s="96">
        <v>61950</v>
      </c>
      <c r="D9" s="96">
        <v>65006</v>
      </c>
      <c r="E9" s="96">
        <v>63850</v>
      </c>
    </row>
    <row r="10" spans="2:5" ht="15.75">
      <c r="B10" s="316" t="s">
        <v>705</v>
      </c>
      <c r="C10" s="96">
        <v>6420</v>
      </c>
      <c r="D10" s="96">
        <v>6420</v>
      </c>
      <c r="E10" s="96">
        <v>6420</v>
      </c>
    </row>
    <row r="11" spans="2:5" ht="15.75">
      <c r="B11" s="316"/>
      <c r="C11" s="96"/>
      <c r="D11" s="96"/>
      <c r="E11" s="96"/>
    </row>
    <row r="12" spans="2:5" ht="15.75">
      <c r="B12" s="304" t="s">
        <v>859</v>
      </c>
      <c r="C12" s="96"/>
      <c r="D12" s="96"/>
      <c r="E12" s="96"/>
    </row>
    <row r="13" spans="2:5" ht="15.75">
      <c r="B13" s="305" t="s">
        <v>966</v>
      </c>
      <c r="C13" s="96"/>
      <c r="D13" s="325"/>
      <c r="E13" s="325"/>
    </row>
    <row r="14" spans="2:5" ht="15.75">
      <c r="B14" s="305" t="s">
        <v>921</v>
      </c>
      <c r="C14" s="464">
        <f>IF(C15*0.1&lt;C13,"Exceed 10% Rule","")</f>
      </c>
      <c r="D14" s="306">
        <f>IF(D15*0.1&lt;D13,"Exceed 10% Rule","")</f>
      </c>
      <c r="E14" s="306">
        <f>IF(E15*0.1&lt;E13,"Exceed 10% Rule","")</f>
      </c>
    </row>
    <row r="15" spans="2:5" ht="15.75">
      <c r="B15" s="307" t="s">
        <v>860</v>
      </c>
      <c r="C15" s="353">
        <f>SUM(C9:C13)</f>
        <v>68370</v>
      </c>
      <c r="D15" s="353">
        <f>SUM(D9:D13)</f>
        <v>71426</v>
      </c>
      <c r="E15" s="353">
        <f>SUM(E9:E13)</f>
        <v>70270</v>
      </c>
    </row>
    <row r="16" spans="2:5" ht="15.75">
      <c r="B16" s="307" t="s">
        <v>861</v>
      </c>
      <c r="C16" s="353">
        <f>C15+C7</f>
        <v>130149</v>
      </c>
      <c r="D16" s="353">
        <f>D15+D7</f>
        <v>140644</v>
      </c>
      <c r="E16" s="353">
        <f>E15+E7</f>
        <v>145914</v>
      </c>
    </row>
    <row r="17" spans="2:5" ht="15.75">
      <c r="B17" s="154" t="s">
        <v>864</v>
      </c>
      <c r="C17" s="264"/>
      <c r="D17" s="264"/>
      <c r="E17" s="264"/>
    </row>
    <row r="18" spans="2:5" ht="15.75">
      <c r="B18" s="316"/>
      <c r="C18" s="96"/>
      <c r="D18" s="96"/>
      <c r="E18" s="96"/>
    </row>
    <row r="19" spans="2:5" ht="15.75">
      <c r="B19" s="316" t="s">
        <v>706</v>
      </c>
      <c r="C19" s="96">
        <v>20000</v>
      </c>
      <c r="D19" s="96">
        <v>25000</v>
      </c>
      <c r="E19" s="96">
        <v>25000</v>
      </c>
    </row>
    <row r="20" spans="2:5" ht="15.75">
      <c r="B20" s="316" t="s">
        <v>707</v>
      </c>
      <c r="C20" s="96">
        <v>40931</v>
      </c>
      <c r="D20" s="96">
        <v>40000</v>
      </c>
      <c r="E20" s="96">
        <v>39000</v>
      </c>
    </row>
    <row r="21" spans="2:5" ht="15.75">
      <c r="B21" s="316"/>
      <c r="C21" s="96"/>
      <c r="D21" s="96"/>
      <c r="E21" s="96"/>
    </row>
    <row r="22" spans="2:5" ht="15.75">
      <c r="B22" s="316"/>
      <c r="C22" s="96"/>
      <c r="D22" s="96"/>
      <c r="E22" s="96"/>
    </row>
    <row r="23" spans="2:5" ht="15.75">
      <c r="B23" s="316"/>
      <c r="C23" s="96"/>
      <c r="D23" s="96"/>
      <c r="E23" s="96"/>
    </row>
    <row r="24" spans="2:5" ht="15.75">
      <c r="B24" s="316"/>
      <c r="C24" s="96"/>
      <c r="D24" s="96"/>
      <c r="E24" s="96"/>
    </row>
    <row r="25" spans="2:5" ht="15.75">
      <c r="B25" s="316"/>
      <c r="C25" s="96"/>
      <c r="D25" s="96"/>
      <c r="E25" s="96"/>
    </row>
    <row r="26" spans="2:5" ht="15.75">
      <c r="B26" s="316"/>
      <c r="C26" s="96"/>
      <c r="D26" s="96"/>
      <c r="E26" s="96"/>
    </row>
    <row r="27" spans="2:5" ht="15.75">
      <c r="B27" s="305" t="s">
        <v>966</v>
      </c>
      <c r="C27" s="96"/>
      <c r="D27" s="325"/>
      <c r="E27" s="325"/>
    </row>
    <row r="28" spans="2:5" ht="15.75">
      <c r="B28" s="305" t="s">
        <v>922</v>
      </c>
      <c r="C28" s="464">
        <f>IF(C29*0.1&lt;C27,"Exceed 10% Rule","")</f>
      </c>
      <c r="D28" s="306">
        <f>IF(D29*0.1&lt;D27,"Exceed 10% Rule","")</f>
      </c>
      <c r="E28" s="306">
        <f>IF(E29*0.1&lt;E27,"Exceed 10% Rule","")</f>
      </c>
    </row>
    <row r="29" spans="2:5" ht="15.75">
      <c r="B29" s="307" t="s">
        <v>865</v>
      </c>
      <c r="C29" s="353">
        <f>SUM(C18:C27)</f>
        <v>60931</v>
      </c>
      <c r="D29" s="353">
        <f>SUM(D18:D27)</f>
        <v>65000</v>
      </c>
      <c r="E29" s="353">
        <f>SUM(E18:E27)</f>
        <v>64000</v>
      </c>
    </row>
    <row r="30" spans="2:5" ht="15.75">
      <c r="B30" s="154" t="s">
        <v>570</v>
      </c>
      <c r="C30" s="100">
        <f>C16-C29</f>
        <v>69218</v>
      </c>
      <c r="D30" s="100">
        <f>D16-D29</f>
        <v>75644</v>
      </c>
      <c r="E30" s="100">
        <f>E16-E29</f>
        <v>81914</v>
      </c>
    </row>
    <row r="31" spans="2:5" ht="15.75">
      <c r="B31" s="286" t="str">
        <f>CONCATENATE("",$E$1-2,"/",$E$1-1," Budget Authority Amount:")</f>
        <v>2010/2011 Budget Authority Amount:</v>
      </c>
      <c r="C31" s="278">
        <v>60931</v>
      </c>
      <c r="D31" s="278">
        <v>65100</v>
      </c>
      <c r="E31" s="483">
        <f>IF($E$30&lt;0,"See Tab E","")</f>
      </c>
    </row>
    <row r="32" spans="2:5" ht="15.75">
      <c r="B32" s="286"/>
      <c r="C32" s="320">
        <f>IF(C29&gt;C31,"See Tab A","")</f>
      </c>
      <c r="D32" s="320">
        <f>IF(D29&gt;D31,"See Tab C","")</f>
      </c>
      <c r="E32" s="129"/>
    </row>
    <row r="33" spans="2:5" ht="15.75">
      <c r="B33" s="286"/>
      <c r="C33" s="320">
        <f>IF(C30&lt;0,"See Tab B","")</f>
      </c>
      <c r="D33" s="320">
        <f>IF(D30&lt;0,"See Tab D","")</f>
      </c>
      <c r="E33" s="129"/>
    </row>
    <row r="34" spans="2:5" ht="15.75">
      <c r="B34" s="69"/>
      <c r="C34" s="129"/>
      <c r="D34" s="129"/>
      <c r="E34" s="129"/>
    </row>
    <row r="35" spans="2:5" ht="15.75">
      <c r="B35" s="68" t="s">
        <v>851</v>
      </c>
      <c r="C35" s="146"/>
      <c r="D35" s="146"/>
      <c r="E35" s="146"/>
    </row>
    <row r="36" spans="2:5" ht="15.75">
      <c r="B36" s="69"/>
      <c r="C36" s="535" t="str">
        <f aca="true" t="shared" si="0" ref="C36:E37">C5</f>
        <v>Prior Year Actual</v>
      </c>
      <c r="D36" s="536" t="str">
        <f t="shared" si="0"/>
        <v>Current Year Estimate</v>
      </c>
      <c r="E36" s="536" t="str">
        <f t="shared" si="0"/>
        <v>Proposed Budget Year</v>
      </c>
    </row>
    <row r="37" spans="2:5" ht="15.75">
      <c r="B37" s="472" t="s">
        <v>882</v>
      </c>
      <c r="C37" s="311">
        <f t="shared" si="0"/>
        <v>2010</v>
      </c>
      <c r="D37" s="311">
        <f t="shared" si="0"/>
        <v>2011</v>
      </c>
      <c r="E37" s="311">
        <f t="shared" si="0"/>
        <v>2012</v>
      </c>
    </row>
    <row r="38" spans="2:5" ht="15.75">
      <c r="B38" s="154" t="s">
        <v>569</v>
      </c>
      <c r="C38" s="96">
        <v>341358</v>
      </c>
      <c r="D38" s="264">
        <f>C61</f>
        <v>304918</v>
      </c>
      <c r="E38" s="264">
        <f>D61</f>
        <v>211418</v>
      </c>
    </row>
    <row r="39" spans="2:5" ht="15.75">
      <c r="B39" s="154" t="s">
        <v>571</v>
      </c>
      <c r="C39" s="164"/>
      <c r="D39" s="164"/>
      <c r="E39" s="164"/>
    </row>
    <row r="40" spans="2:5" ht="15.75">
      <c r="B40" s="316" t="s">
        <v>708</v>
      </c>
      <c r="C40" s="96">
        <v>236095</v>
      </c>
      <c r="D40" s="96">
        <v>200000</v>
      </c>
      <c r="E40" s="96">
        <v>200000</v>
      </c>
    </row>
    <row r="41" spans="2:5" ht="15.75">
      <c r="B41" s="316" t="s">
        <v>709</v>
      </c>
      <c r="C41" s="96">
        <v>55479</v>
      </c>
      <c r="D41" s="96">
        <v>30000</v>
      </c>
      <c r="E41" s="96">
        <v>30000</v>
      </c>
    </row>
    <row r="42" spans="2:5" ht="15.75">
      <c r="B42" s="316"/>
      <c r="C42" s="96"/>
      <c r="D42" s="96"/>
      <c r="E42" s="96"/>
    </row>
    <row r="43" spans="2:5" ht="15.75">
      <c r="B43" s="304" t="s">
        <v>859</v>
      </c>
      <c r="C43" s="96"/>
      <c r="D43" s="96"/>
      <c r="E43" s="96"/>
    </row>
    <row r="44" spans="2:5" ht="15.75">
      <c r="B44" s="305" t="s">
        <v>966</v>
      </c>
      <c r="C44" s="96"/>
      <c r="D44" s="325"/>
      <c r="E44" s="325"/>
    </row>
    <row r="45" spans="2:5" ht="15.75">
      <c r="B45" s="305" t="s">
        <v>921</v>
      </c>
      <c r="C45" s="464">
        <f>IF(C46*0.1&lt;C44,"Exceed 10% Rule","")</f>
      </c>
      <c r="D45" s="306">
        <f>IF(D46*0.1&lt;D44,"Exceed 10% Rule","")</f>
      </c>
      <c r="E45" s="306">
        <f>IF(E46*0.1&lt;E44,"Exceed 10% Rule","")</f>
      </c>
    </row>
    <row r="46" spans="2:5" ht="15.75">
      <c r="B46" s="307" t="s">
        <v>860</v>
      </c>
      <c r="C46" s="353">
        <f>SUM(C40:C44)</f>
        <v>291574</v>
      </c>
      <c r="D46" s="353">
        <f>SUM(D40:D44)</f>
        <v>230000</v>
      </c>
      <c r="E46" s="353">
        <f>SUM(E40:E44)</f>
        <v>230000</v>
      </c>
    </row>
    <row r="47" spans="2:5" ht="15.75">
      <c r="B47" s="307" t="s">
        <v>861</v>
      </c>
      <c r="C47" s="353">
        <f>C38+C46</f>
        <v>632932</v>
      </c>
      <c r="D47" s="353">
        <f>D38+D46</f>
        <v>534918</v>
      </c>
      <c r="E47" s="353">
        <f>E38+E46</f>
        <v>441418</v>
      </c>
    </row>
    <row r="48" spans="2:5" ht="15.75">
      <c r="B48" s="154" t="s">
        <v>864</v>
      </c>
      <c r="C48" s="264"/>
      <c r="D48" s="264"/>
      <c r="E48" s="264"/>
    </row>
    <row r="49" spans="2:5" ht="15.75">
      <c r="B49" s="316" t="s">
        <v>710</v>
      </c>
      <c r="C49" s="96">
        <v>38450</v>
      </c>
      <c r="D49" s="96">
        <v>40000</v>
      </c>
      <c r="E49" s="96">
        <v>41000</v>
      </c>
    </row>
    <row r="50" spans="2:5" ht="15.75">
      <c r="B50" s="316" t="s">
        <v>711</v>
      </c>
      <c r="C50" s="96">
        <v>2303</v>
      </c>
      <c r="D50" s="96">
        <v>5000</v>
      </c>
      <c r="E50" s="96">
        <v>5000</v>
      </c>
    </row>
    <row r="51" spans="2:5" ht="15.75">
      <c r="B51" s="316" t="s">
        <v>712</v>
      </c>
      <c r="C51" s="96">
        <v>152153</v>
      </c>
      <c r="D51" s="96">
        <v>160000</v>
      </c>
      <c r="E51" s="96">
        <v>180000</v>
      </c>
    </row>
    <row r="52" spans="2:5" ht="15.75">
      <c r="B52" s="316" t="s">
        <v>713</v>
      </c>
      <c r="C52" s="96"/>
      <c r="D52" s="96">
        <v>8000</v>
      </c>
      <c r="E52" s="96">
        <v>15000</v>
      </c>
    </row>
    <row r="53" spans="2:5" ht="15.75">
      <c r="B53" s="316"/>
      <c r="C53" s="96"/>
      <c r="D53" s="96"/>
      <c r="E53" s="96"/>
    </row>
    <row r="54" spans="2:5" ht="15.75">
      <c r="B54" s="316" t="s">
        <v>714</v>
      </c>
      <c r="C54" s="96">
        <v>71735</v>
      </c>
      <c r="D54" s="96">
        <v>74000</v>
      </c>
      <c r="E54" s="96">
        <v>76000</v>
      </c>
    </row>
    <row r="55" spans="2:5" ht="15.75">
      <c r="B55" s="316" t="s">
        <v>715</v>
      </c>
      <c r="C55" s="96">
        <v>14501</v>
      </c>
      <c r="D55" s="96">
        <v>20500</v>
      </c>
      <c r="E55" s="96">
        <v>25000</v>
      </c>
    </row>
    <row r="56" spans="2:5" ht="15.75">
      <c r="B56" s="316" t="s">
        <v>716</v>
      </c>
      <c r="C56" s="96">
        <v>4248</v>
      </c>
      <c r="D56" s="96">
        <v>6000</v>
      </c>
      <c r="E56" s="96">
        <v>10000</v>
      </c>
    </row>
    <row r="57" spans="2:5" ht="15.75">
      <c r="B57" s="316" t="s">
        <v>717</v>
      </c>
      <c r="C57" s="96">
        <v>44624</v>
      </c>
      <c r="D57" s="96">
        <v>10000</v>
      </c>
      <c r="E57" s="96">
        <v>15000</v>
      </c>
    </row>
    <row r="58" spans="2:5" ht="15.75">
      <c r="B58" s="305" t="s">
        <v>966</v>
      </c>
      <c r="C58" s="96"/>
      <c r="D58" s="325"/>
      <c r="E58" s="325"/>
    </row>
    <row r="59" spans="2:5" ht="15.75">
      <c r="B59" s="305" t="s">
        <v>922</v>
      </c>
      <c r="C59" s="464">
        <f>IF(C60*0.1&lt;C58,"Exceed 10% Rule","")</f>
      </c>
      <c r="D59" s="306">
        <f>IF(D60*0.1&lt;D58,"Exceed 10% Rule","")</f>
      </c>
      <c r="E59" s="306">
        <f>IF(E60*0.1&lt;E58,"Exceed 10% Rule","")</f>
      </c>
    </row>
    <row r="60" spans="2:5" ht="15.75">
      <c r="B60" s="307" t="s">
        <v>865</v>
      </c>
      <c r="C60" s="353">
        <f>SUM(C49:C58)</f>
        <v>328014</v>
      </c>
      <c r="D60" s="353">
        <f>SUM(D49:D58)</f>
        <v>323500</v>
      </c>
      <c r="E60" s="353">
        <f>SUM(E49:E58)</f>
        <v>367000</v>
      </c>
    </row>
    <row r="61" spans="2:5" ht="15.75">
      <c r="B61" s="154" t="s">
        <v>570</v>
      </c>
      <c r="C61" s="100">
        <f>C47-C60</f>
        <v>304918</v>
      </c>
      <c r="D61" s="100">
        <f>D47-D60</f>
        <v>211418</v>
      </c>
      <c r="E61" s="100">
        <f>E47-E60</f>
        <v>74418</v>
      </c>
    </row>
    <row r="62" spans="2:5" ht="15.75">
      <c r="B62" s="286" t="str">
        <f>CONCATENATE("",$E$1-2,"/",$E$1-1," Budget Authority Amount:")</f>
        <v>2010/2011 Budget Authority Amount:</v>
      </c>
      <c r="C62" s="278">
        <v>387168</v>
      </c>
      <c r="D62" s="278">
        <v>334785</v>
      </c>
      <c r="E62" s="473">
        <f>IF($E$61&lt;0,"See Tab E","")</f>
      </c>
    </row>
    <row r="63" spans="2:5" ht="15.75">
      <c r="B63" s="286"/>
      <c r="C63" s="320">
        <f>IF(C60&gt;C62,"See Tab A","")</f>
      </c>
      <c r="D63" s="320">
        <f>IF(D60&gt;D62,"See Tab C","")</f>
      </c>
      <c r="E63" s="69"/>
    </row>
    <row r="64" spans="2:5" ht="15.75">
      <c r="B64" s="286"/>
      <c r="C64" s="320">
        <f>IF(C61&lt;0,"See Tab B","")</f>
      </c>
      <c r="D64" s="320">
        <f>IF(D61&lt;0,"See Tab D","")</f>
      </c>
      <c r="E64" s="69"/>
    </row>
    <row r="65" spans="2:5" ht="15.75">
      <c r="B65" s="69"/>
      <c r="C65" s="69"/>
      <c r="D65" s="69"/>
      <c r="E65" s="69"/>
    </row>
    <row r="66" spans="2:5" ht="15.75">
      <c r="B66" s="321" t="s">
        <v>477</v>
      </c>
      <c r="C66" s="339">
        <v>14</v>
      </c>
      <c r="D66" s="69"/>
      <c r="E66" s="69"/>
    </row>
  </sheetData>
  <sheetProtection/>
  <conditionalFormatting sqref="C44">
    <cfRule type="cellIs" priority="1" dxfId="350" operator="greaterThan" stopIfTrue="1">
      <formula>$C$46*0.1</formula>
    </cfRule>
  </conditionalFormatting>
  <conditionalFormatting sqref="D44">
    <cfRule type="cellIs" priority="2" dxfId="350" operator="greaterThan" stopIfTrue="1">
      <formula>$D$46*0.1</formula>
    </cfRule>
  </conditionalFormatting>
  <conditionalFormatting sqref="E44">
    <cfRule type="cellIs" priority="3" dxfId="350" operator="greaterThan" stopIfTrue="1">
      <formula>$E$46*0.1</formula>
    </cfRule>
  </conditionalFormatting>
  <conditionalFormatting sqref="C58">
    <cfRule type="cellIs" priority="4" dxfId="350" operator="greaterThan" stopIfTrue="1">
      <formula>$C$60*0.1</formula>
    </cfRule>
  </conditionalFormatting>
  <conditionalFormatting sqref="D58">
    <cfRule type="cellIs" priority="5" dxfId="350" operator="greaterThan" stopIfTrue="1">
      <formula>$D$60*0.1</formula>
    </cfRule>
  </conditionalFormatting>
  <conditionalFormatting sqref="E58">
    <cfRule type="cellIs" priority="6" dxfId="350" operator="greaterThan" stopIfTrue="1">
      <formula>$E$60*0.1</formula>
    </cfRule>
  </conditionalFormatting>
  <conditionalFormatting sqref="C27">
    <cfRule type="cellIs" priority="7" dxfId="350" operator="greaterThan" stopIfTrue="1">
      <formula>$C$29*0.1</formula>
    </cfRule>
  </conditionalFormatting>
  <conditionalFormatting sqref="D27">
    <cfRule type="cellIs" priority="8" dxfId="350" operator="greaterThan" stopIfTrue="1">
      <formula>$D$29*0.1</formula>
    </cfRule>
  </conditionalFormatting>
  <conditionalFormatting sqref="E27">
    <cfRule type="cellIs" priority="9" dxfId="350" operator="greaterThan" stopIfTrue="1">
      <formula>$E$29*0.1</formula>
    </cfRule>
  </conditionalFormatting>
  <conditionalFormatting sqref="C13">
    <cfRule type="cellIs" priority="10" dxfId="350" operator="greaterThan" stopIfTrue="1">
      <formula>$C$15*0.1</formula>
    </cfRule>
  </conditionalFormatting>
  <conditionalFormatting sqref="D13">
    <cfRule type="cellIs" priority="11" dxfId="350" operator="greaterThan" stopIfTrue="1">
      <formula>$D$15*0.1</formula>
    </cfRule>
  </conditionalFormatting>
  <conditionalFormatting sqref="E13">
    <cfRule type="cellIs" priority="12" dxfId="350" operator="greaterThan" stopIfTrue="1">
      <formula>$E$15*0.1</formula>
    </cfRule>
  </conditionalFormatting>
  <conditionalFormatting sqref="E61 E30 C30 C61">
    <cfRule type="cellIs" priority="13" dxfId="2" operator="lessThan" stopIfTrue="1">
      <formula>0</formula>
    </cfRule>
  </conditionalFormatting>
  <conditionalFormatting sqref="C29">
    <cfRule type="cellIs" priority="14" dxfId="2" operator="greaterThan" stopIfTrue="1">
      <formula>$C$31</formula>
    </cfRule>
  </conditionalFormatting>
  <conditionalFormatting sqref="D29">
    <cfRule type="cellIs" priority="15" dxfId="2" operator="greaterThan" stopIfTrue="1">
      <formula>$D$31</formula>
    </cfRule>
  </conditionalFormatting>
  <conditionalFormatting sqref="D60">
    <cfRule type="cellIs" priority="16" dxfId="2" operator="greaterThan" stopIfTrue="1">
      <formula>$D$62</formula>
    </cfRule>
  </conditionalFormatting>
  <conditionalFormatting sqref="C60">
    <cfRule type="cellIs" priority="17" dxfId="2" operator="greaterThan" stopIfTrue="1">
      <formula>$C$62</formula>
    </cfRule>
  </conditionalFormatting>
  <conditionalFormatting sqref="D30">
    <cfRule type="cellIs" priority="18" dxfId="2" operator="lessThan" stopIfTrue="1">
      <formula>0</formula>
    </cfRule>
  </conditionalFormatting>
  <conditionalFormatting sqref="D61">
    <cfRule type="cellIs" priority="19" dxfId="2" operator="lessThan" stopIfTrue="1">
      <formula>0</formula>
    </cfRule>
  </conditionalFormatting>
  <printOptions/>
  <pageMargins left="1.12" right="0.5" top="0.74" bottom="0.34" header="0.5" footer="0"/>
  <pageSetup blackAndWhite="1" fitToHeight="1" fitToWidth="1" horizontalDpi="120" verticalDpi="120" orientation="portrait" scale="78" r:id="rId1"/>
  <headerFooter alignWithMargins="0">
    <oddHeader>&amp;RState of Kansas
County
</oddHeader>
  </headerFooter>
</worksheet>
</file>

<file path=xl/worksheets/sheet32.xml><?xml version="1.0" encoding="utf-8"?>
<worksheet xmlns="http://schemas.openxmlformats.org/spreadsheetml/2006/main" xmlns:r="http://schemas.openxmlformats.org/officeDocument/2006/relationships">
  <sheetPr>
    <pageSetUpPr fitToPage="1"/>
  </sheetPr>
  <dimension ref="B1:E66"/>
  <sheetViews>
    <sheetView zoomScalePageLayoutView="0" workbookViewId="0" topLeftCell="A52">
      <selection activeCell="D51" sqref="D51"/>
    </sheetView>
  </sheetViews>
  <sheetFormatPr defaultColWidth="8.796875" defaultRowHeight="15"/>
  <cols>
    <col min="1" max="1" width="2.3984375" style="53" customWidth="1"/>
    <col min="2" max="2" width="31.09765625" style="53" customWidth="1"/>
    <col min="3" max="4" width="15.796875" style="53" customWidth="1"/>
    <col min="5" max="5" width="16.19921875" style="53" customWidth="1"/>
    <col min="6" max="16384" width="8.8984375" style="53" customWidth="1"/>
  </cols>
  <sheetData>
    <row r="1" spans="2:5" ht="15.75">
      <c r="B1" s="205" t="str">
        <f>(inputPrYr!C3)</f>
        <v>MORRIS COUNTY</v>
      </c>
      <c r="C1" s="69"/>
      <c r="D1" s="69"/>
      <c r="E1" s="285">
        <f>inputPrYr!C5</f>
        <v>2012</v>
      </c>
    </row>
    <row r="2" spans="2:5" ht="15.75">
      <c r="B2" s="69"/>
      <c r="C2" s="69"/>
      <c r="D2" s="69"/>
      <c r="E2" s="109"/>
    </row>
    <row r="3" spans="2:5" ht="15.75">
      <c r="B3" s="214" t="s">
        <v>529</v>
      </c>
      <c r="C3" s="322"/>
      <c r="D3" s="322"/>
      <c r="E3" s="323"/>
    </row>
    <row r="4" spans="2:5" ht="15.75">
      <c r="B4" s="69"/>
      <c r="C4" s="146"/>
      <c r="D4" s="146"/>
      <c r="E4" s="146"/>
    </row>
    <row r="5" spans="2:5" ht="15.75">
      <c r="B5" s="68" t="s">
        <v>851</v>
      </c>
      <c r="C5" s="535" t="s">
        <v>479</v>
      </c>
      <c r="D5" s="536" t="s">
        <v>226</v>
      </c>
      <c r="E5" s="536" t="s">
        <v>227</v>
      </c>
    </row>
    <row r="6" spans="2:5" ht="15.75">
      <c r="B6" s="472" t="str">
        <f>inputPrYr!$B$46</f>
        <v>911 Emergency</v>
      </c>
      <c r="C6" s="311">
        <f>E1-2</f>
        <v>2010</v>
      </c>
      <c r="D6" s="311">
        <f>E1-1</f>
        <v>2011</v>
      </c>
      <c r="E6" s="311">
        <f>E1</f>
        <v>2012</v>
      </c>
    </row>
    <row r="7" spans="2:5" ht="15.75">
      <c r="B7" s="154" t="s">
        <v>569</v>
      </c>
      <c r="C7" s="96">
        <v>97375</v>
      </c>
      <c r="D7" s="264">
        <f>C30</f>
        <v>114095</v>
      </c>
      <c r="E7" s="264">
        <f>D30</f>
        <v>73095</v>
      </c>
    </row>
    <row r="8" spans="2:5" ht="15.75">
      <c r="B8" s="176" t="s">
        <v>571</v>
      </c>
      <c r="C8" s="164"/>
      <c r="D8" s="164"/>
      <c r="E8" s="164"/>
    </row>
    <row r="9" spans="2:5" ht="15.75">
      <c r="B9" s="316" t="s">
        <v>718</v>
      </c>
      <c r="C9" s="96">
        <v>30314</v>
      </c>
      <c r="D9" s="96">
        <v>24000</v>
      </c>
      <c r="E9" s="96">
        <v>24000</v>
      </c>
    </row>
    <row r="10" spans="2:5" ht="15.75">
      <c r="B10" s="316"/>
      <c r="C10" s="96"/>
      <c r="D10" s="96"/>
      <c r="E10" s="96"/>
    </row>
    <row r="11" spans="2:5" ht="15.75">
      <c r="B11" s="316"/>
      <c r="C11" s="96"/>
      <c r="D11" s="96"/>
      <c r="E11" s="96"/>
    </row>
    <row r="12" spans="2:5" ht="15.75">
      <c r="B12" s="304" t="s">
        <v>859</v>
      </c>
      <c r="C12" s="96"/>
      <c r="D12" s="96"/>
      <c r="E12" s="96"/>
    </row>
    <row r="13" spans="2:5" ht="15.75">
      <c r="B13" s="305" t="s">
        <v>966</v>
      </c>
      <c r="C13" s="96"/>
      <c r="D13" s="325"/>
      <c r="E13" s="325"/>
    </row>
    <row r="14" spans="2:5" ht="15.75">
      <c r="B14" s="305" t="s">
        <v>921</v>
      </c>
      <c r="C14" s="464">
        <f>IF(C15*0.1&lt;C13,"Exceed 10% Rule","")</f>
      </c>
      <c r="D14" s="306">
        <f>IF(D15*0.1&lt;D13,"Exceed 10% Rule","")</f>
      </c>
      <c r="E14" s="306">
        <f>IF(E15*0.1&lt;E13,"Exceed 10% Rule","")</f>
      </c>
    </row>
    <row r="15" spans="2:5" ht="15.75">
      <c r="B15" s="307" t="s">
        <v>860</v>
      </c>
      <c r="C15" s="353">
        <f>SUM(C9:C13)</f>
        <v>30314</v>
      </c>
      <c r="D15" s="353">
        <f>SUM(D9:D13)</f>
        <v>24000</v>
      </c>
      <c r="E15" s="353">
        <f>SUM(E9:E13)</f>
        <v>24000</v>
      </c>
    </row>
    <row r="16" spans="2:5" ht="15.75">
      <c r="B16" s="307" t="s">
        <v>861</v>
      </c>
      <c r="C16" s="353">
        <f>C15+C7</f>
        <v>127689</v>
      </c>
      <c r="D16" s="353">
        <f>D15+D7</f>
        <v>138095</v>
      </c>
      <c r="E16" s="353">
        <f>E15+E7</f>
        <v>97095</v>
      </c>
    </row>
    <row r="17" spans="2:5" ht="15.75">
      <c r="B17" s="154" t="s">
        <v>864</v>
      </c>
      <c r="C17" s="264"/>
      <c r="D17" s="264"/>
      <c r="E17" s="264"/>
    </row>
    <row r="18" spans="2:5" ht="15.75">
      <c r="B18" s="316"/>
      <c r="C18" s="96"/>
      <c r="D18" s="96"/>
      <c r="E18" s="96"/>
    </row>
    <row r="19" spans="2:5" ht="15.75">
      <c r="B19" s="316" t="s">
        <v>358</v>
      </c>
      <c r="C19" s="96">
        <v>645</v>
      </c>
      <c r="D19" s="96">
        <v>5000</v>
      </c>
      <c r="E19" s="96">
        <v>6000</v>
      </c>
    </row>
    <row r="20" spans="2:5" ht="15.75">
      <c r="B20" s="316" t="s">
        <v>359</v>
      </c>
      <c r="C20" s="96">
        <v>12949</v>
      </c>
      <c r="D20" s="96">
        <v>20000</v>
      </c>
      <c r="E20" s="96">
        <v>20000</v>
      </c>
    </row>
    <row r="21" spans="2:5" ht="15.75">
      <c r="B21" s="316" t="s">
        <v>360</v>
      </c>
      <c r="C21" s="96"/>
      <c r="D21" s="96">
        <v>40000</v>
      </c>
      <c r="E21" s="96">
        <v>50000</v>
      </c>
    </row>
    <row r="22" spans="2:5" ht="15.75">
      <c r="B22" s="316"/>
      <c r="C22" s="96"/>
      <c r="D22" s="96"/>
      <c r="E22" s="96"/>
    </row>
    <row r="23" spans="2:5" ht="15.75">
      <c r="B23" s="316"/>
      <c r="C23" s="96"/>
      <c r="D23" s="96"/>
      <c r="E23" s="96"/>
    </row>
    <row r="24" spans="2:5" ht="15.75">
      <c r="B24" s="316"/>
      <c r="C24" s="96"/>
      <c r="D24" s="96"/>
      <c r="E24" s="96"/>
    </row>
    <row r="25" spans="2:5" ht="15.75">
      <c r="B25" s="316"/>
      <c r="C25" s="96"/>
      <c r="D25" s="96"/>
      <c r="E25" s="96"/>
    </row>
    <row r="26" spans="2:5" ht="15.75">
      <c r="B26" s="316"/>
      <c r="C26" s="96"/>
      <c r="D26" s="96"/>
      <c r="E26" s="96"/>
    </row>
    <row r="27" spans="2:5" ht="15.75">
      <c r="B27" s="305" t="s">
        <v>966</v>
      </c>
      <c r="C27" s="96"/>
      <c r="D27" s="325"/>
      <c r="E27" s="325"/>
    </row>
    <row r="28" spans="2:5" ht="15.75">
      <c r="B28" s="305" t="s">
        <v>922</v>
      </c>
      <c r="C28" s="464">
        <f>IF(C29*0.1&lt;C27,"Exceed 10% Rule","")</f>
      </c>
      <c r="D28" s="306">
        <f>IF(D29*0.1&lt;D27,"Exceed 10% Rule","")</f>
      </c>
      <c r="E28" s="306">
        <f>IF(E29*0.1&lt;E27,"Exceed 10% Rule","")</f>
      </c>
    </row>
    <row r="29" spans="2:5" ht="15.75">
      <c r="B29" s="307" t="s">
        <v>865</v>
      </c>
      <c r="C29" s="353">
        <f>SUM(C18:C27)</f>
        <v>13594</v>
      </c>
      <c r="D29" s="353">
        <f>SUM(D18:D27)</f>
        <v>65000</v>
      </c>
      <c r="E29" s="353">
        <f>SUM(E18:E27)</f>
        <v>76000</v>
      </c>
    </row>
    <row r="30" spans="2:5" ht="15.75">
      <c r="B30" s="154" t="s">
        <v>570</v>
      </c>
      <c r="C30" s="100">
        <f>C16-C29</f>
        <v>114095</v>
      </c>
      <c r="D30" s="100">
        <f>D16-D29</f>
        <v>73095</v>
      </c>
      <c r="E30" s="100">
        <f>E16-E29</f>
        <v>21095</v>
      </c>
    </row>
    <row r="31" spans="2:5" ht="15.75">
      <c r="B31" s="286" t="str">
        <f>CONCATENATE("",$E$1-2,"/",$E$1-1," Budget Authority Amount:")</f>
        <v>2010/2011 Budget Authority Amount:</v>
      </c>
      <c r="C31" s="278">
        <f>inputOth!B57</f>
        <v>93500</v>
      </c>
      <c r="D31" s="278">
        <f>inputPrYr!D46</f>
        <v>93500</v>
      </c>
      <c r="E31" s="483">
        <f>IF($E$30&lt;0,"See Tab E","")</f>
      </c>
    </row>
    <row r="32" spans="2:5" ht="15.75">
      <c r="B32" s="286"/>
      <c r="C32" s="320">
        <f>IF(C29&gt;C31,"See Tab A","")</f>
      </c>
      <c r="D32" s="320">
        <f>IF(D29&gt;D31,"See Tab C","")</f>
      </c>
      <c r="E32" s="129"/>
    </row>
    <row r="33" spans="2:5" ht="15.75">
      <c r="B33" s="286"/>
      <c r="C33" s="320">
        <f>IF(C30&lt;0,"See Tab B","")</f>
      </c>
      <c r="D33" s="320">
        <f>IF(D30&lt;0,"See Tab D","")</f>
      </c>
      <c r="E33" s="129"/>
    </row>
    <row r="34" spans="2:5" ht="15.75">
      <c r="B34" s="69"/>
      <c r="C34" s="129"/>
      <c r="D34" s="129"/>
      <c r="E34" s="129"/>
    </row>
    <row r="35" spans="2:5" ht="15.75">
      <c r="B35" s="68" t="s">
        <v>851</v>
      </c>
      <c r="C35" s="146"/>
      <c r="D35" s="146"/>
      <c r="E35" s="146"/>
    </row>
    <row r="36" spans="2:5" ht="15.75">
      <c r="B36" s="69"/>
      <c r="C36" s="535" t="str">
        <f aca="true" t="shared" si="0" ref="C36:E37">C5</f>
        <v>Prior Year Actual</v>
      </c>
      <c r="D36" s="536" t="str">
        <f t="shared" si="0"/>
        <v>Current Year Estimate</v>
      </c>
      <c r="E36" s="536" t="str">
        <f t="shared" si="0"/>
        <v>Proposed Budget Year</v>
      </c>
    </row>
    <row r="37" spans="2:5" ht="15.75">
      <c r="B37" s="472" t="str">
        <f>inputPrYr!$B$47</f>
        <v>911 Wireless</v>
      </c>
      <c r="C37" s="311">
        <f t="shared" si="0"/>
        <v>2010</v>
      </c>
      <c r="D37" s="311">
        <f t="shared" si="0"/>
        <v>2011</v>
      </c>
      <c r="E37" s="311">
        <f t="shared" si="0"/>
        <v>2012</v>
      </c>
    </row>
    <row r="38" spans="2:5" ht="15.75">
      <c r="B38" s="154" t="s">
        <v>569</v>
      </c>
      <c r="C38" s="96">
        <v>47380</v>
      </c>
      <c r="D38" s="264">
        <f>C61</f>
        <v>52415</v>
      </c>
      <c r="E38" s="264">
        <f>D61</f>
        <v>42415</v>
      </c>
    </row>
    <row r="39" spans="2:5" ht="15.75">
      <c r="B39" s="154" t="s">
        <v>571</v>
      </c>
      <c r="C39" s="164"/>
      <c r="D39" s="164"/>
      <c r="E39" s="164"/>
    </row>
    <row r="40" spans="2:5" ht="15.75">
      <c r="B40" s="316"/>
      <c r="C40" s="96"/>
      <c r="D40" s="96"/>
      <c r="E40" s="96"/>
    </row>
    <row r="41" spans="2:5" ht="15.75">
      <c r="B41" s="316" t="s">
        <v>719</v>
      </c>
      <c r="C41" s="96">
        <v>12968</v>
      </c>
      <c r="D41" s="96">
        <v>15000</v>
      </c>
      <c r="E41" s="96">
        <v>15000</v>
      </c>
    </row>
    <row r="42" spans="2:5" ht="15.75">
      <c r="B42" s="316"/>
      <c r="C42" s="96"/>
      <c r="D42" s="96"/>
      <c r="E42" s="96"/>
    </row>
    <row r="43" spans="2:5" ht="15.75">
      <c r="B43" s="304" t="s">
        <v>859</v>
      </c>
      <c r="C43" s="96"/>
      <c r="D43" s="96"/>
      <c r="E43" s="96"/>
    </row>
    <row r="44" spans="2:5" ht="15.75">
      <c r="B44" s="305" t="s">
        <v>966</v>
      </c>
      <c r="C44" s="96"/>
      <c r="D44" s="325"/>
      <c r="E44" s="325"/>
    </row>
    <row r="45" spans="2:5" ht="15.75">
      <c r="B45" s="305" t="s">
        <v>921</v>
      </c>
      <c r="C45" s="464">
        <f>IF(C46*0.1&lt;C44,"Exceed 10% Rule","")</f>
      </c>
      <c r="D45" s="306">
        <f>IF(D46*0.1&lt;D44,"Exceed 10% Rule","")</f>
      </c>
      <c r="E45" s="306">
        <f>IF(E46*0.1&lt;E44,"Exceed 10% Rule","")</f>
      </c>
    </row>
    <row r="46" spans="2:5" ht="15.75">
      <c r="B46" s="307" t="s">
        <v>860</v>
      </c>
      <c r="C46" s="353">
        <f>SUM(C40:C44)</f>
        <v>12968</v>
      </c>
      <c r="D46" s="353">
        <f>SUM(D40:D44)</f>
        <v>15000</v>
      </c>
      <c r="E46" s="353">
        <f>SUM(E40:E44)</f>
        <v>15000</v>
      </c>
    </row>
    <row r="47" spans="2:5" ht="15.75">
      <c r="B47" s="307" t="s">
        <v>861</v>
      </c>
      <c r="C47" s="353">
        <f>C38+C46</f>
        <v>60348</v>
      </c>
      <c r="D47" s="353">
        <f>D38+D46</f>
        <v>67415</v>
      </c>
      <c r="E47" s="353">
        <f>E38+E46</f>
        <v>57415</v>
      </c>
    </row>
    <row r="48" spans="2:5" ht="15.75">
      <c r="B48" s="154" t="s">
        <v>864</v>
      </c>
      <c r="C48" s="264"/>
      <c r="D48" s="264"/>
      <c r="E48" s="264"/>
    </row>
    <row r="49" spans="2:5" ht="15.75">
      <c r="B49" s="316"/>
      <c r="C49" s="96"/>
      <c r="D49" s="96"/>
      <c r="E49" s="96"/>
    </row>
    <row r="50" spans="2:5" ht="15.75">
      <c r="B50" s="316" t="s">
        <v>720</v>
      </c>
      <c r="C50" s="96">
        <v>7933</v>
      </c>
      <c r="D50" s="96">
        <v>25000</v>
      </c>
      <c r="E50" s="96">
        <v>30000</v>
      </c>
    </row>
    <row r="51" spans="2:5" ht="15.75">
      <c r="B51" s="316"/>
      <c r="C51" s="96"/>
      <c r="D51" s="96"/>
      <c r="E51" s="96"/>
    </row>
    <row r="52" spans="2:5" ht="15.75">
      <c r="B52" s="316"/>
      <c r="C52" s="96"/>
      <c r="D52" s="96"/>
      <c r="E52" s="96"/>
    </row>
    <row r="53" spans="2:5" ht="15.75">
      <c r="B53" s="316"/>
      <c r="C53" s="96"/>
      <c r="D53" s="96"/>
      <c r="E53" s="96"/>
    </row>
    <row r="54" spans="2:5" ht="15.75">
      <c r="B54" s="316"/>
      <c r="C54" s="96"/>
      <c r="D54" s="96"/>
      <c r="E54" s="96"/>
    </row>
    <row r="55" spans="2:5" ht="15.75">
      <c r="B55" s="316"/>
      <c r="C55" s="96"/>
      <c r="D55" s="96"/>
      <c r="E55" s="96"/>
    </row>
    <row r="56" spans="2:5" ht="15.75">
      <c r="B56" s="316"/>
      <c r="C56" s="96"/>
      <c r="D56" s="96"/>
      <c r="E56" s="96"/>
    </row>
    <row r="57" spans="2:5" ht="15.75">
      <c r="B57" s="316"/>
      <c r="C57" s="96"/>
      <c r="D57" s="96"/>
      <c r="E57" s="96"/>
    </row>
    <row r="58" spans="2:5" ht="15.75">
      <c r="B58" s="305" t="s">
        <v>966</v>
      </c>
      <c r="C58" s="96"/>
      <c r="D58" s="325"/>
      <c r="E58" s="325"/>
    </row>
    <row r="59" spans="2:5" ht="15.75">
      <c r="B59" s="305" t="s">
        <v>922</v>
      </c>
      <c r="C59" s="464">
        <f>IF(C60*0.1&lt;C58,"Exceed 10% Rule","")</f>
      </c>
      <c r="D59" s="306">
        <f>IF(D60*0.1&lt;D58,"Exceed 10% Rule","")</f>
      </c>
      <c r="E59" s="306">
        <f>IF(E60*0.1&lt;E58,"Exceed 10% Rule","")</f>
      </c>
    </row>
    <row r="60" spans="2:5" ht="15.75">
      <c r="B60" s="307" t="s">
        <v>865</v>
      </c>
      <c r="C60" s="353">
        <f>SUM(C49:C58)</f>
        <v>7933</v>
      </c>
      <c r="D60" s="353">
        <f>SUM(D49:D58)</f>
        <v>25000</v>
      </c>
      <c r="E60" s="353">
        <f>SUM(E49:E58)</f>
        <v>30000</v>
      </c>
    </row>
    <row r="61" spans="2:5" ht="15.75">
      <c r="B61" s="154" t="s">
        <v>570</v>
      </c>
      <c r="C61" s="100">
        <f>C47-C60</f>
        <v>52415</v>
      </c>
      <c r="D61" s="100">
        <f>D47-D60</f>
        <v>42415</v>
      </c>
      <c r="E61" s="100">
        <f>E47-E60</f>
        <v>27415</v>
      </c>
    </row>
    <row r="62" spans="2:5" ht="15.75">
      <c r="B62" s="286" t="str">
        <f>CONCATENATE("",$E$1-2,"/",$E$1-1," Budget Authority Amount:")</f>
        <v>2010/2011 Budget Authority Amount:</v>
      </c>
      <c r="C62" s="278">
        <f>inputOth!B58</f>
        <v>20000</v>
      </c>
      <c r="D62" s="278">
        <f>inputPrYr!D47</f>
        <v>25000</v>
      </c>
      <c r="E62" s="473">
        <f>IF($E$61&lt;0,"See Tab E","")</f>
      </c>
    </row>
    <row r="63" spans="2:5" ht="15.75">
      <c r="B63" s="286"/>
      <c r="C63" s="320">
        <f>IF(C60&gt;C62,"See Tab A","")</f>
      </c>
      <c r="D63" s="320">
        <f>IF(D60&gt;D62,"See Tab C","")</f>
      </c>
      <c r="E63" s="69"/>
    </row>
    <row r="64" spans="2:5" ht="15.75">
      <c r="B64" s="286"/>
      <c r="C64" s="320">
        <f>IF(C61&lt;0,"See Tab B","")</f>
      </c>
      <c r="D64" s="320">
        <f>IF(D61&lt;0,"See Tab D","")</f>
      </c>
      <c r="E64" s="69"/>
    </row>
    <row r="65" spans="2:5" ht="15.75">
      <c r="B65" s="69"/>
      <c r="C65" s="69"/>
      <c r="D65" s="69"/>
      <c r="E65" s="69"/>
    </row>
    <row r="66" spans="2:5" ht="15.75">
      <c r="B66" s="321" t="s">
        <v>477</v>
      </c>
      <c r="C66" s="339">
        <v>15</v>
      </c>
      <c r="D66" s="69"/>
      <c r="E66" s="69"/>
    </row>
  </sheetData>
  <sheetProtection sheet="1"/>
  <conditionalFormatting sqref="C44">
    <cfRule type="cellIs" priority="3" dxfId="350" operator="greaterThan" stopIfTrue="1">
      <formula>$C$46*0.1</formula>
    </cfRule>
  </conditionalFormatting>
  <conditionalFormatting sqref="D44">
    <cfRule type="cellIs" priority="4" dxfId="350" operator="greaterThan" stopIfTrue="1">
      <formula>$D$46*0.1</formula>
    </cfRule>
  </conditionalFormatting>
  <conditionalFormatting sqref="E44">
    <cfRule type="cellIs" priority="5" dxfId="350" operator="greaterThan" stopIfTrue="1">
      <formula>$E$46*0.1</formula>
    </cfRule>
  </conditionalFormatting>
  <conditionalFormatting sqref="C58">
    <cfRule type="cellIs" priority="6" dxfId="350" operator="greaterThan" stopIfTrue="1">
      <formula>$C$60*0.1</formula>
    </cfRule>
  </conditionalFormatting>
  <conditionalFormatting sqref="D58">
    <cfRule type="cellIs" priority="7" dxfId="350" operator="greaterThan" stopIfTrue="1">
      <formula>$D$60*0.1</formula>
    </cfRule>
  </conditionalFormatting>
  <conditionalFormatting sqref="E58">
    <cfRule type="cellIs" priority="8" dxfId="350" operator="greaterThan" stopIfTrue="1">
      <formula>$E$60*0.1</formula>
    </cfRule>
  </conditionalFormatting>
  <conditionalFormatting sqref="C27">
    <cfRule type="cellIs" priority="9" dxfId="350" operator="greaterThan" stopIfTrue="1">
      <formula>$C$29*0.1</formula>
    </cfRule>
  </conditionalFormatting>
  <conditionalFormatting sqref="D27">
    <cfRule type="cellIs" priority="10" dxfId="350" operator="greaterThan" stopIfTrue="1">
      <formula>$D$29*0.1</formula>
    </cfRule>
  </conditionalFormatting>
  <conditionalFormatting sqref="E27">
    <cfRule type="cellIs" priority="11" dxfId="350" operator="greaterThan" stopIfTrue="1">
      <formula>$E$29*0.1</formula>
    </cfRule>
  </conditionalFormatting>
  <conditionalFormatting sqref="C13">
    <cfRule type="cellIs" priority="12" dxfId="350" operator="greaterThan" stopIfTrue="1">
      <formula>$C$15*0.1</formula>
    </cfRule>
  </conditionalFormatting>
  <conditionalFormatting sqref="D13">
    <cfRule type="cellIs" priority="13" dxfId="350" operator="greaterThan" stopIfTrue="1">
      <formula>$D$15*0.1</formula>
    </cfRule>
  </conditionalFormatting>
  <conditionalFormatting sqref="E13">
    <cfRule type="cellIs" priority="14" dxfId="350" operator="greaterThan" stopIfTrue="1">
      <formula>$E$15*0.1</formula>
    </cfRule>
  </conditionalFormatting>
  <conditionalFormatting sqref="D60">
    <cfRule type="cellIs" priority="15" dxfId="2" operator="greaterThan" stopIfTrue="1">
      <formula>$D$62</formula>
    </cfRule>
  </conditionalFormatting>
  <conditionalFormatting sqref="C60">
    <cfRule type="cellIs" priority="16" dxfId="2" operator="greaterThan" stopIfTrue="1">
      <formula>$C$62</formula>
    </cfRule>
  </conditionalFormatting>
  <conditionalFormatting sqref="E61 C61 E30 C30">
    <cfRule type="cellIs" priority="17" dxfId="2" operator="lessThan" stopIfTrue="1">
      <formula>0</formula>
    </cfRule>
  </conditionalFormatting>
  <conditionalFormatting sqref="C29">
    <cfRule type="cellIs" priority="18" dxfId="2" operator="greaterThan" stopIfTrue="1">
      <formula>$C$31</formula>
    </cfRule>
  </conditionalFormatting>
  <conditionalFormatting sqref="D29">
    <cfRule type="cellIs" priority="19" dxfId="2" operator="greaterThan" stopIfTrue="1">
      <formula>$D$31</formula>
    </cfRule>
  </conditionalFormatting>
  <conditionalFormatting sqref="D30">
    <cfRule type="cellIs" priority="2" dxfId="0" operator="lessThan" stopIfTrue="1">
      <formula>0</formula>
    </cfRule>
  </conditionalFormatting>
  <conditionalFormatting sqref="D61">
    <cfRule type="cellIs" priority="1" dxfId="0" operator="lessThan" stopIfTrue="1">
      <formula>0</formula>
    </cfRule>
  </conditionalFormatting>
  <printOptions/>
  <pageMargins left="1.12" right="0.5" top="0.74" bottom="0.34" header="0.5" footer="0"/>
  <pageSetup blackAndWhite="1" fitToHeight="1" fitToWidth="1" horizontalDpi="120" verticalDpi="120" orientation="portrait" scale="78" r:id="rId1"/>
  <headerFooter alignWithMargins="0">
    <oddHeader>&amp;RState of Kansas
County
</oddHeader>
  </headerFooter>
</worksheet>
</file>

<file path=xl/worksheets/sheet33.xml><?xml version="1.0" encoding="utf-8"?>
<worksheet xmlns="http://schemas.openxmlformats.org/spreadsheetml/2006/main" xmlns:r="http://schemas.openxmlformats.org/officeDocument/2006/relationships">
  <sheetPr>
    <pageSetUpPr fitToPage="1"/>
  </sheetPr>
  <dimension ref="B1:E66"/>
  <sheetViews>
    <sheetView zoomScalePageLayoutView="0" workbookViewId="0" topLeftCell="A1">
      <selection activeCell="C67" sqref="C67"/>
    </sheetView>
  </sheetViews>
  <sheetFormatPr defaultColWidth="8.796875" defaultRowHeight="15"/>
  <cols>
    <col min="1" max="1" width="2.3984375" style="1" customWidth="1"/>
    <col min="2" max="2" width="31.09765625" style="1" customWidth="1"/>
    <col min="3" max="4" width="15.796875" style="1" customWidth="1"/>
    <col min="5" max="5" width="16.296875" style="1" customWidth="1"/>
    <col min="6" max="16384" width="8.8984375" style="1" customWidth="1"/>
  </cols>
  <sheetData>
    <row r="1" spans="2:5" ht="15.75">
      <c r="B1" s="10" t="str">
        <f>(inputPrYr!C3)</f>
        <v>MORRIS COUNTY</v>
      </c>
      <c r="C1" s="6"/>
      <c r="D1" s="6"/>
      <c r="E1" s="28">
        <f>inputPrYr!C5</f>
        <v>2012</v>
      </c>
    </row>
    <row r="2" spans="2:5" ht="15.75">
      <c r="B2" s="6"/>
      <c r="C2" s="6"/>
      <c r="D2" s="6"/>
      <c r="E2" s="5"/>
    </row>
    <row r="3" spans="2:5" ht="15.75">
      <c r="B3" s="12" t="s">
        <v>529</v>
      </c>
      <c r="C3" s="13"/>
      <c r="D3" s="13"/>
      <c r="E3" s="16"/>
    </row>
    <row r="4" spans="2:5" ht="15.75">
      <c r="B4" s="6"/>
      <c r="C4" s="8"/>
      <c r="D4" s="8"/>
      <c r="E4" s="8"/>
    </row>
    <row r="5" spans="2:5" ht="15.75">
      <c r="B5" s="7" t="s">
        <v>851</v>
      </c>
      <c r="C5" s="537" t="s">
        <v>479</v>
      </c>
      <c r="D5" s="538" t="s">
        <v>226</v>
      </c>
      <c r="E5" s="538" t="s">
        <v>227</v>
      </c>
    </row>
    <row r="6" spans="2:5" ht="15.75">
      <c r="B6" s="470" t="str">
        <f>inputPrYr!$B$48</f>
        <v>Diversion</v>
      </c>
      <c r="C6" s="30">
        <f>E1-2</f>
        <v>2010</v>
      </c>
      <c r="D6" s="30">
        <f>E1-1</f>
        <v>2011</v>
      </c>
      <c r="E6" s="30">
        <f>E1</f>
        <v>2012</v>
      </c>
    </row>
    <row r="7" spans="2:5" ht="15.75">
      <c r="B7" s="4" t="s">
        <v>569</v>
      </c>
      <c r="C7" s="2">
        <v>6627</v>
      </c>
      <c r="D7" s="15">
        <f>C30</f>
        <v>2694</v>
      </c>
      <c r="E7" s="15">
        <f>D30</f>
        <v>694</v>
      </c>
    </row>
    <row r="8" spans="2:5" ht="15.75">
      <c r="B8" s="42" t="s">
        <v>571</v>
      </c>
      <c r="C8" s="9"/>
      <c r="D8" s="9"/>
      <c r="E8" s="9"/>
    </row>
    <row r="9" spans="2:5" ht="15.75">
      <c r="B9" s="43"/>
      <c r="C9" s="2"/>
      <c r="D9" s="2"/>
      <c r="E9" s="2"/>
    </row>
    <row r="10" spans="2:5" ht="15.75">
      <c r="B10" s="43" t="s">
        <v>708</v>
      </c>
      <c r="C10" s="2">
        <v>8575</v>
      </c>
      <c r="D10" s="2">
        <v>10000</v>
      </c>
      <c r="E10" s="2">
        <v>10000</v>
      </c>
    </row>
    <row r="11" spans="2:5" ht="15.75">
      <c r="B11" s="43"/>
      <c r="C11" s="2"/>
      <c r="D11" s="2"/>
      <c r="E11" s="2"/>
    </row>
    <row r="12" spans="2:5" ht="15.75">
      <c r="B12" s="3" t="s">
        <v>859</v>
      </c>
      <c r="C12" s="2"/>
      <c r="D12" s="2"/>
      <c r="E12" s="2"/>
    </row>
    <row r="13" spans="2:5" ht="15.75">
      <c r="B13" s="29" t="s">
        <v>966</v>
      </c>
      <c r="C13" s="2"/>
      <c r="D13" s="44"/>
      <c r="E13" s="44"/>
    </row>
    <row r="14" spans="2:5" ht="15.75">
      <c r="B14" s="29" t="s">
        <v>921</v>
      </c>
      <c r="C14" s="465">
        <f>IF(C15*0.1&lt;C13,"Exceed 10% Rule","")</f>
      </c>
      <c r="D14" s="45">
        <f>IF(D15*0.1&lt;D13,"Exceed 10% Rule","")</f>
      </c>
      <c r="E14" s="45">
        <f>IF(E15*0.1&lt;E13,"Exceed 10% Rule","")</f>
      </c>
    </row>
    <row r="15" spans="2:5" ht="15.75">
      <c r="B15" s="31" t="s">
        <v>860</v>
      </c>
      <c r="C15" s="41">
        <f>SUM(C9:C13)</f>
        <v>8575</v>
      </c>
      <c r="D15" s="41">
        <f>SUM(D9:D13)</f>
        <v>10000</v>
      </c>
      <c r="E15" s="41">
        <f>SUM(E9:E13)</f>
        <v>10000</v>
      </c>
    </row>
    <row r="16" spans="2:5" ht="15.75">
      <c r="B16" s="31" t="s">
        <v>861</v>
      </c>
      <c r="C16" s="41">
        <f>C15+C7</f>
        <v>15202</v>
      </c>
      <c r="D16" s="41">
        <f>D15+D7</f>
        <v>12694</v>
      </c>
      <c r="E16" s="41">
        <f>E15+E7</f>
        <v>10694</v>
      </c>
    </row>
    <row r="17" spans="2:5" ht="15.75">
      <c r="B17" s="4" t="s">
        <v>864</v>
      </c>
      <c r="C17" s="15"/>
      <c r="D17" s="15"/>
      <c r="E17" s="15"/>
    </row>
    <row r="18" spans="2:5" ht="15.75">
      <c r="B18" s="43"/>
      <c r="C18" s="2"/>
      <c r="D18" s="2"/>
      <c r="E18" s="2"/>
    </row>
    <row r="19" spans="2:5" ht="15.75">
      <c r="B19" s="43" t="s">
        <v>721</v>
      </c>
      <c r="C19" s="2">
        <v>12508</v>
      </c>
      <c r="D19" s="2">
        <v>12000</v>
      </c>
      <c r="E19" s="2">
        <v>10600</v>
      </c>
    </row>
    <row r="20" spans="2:5" ht="15.75">
      <c r="B20" s="43"/>
      <c r="C20" s="2"/>
      <c r="D20" s="2"/>
      <c r="E20" s="2"/>
    </row>
    <row r="21" spans="2:5" ht="15.75">
      <c r="B21" s="43"/>
      <c r="C21" s="2"/>
      <c r="D21" s="2"/>
      <c r="E21" s="2"/>
    </row>
    <row r="22" spans="2:5" ht="15.75">
      <c r="B22" s="43"/>
      <c r="C22" s="2"/>
      <c r="D22" s="2"/>
      <c r="E22" s="2"/>
    </row>
    <row r="23" spans="2:5" ht="15.75">
      <c r="B23" s="43"/>
      <c r="C23" s="2"/>
      <c r="D23" s="2"/>
      <c r="E23" s="2"/>
    </row>
    <row r="24" spans="2:5" ht="15.75">
      <c r="B24" s="43"/>
      <c r="C24" s="2"/>
      <c r="D24" s="2"/>
      <c r="E24" s="2"/>
    </row>
    <row r="25" spans="2:5" ht="15.75">
      <c r="B25" s="43"/>
      <c r="C25" s="2"/>
      <c r="D25" s="2"/>
      <c r="E25" s="2"/>
    </row>
    <row r="26" spans="2:5" ht="15.75">
      <c r="B26" s="43"/>
      <c r="C26" s="2"/>
      <c r="D26" s="2"/>
      <c r="E26" s="2"/>
    </row>
    <row r="27" spans="2:5" ht="15.75">
      <c r="B27" s="29" t="s">
        <v>966</v>
      </c>
      <c r="C27" s="2"/>
      <c r="D27" s="44"/>
      <c r="E27" s="44"/>
    </row>
    <row r="28" spans="2:5" ht="15.75">
      <c r="B28" s="29" t="s">
        <v>922</v>
      </c>
      <c r="C28" s="465">
        <f>IF(C29*0.1&lt;C27,"Exceed 10% Rule","")</f>
      </c>
      <c r="D28" s="45">
        <f>IF(D29*0.1&lt;D27,"Exceed 10% Rule","")</f>
      </c>
      <c r="E28" s="45">
        <f>IF(E29*0.1&lt;E27,"Exceed 10% Rule","")</f>
      </c>
    </row>
    <row r="29" spans="2:5" ht="15.75">
      <c r="B29" s="31" t="s">
        <v>865</v>
      </c>
      <c r="C29" s="41">
        <f>SUM(C18:C27)</f>
        <v>12508</v>
      </c>
      <c r="D29" s="41">
        <f>SUM(D18:D27)</f>
        <v>12000</v>
      </c>
      <c r="E29" s="41">
        <f>SUM(E18:E27)</f>
        <v>10600</v>
      </c>
    </row>
    <row r="30" spans="2:5" ht="15.75">
      <c r="B30" s="4" t="s">
        <v>570</v>
      </c>
      <c r="C30" s="40">
        <f>C16-C29</f>
        <v>2694</v>
      </c>
      <c r="D30" s="40">
        <f>D16-D29</f>
        <v>694</v>
      </c>
      <c r="E30" s="40">
        <f>E16-E29</f>
        <v>94</v>
      </c>
    </row>
    <row r="31" spans="2:5" ht="15.75">
      <c r="B31" s="14" t="str">
        <f>CONCATENATE("",$E$1-2,"/",$E$1-1," Budget Authority Amount:")</f>
        <v>2010/2011 Budget Authority Amount:</v>
      </c>
      <c r="C31" s="474">
        <f>inputOth!B59</f>
        <v>35989</v>
      </c>
      <c r="D31" s="474">
        <f>inputPrYr!D48</f>
        <v>35080</v>
      </c>
      <c r="E31" s="483">
        <f>IF($E$30&lt;0,"See Tab E","")</f>
      </c>
    </row>
    <row r="32" spans="2:5" ht="15.75">
      <c r="B32" s="14"/>
      <c r="C32" s="320">
        <f>IF(C29&gt;C31,"See Tab A","")</f>
      </c>
      <c r="D32" s="320">
        <f>IF(D29&gt;D31,"See Tab C","")</f>
      </c>
      <c r="E32" s="11"/>
    </row>
    <row r="33" spans="2:5" ht="15.75">
      <c r="B33" s="14"/>
      <c r="C33" s="320">
        <f>IF(C30&lt;0,"See Tab B","")</f>
      </c>
      <c r="D33" s="320">
        <f>IF(D30&lt;0,"See Tab D","")</f>
      </c>
      <c r="E33" s="11"/>
    </row>
    <row r="34" spans="2:5" ht="15.75">
      <c r="B34" s="6"/>
      <c r="C34" s="11"/>
      <c r="D34" s="11"/>
      <c r="E34" s="11"/>
    </row>
    <row r="35" spans="2:5" ht="15.75">
      <c r="B35" s="7" t="s">
        <v>851</v>
      </c>
      <c r="C35" s="8"/>
      <c r="D35" s="8"/>
      <c r="E35" s="8"/>
    </row>
    <row r="36" spans="2:5" ht="15.75">
      <c r="B36" s="6"/>
      <c r="C36" s="537" t="str">
        <f aca="true" t="shared" si="0" ref="C36:E37">C5</f>
        <v>Prior Year Actual</v>
      </c>
      <c r="D36" s="538" t="str">
        <f t="shared" si="0"/>
        <v>Current Year Estimate</v>
      </c>
      <c r="E36" s="538" t="str">
        <f t="shared" si="0"/>
        <v>Proposed Budget Year</v>
      </c>
    </row>
    <row r="37" spans="2:5" ht="15.75">
      <c r="B37" s="470">
        <f>inputPrYr!$B$49</f>
        <v>0</v>
      </c>
      <c r="C37" s="30">
        <f t="shared" si="0"/>
        <v>2010</v>
      </c>
      <c r="D37" s="30">
        <f t="shared" si="0"/>
        <v>2011</v>
      </c>
      <c r="E37" s="30">
        <f t="shared" si="0"/>
        <v>2012</v>
      </c>
    </row>
    <row r="38" spans="2:5" ht="15.75">
      <c r="B38" s="4" t="s">
        <v>569</v>
      </c>
      <c r="C38" s="2"/>
      <c r="D38" s="15">
        <f>C61</f>
        <v>0</v>
      </c>
      <c r="E38" s="15">
        <f>D61</f>
        <v>0</v>
      </c>
    </row>
    <row r="39" spans="2:5" ht="15.75">
      <c r="B39" s="4" t="s">
        <v>571</v>
      </c>
      <c r="C39" s="9"/>
      <c r="D39" s="9"/>
      <c r="E39" s="9"/>
    </row>
    <row r="40" spans="2:5" ht="15.75">
      <c r="B40" s="43"/>
      <c r="C40" s="2"/>
      <c r="D40" s="2"/>
      <c r="E40" s="2"/>
    </row>
    <row r="41" spans="2:5" ht="15.75">
      <c r="B41" s="43"/>
      <c r="C41" s="2"/>
      <c r="D41" s="2"/>
      <c r="E41" s="2"/>
    </row>
    <row r="42" spans="2:5" ht="15.75">
      <c r="B42" s="43"/>
      <c r="C42" s="2"/>
      <c r="D42" s="2"/>
      <c r="E42" s="2"/>
    </row>
    <row r="43" spans="2:5" ht="15.75">
      <c r="B43" s="3" t="s">
        <v>859</v>
      </c>
      <c r="C43" s="2"/>
      <c r="D43" s="2"/>
      <c r="E43" s="2"/>
    </row>
    <row r="44" spans="2:5" ht="15.75">
      <c r="B44" s="29" t="s">
        <v>966</v>
      </c>
      <c r="C44" s="2"/>
      <c r="D44" s="44"/>
      <c r="E44" s="44"/>
    </row>
    <row r="45" spans="2:5" ht="15.75">
      <c r="B45" s="29" t="s">
        <v>921</v>
      </c>
      <c r="C45" s="465">
        <f>IF(C46*0.1&lt;C44,"Exceed 10% Rule","")</f>
      </c>
      <c r="D45" s="45">
        <f>IF(D46*0.1&lt;D44,"Exceed 10% Rule","")</f>
      </c>
      <c r="E45" s="45">
        <f>IF(E46*0.1&lt;E44,"Exceed 10% Rule","")</f>
      </c>
    </row>
    <row r="46" spans="2:5" ht="15.75">
      <c r="B46" s="31" t="s">
        <v>860</v>
      </c>
      <c r="C46" s="41">
        <f>SUM(C40:C44)</f>
        <v>0</v>
      </c>
      <c r="D46" s="41">
        <f>SUM(D40:D44)</f>
        <v>0</v>
      </c>
      <c r="E46" s="41">
        <f>SUM(E40:E44)</f>
        <v>0</v>
      </c>
    </row>
    <row r="47" spans="2:5" ht="15.75">
      <c r="B47" s="31" t="s">
        <v>861</v>
      </c>
      <c r="C47" s="41">
        <f>C38+C46</f>
        <v>0</v>
      </c>
      <c r="D47" s="41">
        <f>D38+D46</f>
        <v>0</v>
      </c>
      <c r="E47" s="41">
        <f>E38+E46</f>
        <v>0</v>
      </c>
    </row>
    <row r="48" spans="2:5" ht="15.75">
      <c r="B48" s="4" t="s">
        <v>864</v>
      </c>
      <c r="C48" s="15"/>
      <c r="D48" s="15"/>
      <c r="E48" s="15"/>
    </row>
    <row r="49" spans="2:5" ht="15.75">
      <c r="B49" s="43"/>
      <c r="C49" s="2"/>
      <c r="D49" s="2"/>
      <c r="E49" s="2"/>
    </row>
    <row r="50" spans="2:5" ht="15.75">
      <c r="B50" s="43"/>
      <c r="C50" s="2"/>
      <c r="D50" s="2"/>
      <c r="E50" s="2"/>
    </row>
    <row r="51" spans="2:5" ht="15.75">
      <c r="B51" s="43"/>
      <c r="C51" s="2"/>
      <c r="D51" s="2"/>
      <c r="E51" s="2"/>
    </row>
    <row r="52" spans="2:5" ht="15.75">
      <c r="B52" s="43"/>
      <c r="C52" s="2"/>
      <c r="D52" s="2"/>
      <c r="E52" s="2"/>
    </row>
    <row r="53" spans="2:5" ht="15.75">
      <c r="B53" s="43"/>
      <c r="C53" s="2"/>
      <c r="D53" s="2"/>
      <c r="E53" s="2"/>
    </row>
    <row r="54" spans="2:5" ht="15.75">
      <c r="B54" s="43"/>
      <c r="C54" s="2"/>
      <c r="D54" s="2"/>
      <c r="E54" s="2"/>
    </row>
    <row r="55" spans="2:5" ht="15.75">
      <c r="B55" s="43"/>
      <c r="C55" s="2"/>
      <c r="D55" s="2"/>
      <c r="E55" s="2"/>
    </row>
    <row r="56" spans="2:5" ht="15.75">
      <c r="B56" s="43"/>
      <c r="C56" s="2"/>
      <c r="D56" s="2"/>
      <c r="E56" s="2"/>
    </row>
    <row r="57" spans="2:5" ht="15.75">
      <c r="B57" s="43"/>
      <c r="C57" s="2"/>
      <c r="D57" s="2"/>
      <c r="E57" s="2"/>
    </row>
    <row r="58" spans="2:5" ht="15.75">
      <c r="B58" s="29" t="s">
        <v>966</v>
      </c>
      <c r="C58" s="2"/>
      <c r="D58" s="44"/>
      <c r="E58" s="44"/>
    </row>
    <row r="59" spans="2:5" ht="15.75">
      <c r="B59" s="29" t="s">
        <v>922</v>
      </c>
      <c r="C59" s="465">
        <f>IF(C60*0.1&lt;C58,"Exceed 10% Rule","")</f>
      </c>
      <c r="D59" s="45">
        <f>IF(D60*0.1&lt;D58,"Exceed 10% Rule","")</f>
      </c>
      <c r="E59" s="45">
        <f>IF(E60*0.1&lt;E58,"Exceed 10% Rule","")</f>
      </c>
    </row>
    <row r="60" spans="2:5" ht="15.75">
      <c r="B60" s="31" t="s">
        <v>865</v>
      </c>
      <c r="C60" s="41">
        <f>SUM(C49:C58)</f>
        <v>0</v>
      </c>
      <c r="D60" s="41">
        <f>SUM(D49:D58)</f>
        <v>0</v>
      </c>
      <c r="E60" s="41">
        <f>SUM(E49:E58)</f>
        <v>0</v>
      </c>
    </row>
    <row r="61" spans="2:5" ht="15.75">
      <c r="B61" s="4" t="s">
        <v>570</v>
      </c>
      <c r="C61" s="40">
        <f>C47-C60</f>
        <v>0</v>
      </c>
      <c r="D61" s="40">
        <f>D47-D60</f>
        <v>0</v>
      </c>
      <c r="E61" s="40">
        <f>E47-E60</f>
        <v>0</v>
      </c>
    </row>
    <row r="62" spans="2:5" ht="15.75">
      <c r="B62" s="14" t="str">
        <f>CONCATENATE("",$E$1-2,"/",$E$1-1," Budget Authority Amount:")</f>
        <v>2010/2011 Budget Authority Amount:</v>
      </c>
      <c r="C62" s="474">
        <f>inputOth!B60</f>
        <v>0</v>
      </c>
      <c r="D62" s="474">
        <f>inputPrYr!D49</f>
        <v>0</v>
      </c>
      <c r="E62" s="466">
        <f>IF($E$61&lt;0,"See Tab E","")</f>
      </c>
    </row>
    <row r="63" spans="2:5" ht="15.75">
      <c r="B63" s="14"/>
      <c r="C63" s="320">
        <f>IF(C60&gt;C62,"See Tab A","")</f>
      </c>
      <c r="D63" s="320">
        <f>IF(D60&gt;D62,"See Tab C","")</f>
      </c>
      <c r="E63" s="6"/>
    </row>
    <row r="64" spans="2:5" ht="15.75">
      <c r="B64" s="14"/>
      <c r="C64" s="320">
        <f>IF(C61&lt;0,"See Tab B","")</f>
      </c>
      <c r="D64" s="320">
        <f>IF(D61&lt;0,"See Tab D","")</f>
      </c>
      <c r="E64" s="6"/>
    </row>
    <row r="65" spans="2:5" ht="15.75">
      <c r="B65" s="6"/>
      <c r="C65" s="6"/>
      <c r="D65" s="6"/>
      <c r="E65" s="6"/>
    </row>
    <row r="66" spans="2:5" ht="15.75">
      <c r="B66" s="321" t="s">
        <v>477</v>
      </c>
      <c r="C66" s="32">
        <v>16</v>
      </c>
      <c r="D66" s="6"/>
      <c r="E66" s="6"/>
    </row>
  </sheetData>
  <sheetProtection sheet="1"/>
  <conditionalFormatting sqref="C44">
    <cfRule type="cellIs" priority="3" dxfId="350" operator="greaterThan" stopIfTrue="1">
      <formula>$C$46*0.1</formula>
    </cfRule>
  </conditionalFormatting>
  <conditionalFormatting sqref="D44">
    <cfRule type="cellIs" priority="4" dxfId="350" operator="greaterThan" stopIfTrue="1">
      <formula>$D$46*0.1</formula>
    </cfRule>
  </conditionalFormatting>
  <conditionalFormatting sqref="E44">
    <cfRule type="cellIs" priority="5" dxfId="350" operator="greaterThan" stopIfTrue="1">
      <formula>$E$46*0.1</formula>
    </cfRule>
  </conditionalFormatting>
  <conditionalFormatting sqref="C58">
    <cfRule type="cellIs" priority="6" dxfId="350" operator="greaterThan" stopIfTrue="1">
      <formula>$C$60*0.1</formula>
    </cfRule>
  </conditionalFormatting>
  <conditionalFormatting sqref="D58">
    <cfRule type="cellIs" priority="7" dxfId="350" operator="greaterThan" stopIfTrue="1">
      <formula>$D$60*0.1</formula>
    </cfRule>
  </conditionalFormatting>
  <conditionalFormatting sqref="E58">
    <cfRule type="cellIs" priority="8" dxfId="350" operator="greaterThan" stopIfTrue="1">
      <formula>$E$60*0.1</formula>
    </cfRule>
  </conditionalFormatting>
  <conditionalFormatting sqref="C27">
    <cfRule type="cellIs" priority="9" dxfId="350" operator="greaterThan" stopIfTrue="1">
      <formula>$C$29*0.1</formula>
    </cfRule>
  </conditionalFormatting>
  <conditionalFormatting sqref="D27">
    <cfRule type="cellIs" priority="10" dxfId="350" operator="greaterThan" stopIfTrue="1">
      <formula>$D$29*0.1</formula>
    </cfRule>
  </conditionalFormatting>
  <conditionalFormatting sqref="E27">
    <cfRule type="cellIs" priority="11" dxfId="350" operator="greaterThan" stopIfTrue="1">
      <formula>$E$29*0.1</formula>
    </cfRule>
  </conditionalFormatting>
  <conditionalFormatting sqref="C13">
    <cfRule type="cellIs" priority="12" dxfId="350" operator="greaterThan" stopIfTrue="1">
      <formula>$C$15*0.1</formula>
    </cfRule>
  </conditionalFormatting>
  <conditionalFormatting sqref="D13">
    <cfRule type="cellIs" priority="13" dxfId="350" operator="greaterThan" stopIfTrue="1">
      <formula>$D$15*0.1</formula>
    </cfRule>
  </conditionalFormatting>
  <conditionalFormatting sqref="E13">
    <cfRule type="cellIs" priority="14" dxfId="350" operator="greaterThan" stopIfTrue="1">
      <formula>$E$15*0.1</formula>
    </cfRule>
  </conditionalFormatting>
  <conditionalFormatting sqref="E61 C61 E30 C30">
    <cfRule type="cellIs" priority="15" dxfId="2" operator="lessThan" stopIfTrue="1">
      <formula>0</formula>
    </cfRule>
  </conditionalFormatting>
  <conditionalFormatting sqref="D60">
    <cfRule type="cellIs" priority="16" dxfId="2" operator="greaterThan" stopIfTrue="1">
      <formula>$D$62</formula>
    </cfRule>
  </conditionalFormatting>
  <conditionalFormatting sqref="C60">
    <cfRule type="cellIs" priority="17" dxfId="2" operator="greaterThan" stopIfTrue="1">
      <formula>$C$62</formula>
    </cfRule>
  </conditionalFormatting>
  <conditionalFormatting sqref="C29">
    <cfRule type="cellIs" priority="18" dxfId="2" operator="greaterThan" stopIfTrue="1">
      <formula>$C$31</formula>
    </cfRule>
  </conditionalFormatting>
  <conditionalFormatting sqref="D29">
    <cfRule type="cellIs" priority="19" dxfId="2" operator="greaterThan" stopIfTrue="1">
      <formula>$D$31</formula>
    </cfRule>
  </conditionalFormatting>
  <conditionalFormatting sqref="D30">
    <cfRule type="cellIs" priority="2" dxfId="0" operator="lessThan" stopIfTrue="1">
      <formula>0</formula>
    </cfRule>
  </conditionalFormatting>
  <conditionalFormatting sqref="D61">
    <cfRule type="cellIs" priority="1" dxfId="0" operator="lessThan" stopIfTrue="1">
      <formula>0</formula>
    </cfRule>
  </conditionalFormatting>
  <printOptions/>
  <pageMargins left="1.12" right="0.5" top="0.74" bottom="0.34" header="0.5" footer="0"/>
  <pageSetup blackAndWhite="1" fitToHeight="1" fitToWidth="1" horizontalDpi="120" verticalDpi="120" orientation="portrait" scale="78" r:id="rId1"/>
  <headerFooter alignWithMargins="0">
    <oddHeader>&amp;RState of Kansas
County
</oddHeader>
  </headerFooter>
</worksheet>
</file>

<file path=xl/worksheets/sheet34.xml><?xml version="1.0" encoding="utf-8"?>
<worksheet xmlns="http://schemas.openxmlformats.org/spreadsheetml/2006/main" xmlns:r="http://schemas.openxmlformats.org/officeDocument/2006/relationships">
  <sheetPr>
    <pageSetUpPr fitToPage="1"/>
  </sheetPr>
  <dimension ref="B1:E66"/>
  <sheetViews>
    <sheetView zoomScalePageLayoutView="0" workbookViewId="0" topLeftCell="A1">
      <selection activeCell="E5" sqref="E5"/>
    </sheetView>
  </sheetViews>
  <sheetFormatPr defaultColWidth="8.796875" defaultRowHeight="15"/>
  <cols>
    <col min="1" max="1" width="2.3984375" style="53" customWidth="1"/>
    <col min="2" max="2" width="31.09765625" style="53" customWidth="1"/>
    <col min="3" max="4" width="15.796875" style="53" customWidth="1"/>
    <col min="5" max="5" width="16.19921875" style="53" customWidth="1"/>
    <col min="6" max="16384" width="8.8984375" style="53" customWidth="1"/>
  </cols>
  <sheetData>
    <row r="1" spans="2:5" ht="15.75">
      <c r="B1" s="205" t="str">
        <f>(inputPrYr!C3)</f>
        <v>MORRIS COUNTY</v>
      </c>
      <c r="C1" s="69"/>
      <c r="D1" s="69"/>
      <c r="E1" s="285">
        <f>inputPrYr!C5</f>
        <v>2012</v>
      </c>
    </row>
    <row r="2" spans="2:5" ht="15.75">
      <c r="B2" s="69"/>
      <c r="C2" s="69"/>
      <c r="D2" s="69"/>
      <c r="E2" s="109"/>
    </row>
    <row r="3" spans="2:5" ht="15.75">
      <c r="B3" s="214" t="s">
        <v>529</v>
      </c>
      <c r="C3" s="322"/>
      <c r="D3" s="322"/>
      <c r="E3" s="323"/>
    </row>
    <row r="4" spans="2:5" ht="15.75">
      <c r="B4" s="69"/>
      <c r="C4" s="146"/>
      <c r="D4" s="146"/>
      <c r="E4" s="146"/>
    </row>
    <row r="5" spans="2:5" ht="15.75">
      <c r="B5" s="68" t="s">
        <v>851</v>
      </c>
      <c r="C5" s="535" t="s">
        <v>479</v>
      </c>
      <c r="D5" s="536" t="s">
        <v>226</v>
      </c>
      <c r="E5" s="536" t="s">
        <v>227</v>
      </c>
    </row>
    <row r="6" spans="2:5" ht="15.75">
      <c r="B6" s="472">
        <f>inputPrYr!$B$50</f>
        <v>0</v>
      </c>
      <c r="C6" s="311">
        <f>E1-2</f>
        <v>2010</v>
      </c>
      <c r="D6" s="311">
        <f>E1-1</f>
        <v>2011</v>
      </c>
      <c r="E6" s="311">
        <f>E1</f>
        <v>2012</v>
      </c>
    </row>
    <row r="7" spans="2:5" ht="15.75">
      <c r="B7" s="154" t="s">
        <v>569</v>
      </c>
      <c r="C7" s="96"/>
      <c r="D7" s="264">
        <f>C30</f>
        <v>0</v>
      </c>
      <c r="E7" s="264">
        <f>D30</f>
        <v>0</v>
      </c>
    </row>
    <row r="8" spans="2:5" ht="15.75">
      <c r="B8" s="176" t="s">
        <v>571</v>
      </c>
      <c r="C8" s="164"/>
      <c r="D8" s="164"/>
      <c r="E8" s="164"/>
    </row>
    <row r="9" spans="2:5" ht="15.75">
      <c r="B9" s="316"/>
      <c r="C9" s="96"/>
      <c r="D9" s="96"/>
      <c r="E9" s="96"/>
    </row>
    <row r="10" spans="2:5" ht="15.75">
      <c r="B10" s="316"/>
      <c r="C10" s="96"/>
      <c r="D10" s="96"/>
      <c r="E10" s="96"/>
    </row>
    <row r="11" spans="2:5" ht="15.75">
      <c r="B11" s="316"/>
      <c r="C11" s="96"/>
      <c r="D11" s="96"/>
      <c r="E11" s="96"/>
    </row>
    <row r="12" spans="2:5" ht="15.75">
      <c r="B12" s="304" t="s">
        <v>859</v>
      </c>
      <c r="C12" s="96"/>
      <c r="D12" s="96"/>
      <c r="E12" s="96"/>
    </row>
    <row r="13" spans="2:5" ht="15.75">
      <c r="B13" s="305" t="s">
        <v>966</v>
      </c>
      <c r="C13" s="96"/>
      <c r="D13" s="325"/>
      <c r="E13" s="325"/>
    </row>
    <row r="14" spans="2:5" ht="15.75">
      <c r="B14" s="305" t="s">
        <v>921</v>
      </c>
      <c r="C14" s="464">
        <f>IF(C15*0.1&lt;C13,"Exceed 10% Rule","")</f>
      </c>
      <c r="D14" s="306">
        <f>IF(D15*0.1&lt;D13,"Exceed 10% Rule","")</f>
      </c>
      <c r="E14" s="306">
        <f>IF(E15*0.1&lt;E13,"Exceed 10% Rule","")</f>
      </c>
    </row>
    <row r="15" spans="2:5" ht="15.75">
      <c r="B15" s="307" t="s">
        <v>860</v>
      </c>
      <c r="C15" s="353">
        <f>SUM(C9:C13)</f>
        <v>0</v>
      </c>
      <c r="D15" s="353">
        <f>SUM(D9:D13)</f>
        <v>0</v>
      </c>
      <c r="E15" s="353">
        <f>SUM(E9:E13)</f>
        <v>0</v>
      </c>
    </row>
    <row r="16" spans="2:5" ht="15.75">
      <c r="B16" s="307" t="s">
        <v>861</v>
      </c>
      <c r="C16" s="353">
        <f>C15+C7</f>
        <v>0</v>
      </c>
      <c r="D16" s="353">
        <f>D15+D7</f>
        <v>0</v>
      </c>
      <c r="E16" s="353">
        <f>E15+E7</f>
        <v>0</v>
      </c>
    </row>
    <row r="17" spans="2:5" ht="15.75">
      <c r="B17" s="154" t="s">
        <v>864</v>
      </c>
      <c r="C17" s="264"/>
      <c r="D17" s="264"/>
      <c r="E17" s="264"/>
    </row>
    <row r="18" spans="2:5" ht="15.75">
      <c r="B18" s="316"/>
      <c r="C18" s="96"/>
      <c r="D18" s="96"/>
      <c r="E18" s="96"/>
    </row>
    <row r="19" spans="2:5" ht="15.75">
      <c r="B19" s="316"/>
      <c r="C19" s="96"/>
      <c r="D19" s="96"/>
      <c r="E19" s="96"/>
    </row>
    <row r="20" spans="2:5" ht="15.75">
      <c r="B20" s="316"/>
      <c r="C20" s="96"/>
      <c r="D20" s="96"/>
      <c r="E20" s="96"/>
    </row>
    <row r="21" spans="2:5" ht="15.75">
      <c r="B21" s="316"/>
      <c r="C21" s="96"/>
      <c r="D21" s="96"/>
      <c r="E21" s="96"/>
    </row>
    <row r="22" spans="2:5" ht="15.75">
      <c r="B22" s="316"/>
      <c r="C22" s="96"/>
      <c r="D22" s="96"/>
      <c r="E22" s="96"/>
    </row>
    <row r="23" spans="2:5" ht="15.75">
      <c r="B23" s="316"/>
      <c r="C23" s="96"/>
      <c r="D23" s="96"/>
      <c r="E23" s="96"/>
    </row>
    <row r="24" spans="2:5" ht="15.75">
      <c r="B24" s="316"/>
      <c r="C24" s="96"/>
      <c r="D24" s="96"/>
      <c r="E24" s="96"/>
    </row>
    <row r="25" spans="2:5" ht="15.75">
      <c r="B25" s="316"/>
      <c r="C25" s="96"/>
      <c r="D25" s="96"/>
      <c r="E25" s="96"/>
    </row>
    <row r="26" spans="2:5" ht="15.75">
      <c r="B26" s="316"/>
      <c r="C26" s="96"/>
      <c r="D26" s="96"/>
      <c r="E26" s="96"/>
    </row>
    <row r="27" spans="2:5" ht="15.75">
      <c r="B27" s="305" t="s">
        <v>966</v>
      </c>
      <c r="C27" s="96"/>
      <c r="D27" s="325"/>
      <c r="E27" s="325"/>
    </row>
    <row r="28" spans="2:5" ht="15.75">
      <c r="B28" s="305" t="s">
        <v>922</v>
      </c>
      <c r="C28" s="464">
        <f>IF(C29*0.1&lt;C27,"Exceed 10% Rule","")</f>
      </c>
      <c r="D28" s="306">
        <f>IF(D29*0.1&lt;D27,"Exceed 10% Rule","")</f>
      </c>
      <c r="E28" s="306">
        <f>IF(E29*0.1&lt;E27,"Exceed 10% Rule","")</f>
      </c>
    </row>
    <row r="29" spans="2:5" ht="15.75">
      <c r="B29" s="307" t="s">
        <v>865</v>
      </c>
      <c r="C29" s="353">
        <f>SUM(C18:C27)</f>
        <v>0</v>
      </c>
      <c r="D29" s="353">
        <f>SUM(D18:D27)</f>
        <v>0</v>
      </c>
      <c r="E29" s="353">
        <f>SUM(E18:E27)</f>
        <v>0</v>
      </c>
    </row>
    <row r="30" spans="2:5" ht="15.75">
      <c r="B30" s="154" t="s">
        <v>570</v>
      </c>
      <c r="C30" s="100">
        <f>C16-C29</f>
        <v>0</v>
      </c>
      <c r="D30" s="100">
        <f>D16-D29</f>
        <v>0</v>
      </c>
      <c r="E30" s="100">
        <f>E16-E29</f>
        <v>0</v>
      </c>
    </row>
    <row r="31" spans="2:5" ht="15.75">
      <c r="B31" s="286" t="str">
        <f>CONCATENATE("",$E$1-2,"/",$E$1-1," Budget Authority Amount:")</f>
        <v>2010/2011 Budget Authority Amount:</v>
      </c>
      <c r="C31" s="278">
        <f>inputOth!B61</f>
        <v>0</v>
      </c>
      <c r="D31" s="278">
        <f>inputPrYr!D50</f>
        <v>0</v>
      </c>
      <c r="E31" s="483">
        <f>IF($E$30&lt;0,"See Tab E","")</f>
      </c>
    </row>
    <row r="32" spans="2:5" ht="15.75">
      <c r="B32" s="286"/>
      <c r="C32" s="320">
        <f>IF(C29&gt;C31,"See Tab A","")</f>
      </c>
      <c r="D32" s="320">
        <f>IF(D29&gt;D31,"See Tab C","")</f>
      </c>
      <c r="E32" s="129"/>
    </row>
    <row r="33" spans="2:5" ht="15.75">
      <c r="B33" s="286"/>
      <c r="C33" s="320">
        <f>IF(C30&lt;0,"See Tab B","")</f>
      </c>
      <c r="D33" s="320">
        <f>IF(D30&lt;0,"See Tab D","")</f>
      </c>
      <c r="E33" s="129"/>
    </row>
    <row r="34" spans="2:5" ht="15.75">
      <c r="B34" s="69"/>
      <c r="C34" s="129"/>
      <c r="D34" s="129"/>
      <c r="E34" s="129"/>
    </row>
    <row r="35" spans="2:5" ht="15.75">
      <c r="B35" s="68" t="s">
        <v>851</v>
      </c>
      <c r="C35" s="146"/>
      <c r="D35" s="146"/>
      <c r="E35" s="146"/>
    </row>
    <row r="36" spans="2:5" ht="15.75">
      <c r="B36" s="69"/>
      <c r="C36" s="535" t="str">
        <f aca="true" t="shared" si="0" ref="C36:E37">C5</f>
        <v>Prior Year Actual</v>
      </c>
      <c r="D36" s="536" t="str">
        <f t="shared" si="0"/>
        <v>Current Year Estimate</v>
      </c>
      <c r="E36" s="536" t="str">
        <f t="shared" si="0"/>
        <v>Proposed Budget Year</v>
      </c>
    </row>
    <row r="37" spans="2:5" ht="15.75">
      <c r="B37" s="472">
        <f>inputPrYr!$B$51</f>
        <v>0</v>
      </c>
      <c r="C37" s="311">
        <f t="shared" si="0"/>
        <v>2010</v>
      </c>
      <c r="D37" s="311">
        <f t="shared" si="0"/>
        <v>2011</v>
      </c>
      <c r="E37" s="311">
        <f t="shared" si="0"/>
        <v>2012</v>
      </c>
    </row>
    <row r="38" spans="2:5" ht="15.75">
      <c r="B38" s="154" t="s">
        <v>569</v>
      </c>
      <c r="C38" s="96"/>
      <c r="D38" s="264">
        <f>C61</f>
        <v>0</v>
      </c>
      <c r="E38" s="264">
        <f>D61</f>
        <v>0</v>
      </c>
    </row>
    <row r="39" spans="2:5" ht="15.75">
      <c r="B39" s="176" t="s">
        <v>571</v>
      </c>
      <c r="C39" s="164"/>
      <c r="D39" s="164"/>
      <c r="E39" s="164"/>
    </row>
    <row r="40" spans="2:5" ht="15.75">
      <c r="B40" s="316"/>
      <c r="C40" s="96"/>
      <c r="D40" s="96"/>
      <c r="E40" s="96"/>
    </row>
    <row r="41" spans="2:5" ht="15.75">
      <c r="B41" s="316"/>
      <c r="C41" s="96"/>
      <c r="D41" s="96"/>
      <c r="E41" s="96"/>
    </row>
    <row r="42" spans="2:5" ht="15.75">
      <c r="B42" s="316"/>
      <c r="C42" s="96"/>
      <c r="D42" s="96"/>
      <c r="E42" s="96"/>
    </row>
    <row r="43" spans="2:5" ht="15.75">
      <c r="B43" s="304" t="s">
        <v>859</v>
      </c>
      <c r="C43" s="96"/>
      <c r="D43" s="96"/>
      <c r="E43" s="96"/>
    </row>
    <row r="44" spans="2:5" ht="15.75">
      <c r="B44" s="305" t="s">
        <v>966</v>
      </c>
      <c r="C44" s="96"/>
      <c r="D44" s="325"/>
      <c r="E44" s="325"/>
    </row>
    <row r="45" spans="2:5" ht="15.75">
      <c r="B45" s="305" t="s">
        <v>921</v>
      </c>
      <c r="C45" s="464">
        <f>IF(C46*0.1&lt;C44,"Exceed 10% Rule","")</f>
      </c>
      <c r="D45" s="306">
        <f>IF(D46*0.1&lt;D44,"Exceed 10% Rule","")</f>
      </c>
      <c r="E45" s="306">
        <f>IF(E46*0.1&lt;E44,"Exceed 10% Rule","")</f>
      </c>
    </row>
    <row r="46" spans="2:5" ht="15.75">
      <c r="B46" s="307" t="s">
        <v>860</v>
      </c>
      <c r="C46" s="353">
        <f>SUM(C40:C44)</f>
        <v>0</v>
      </c>
      <c r="D46" s="353">
        <f>SUM(D40:D44)</f>
        <v>0</v>
      </c>
      <c r="E46" s="353">
        <f>SUM(E40:E44)</f>
        <v>0</v>
      </c>
    </row>
    <row r="47" spans="2:5" ht="15.75">
      <c r="B47" s="307" t="s">
        <v>861</v>
      </c>
      <c r="C47" s="353">
        <f>C38+C46</f>
        <v>0</v>
      </c>
      <c r="D47" s="353">
        <f>D38+D46</f>
        <v>0</v>
      </c>
      <c r="E47" s="353">
        <f>E38+E46</f>
        <v>0</v>
      </c>
    </row>
    <row r="48" spans="2:5" ht="15.75">
      <c r="B48" s="154" t="s">
        <v>864</v>
      </c>
      <c r="C48" s="264"/>
      <c r="D48" s="264"/>
      <c r="E48" s="264"/>
    </row>
    <row r="49" spans="2:5" ht="15.75">
      <c r="B49" s="316"/>
      <c r="C49" s="96"/>
      <c r="D49" s="96"/>
      <c r="E49" s="96"/>
    </row>
    <row r="50" spans="2:5" ht="15.75">
      <c r="B50" s="316"/>
      <c r="C50" s="96"/>
      <c r="D50" s="96"/>
      <c r="E50" s="96"/>
    </row>
    <row r="51" spans="2:5" ht="15.75">
      <c r="B51" s="316"/>
      <c r="C51" s="96"/>
      <c r="D51" s="96"/>
      <c r="E51" s="96"/>
    </row>
    <row r="52" spans="2:5" ht="15.75">
      <c r="B52" s="316"/>
      <c r="C52" s="96"/>
      <c r="D52" s="96"/>
      <c r="E52" s="96"/>
    </row>
    <row r="53" spans="2:5" ht="15.75">
      <c r="B53" s="316"/>
      <c r="C53" s="96"/>
      <c r="D53" s="96"/>
      <c r="E53" s="96"/>
    </row>
    <row r="54" spans="2:5" ht="15.75">
      <c r="B54" s="316"/>
      <c r="C54" s="96"/>
      <c r="D54" s="96"/>
      <c r="E54" s="96"/>
    </row>
    <row r="55" spans="2:5" ht="15.75">
      <c r="B55" s="316"/>
      <c r="C55" s="96"/>
      <c r="D55" s="96"/>
      <c r="E55" s="96"/>
    </row>
    <row r="56" spans="2:5" ht="15.75">
      <c r="B56" s="316"/>
      <c r="C56" s="96"/>
      <c r="D56" s="96"/>
      <c r="E56" s="96"/>
    </row>
    <row r="57" spans="2:5" ht="15.75">
      <c r="B57" s="316"/>
      <c r="C57" s="96"/>
      <c r="D57" s="96"/>
      <c r="E57" s="96"/>
    </row>
    <row r="58" spans="2:5" ht="15.75">
      <c r="B58" s="305" t="s">
        <v>966</v>
      </c>
      <c r="C58" s="96"/>
      <c r="D58" s="325"/>
      <c r="E58" s="325"/>
    </row>
    <row r="59" spans="2:5" ht="15.75">
      <c r="B59" s="305" t="s">
        <v>922</v>
      </c>
      <c r="C59" s="464">
        <f>IF(C60*0.1&lt;C58,"Exceed 10% Rule","")</f>
      </c>
      <c r="D59" s="306">
        <f>IF(D60*0.1&lt;D58,"Exceed 10% Rule","")</f>
      </c>
      <c r="E59" s="306">
        <f>IF(E60*0.1&lt;E58,"Exceed 10% Rule","")</f>
      </c>
    </row>
    <row r="60" spans="2:5" ht="15.75">
      <c r="B60" s="307" t="s">
        <v>865</v>
      </c>
      <c r="C60" s="353">
        <f>SUM(C49:C58)</f>
        <v>0</v>
      </c>
      <c r="D60" s="353">
        <f>SUM(D49:D58)</f>
        <v>0</v>
      </c>
      <c r="E60" s="353">
        <f>SUM(E49:E58)</f>
        <v>0</v>
      </c>
    </row>
    <row r="61" spans="2:5" ht="15.75">
      <c r="B61" s="154" t="s">
        <v>570</v>
      </c>
      <c r="C61" s="100">
        <f>C47-C60</f>
        <v>0</v>
      </c>
      <c r="D61" s="100">
        <f>D47-D60</f>
        <v>0</v>
      </c>
      <c r="E61" s="100">
        <f>E47-E60</f>
        <v>0</v>
      </c>
    </row>
    <row r="62" spans="2:5" ht="15.75">
      <c r="B62" s="286" t="str">
        <f>CONCATENATE("",$E$1-2,"/",$E$1-1," Budget Authority Amount:")</f>
        <v>2010/2011 Budget Authority Amount:</v>
      </c>
      <c r="C62" s="278">
        <f>inputOth!B62</f>
        <v>0</v>
      </c>
      <c r="D62" s="278">
        <f>inputPrYr!D51</f>
        <v>0</v>
      </c>
      <c r="E62" s="473">
        <f>IF($E$61&lt;0,"See Tab E","")</f>
      </c>
    </row>
    <row r="63" spans="2:5" ht="15.75">
      <c r="B63" s="286"/>
      <c r="C63" s="320">
        <f>IF(C60&gt;C62,"See Tab A","")</f>
      </c>
      <c r="D63" s="320">
        <f>IF(D60&gt;D62,"See Tab C","")</f>
      </c>
      <c r="E63" s="69"/>
    </row>
    <row r="64" spans="2:5" ht="15.75">
      <c r="B64" s="286"/>
      <c r="C64" s="320">
        <f>IF(C61&lt;0,"See Tab B","")</f>
      </c>
      <c r="D64" s="320">
        <f>IF(D61&lt;0,"See Tab D","")</f>
      </c>
      <c r="E64" s="69"/>
    </row>
    <row r="65" spans="2:5" ht="15.75">
      <c r="B65" s="69"/>
      <c r="C65" s="69"/>
      <c r="D65" s="69"/>
      <c r="E65" s="69"/>
    </row>
    <row r="66" spans="2:5" ht="15.75">
      <c r="B66" s="321" t="s">
        <v>477</v>
      </c>
      <c r="C66" s="339"/>
      <c r="D66" s="69"/>
      <c r="E66" s="69"/>
    </row>
  </sheetData>
  <sheetProtection sheet="1"/>
  <conditionalFormatting sqref="C44">
    <cfRule type="cellIs" priority="5" dxfId="350" operator="greaterThan" stopIfTrue="1">
      <formula>$C$46*0.1</formula>
    </cfRule>
  </conditionalFormatting>
  <conditionalFormatting sqref="D44">
    <cfRule type="cellIs" priority="6" dxfId="350" operator="greaterThan" stopIfTrue="1">
      <formula>$D$46*0.1</formula>
    </cfRule>
  </conditionalFormatting>
  <conditionalFormatting sqref="E44">
    <cfRule type="cellIs" priority="7" dxfId="350" operator="greaterThan" stopIfTrue="1">
      <formula>$E$46*0.1</formula>
    </cfRule>
  </conditionalFormatting>
  <conditionalFormatting sqref="C58">
    <cfRule type="cellIs" priority="8" dxfId="350" operator="greaterThan" stopIfTrue="1">
      <formula>$C$60*0.1</formula>
    </cfRule>
  </conditionalFormatting>
  <conditionalFormatting sqref="D58">
    <cfRule type="cellIs" priority="9" dxfId="350" operator="greaterThan" stopIfTrue="1">
      <formula>$D$60*0.1</formula>
    </cfRule>
  </conditionalFormatting>
  <conditionalFormatting sqref="E58">
    <cfRule type="cellIs" priority="10" dxfId="350" operator="greaterThan" stopIfTrue="1">
      <formula>$E$60*0.1</formula>
    </cfRule>
  </conditionalFormatting>
  <conditionalFormatting sqref="C27">
    <cfRule type="cellIs" priority="11" dxfId="350" operator="greaterThan" stopIfTrue="1">
      <formula>$C$29*0.1</formula>
    </cfRule>
  </conditionalFormatting>
  <conditionalFormatting sqref="D27">
    <cfRule type="cellIs" priority="12" dxfId="350" operator="greaterThan" stopIfTrue="1">
      <formula>$D$29*0.1</formula>
    </cfRule>
  </conditionalFormatting>
  <conditionalFormatting sqref="E27">
    <cfRule type="cellIs" priority="13" dxfId="350" operator="greaterThan" stopIfTrue="1">
      <formula>$E$29*0.1</formula>
    </cfRule>
  </conditionalFormatting>
  <conditionalFormatting sqref="C13">
    <cfRule type="cellIs" priority="14" dxfId="350" operator="greaterThan" stopIfTrue="1">
      <formula>$C$15*0.1</formula>
    </cfRule>
  </conditionalFormatting>
  <conditionalFormatting sqref="D13">
    <cfRule type="cellIs" priority="15" dxfId="350" operator="greaterThan" stopIfTrue="1">
      <formula>$D$15*0.1</formula>
    </cfRule>
  </conditionalFormatting>
  <conditionalFormatting sqref="E13">
    <cfRule type="cellIs" priority="16" dxfId="350" operator="greaterThan" stopIfTrue="1">
      <formula>$E$15*0.1</formula>
    </cfRule>
  </conditionalFormatting>
  <conditionalFormatting sqref="E61 E30 C30">
    <cfRule type="cellIs" priority="17" dxfId="2" operator="lessThan" stopIfTrue="1">
      <formula>0</formula>
    </cfRule>
  </conditionalFormatting>
  <conditionalFormatting sqref="D60">
    <cfRule type="cellIs" priority="18" dxfId="2" operator="greaterThan" stopIfTrue="1">
      <formula>$D$62</formula>
    </cfRule>
  </conditionalFormatting>
  <conditionalFormatting sqref="C60">
    <cfRule type="cellIs" priority="19" dxfId="2" operator="greaterThan" stopIfTrue="1">
      <formula>$C$62</formula>
    </cfRule>
  </conditionalFormatting>
  <conditionalFormatting sqref="C29">
    <cfRule type="cellIs" priority="20" dxfId="2" operator="greaterThan" stopIfTrue="1">
      <formula>$C$31</formula>
    </cfRule>
  </conditionalFormatting>
  <conditionalFormatting sqref="D29">
    <cfRule type="cellIs" priority="21" dxfId="2" operator="greaterThan" stopIfTrue="1">
      <formula>$D$31</formula>
    </cfRule>
  </conditionalFormatting>
  <conditionalFormatting sqref="C61">
    <cfRule type="cellIs" priority="4" dxfId="0" operator="lessThan" stopIfTrue="1">
      <formula>0</formula>
    </cfRule>
  </conditionalFormatting>
  <conditionalFormatting sqref="D30">
    <cfRule type="cellIs" priority="2" dxfId="0" operator="lessThan" stopIfTrue="1">
      <formula>0</formula>
    </cfRule>
  </conditionalFormatting>
  <conditionalFormatting sqref="D61">
    <cfRule type="cellIs" priority="1" dxfId="0" operator="lessThan" stopIfTrue="1">
      <formula>0</formula>
    </cfRule>
  </conditionalFormatting>
  <printOptions/>
  <pageMargins left="1.12" right="0.5" top="0.74" bottom="0.34" header="0.5" footer="0"/>
  <pageSetup blackAndWhite="1" fitToHeight="1" fitToWidth="1" horizontalDpi="120" verticalDpi="120" orientation="portrait" scale="78" r:id="rId1"/>
  <headerFooter alignWithMargins="0">
    <oddHeader>&amp;RState of Kansas
County
</oddHeader>
  </headerFooter>
</worksheet>
</file>

<file path=xl/worksheets/sheet35.xml><?xml version="1.0" encoding="utf-8"?>
<worksheet xmlns="http://schemas.openxmlformats.org/spreadsheetml/2006/main" xmlns:r="http://schemas.openxmlformats.org/officeDocument/2006/relationships">
  <sheetPr>
    <pageSetUpPr fitToPage="1"/>
  </sheetPr>
  <dimension ref="B1:E66"/>
  <sheetViews>
    <sheetView zoomScalePageLayoutView="0" workbookViewId="0" topLeftCell="A4">
      <selection activeCell="E5" sqref="E5"/>
    </sheetView>
  </sheetViews>
  <sheetFormatPr defaultColWidth="8.796875" defaultRowHeight="15"/>
  <cols>
    <col min="1" max="1" width="2.3984375" style="53" customWidth="1"/>
    <col min="2" max="2" width="31.09765625" style="53" customWidth="1"/>
    <col min="3" max="4" width="15.796875" style="53" customWidth="1"/>
    <col min="5" max="5" width="16.296875" style="53" customWidth="1"/>
    <col min="6" max="16384" width="8.8984375" style="53" customWidth="1"/>
  </cols>
  <sheetData>
    <row r="1" spans="2:5" ht="15.75">
      <c r="B1" s="205" t="str">
        <f>(inputPrYr!C3)</f>
        <v>MORRIS COUNTY</v>
      </c>
      <c r="C1" s="69"/>
      <c r="D1" s="69"/>
      <c r="E1" s="285">
        <f>inputPrYr!C5</f>
        <v>2012</v>
      </c>
    </row>
    <row r="2" spans="2:5" ht="15.75">
      <c r="B2" s="69"/>
      <c r="C2" s="69"/>
      <c r="D2" s="69"/>
      <c r="E2" s="109"/>
    </row>
    <row r="3" spans="2:5" ht="15.75">
      <c r="B3" s="214" t="s">
        <v>529</v>
      </c>
      <c r="C3" s="322"/>
      <c r="D3" s="322"/>
      <c r="E3" s="323"/>
    </row>
    <row r="4" spans="2:5" ht="15.75">
      <c r="B4" s="69"/>
      <c r="C4" s="146"/>
      <c r="D4" s="146"/>
      <c r="E4" s="146"/>
    </row>
    <row r="5" spans="2:5" ht="15.75">
      <c r="B5" s="68" t="s">
        <v>851</v>
      </c>
      <c r="C5" s="535" t="s">
        <v>479</v>
      </c>
      <c r="D5" s="536" t="s">
        <v>226</v>
      </c>
      <c r="E5" s="536" t="s">
        <v>227</v>
      </c>
    </row>
    <row r="6" spans="2:5" ht="15.75">
      <c r="B6" s="472">
        <f>inputPrYr!$B$52</f>
        <v>0</v>
      </c>
      <c r="C6" s="311">
        <f>E1-2</f>
        <v>2010</v>
      </c>
      <c r="D6" s="311">
        <f>E1-1</f>
        <v>2011</v>
      </c>
      <c r="E6" s="311">
        <f>E1</f>
        <v>2012</v>
      </c>
    </row>
    <row r="7" spans="2:5" ht="15.75">
      <c r="B7" s="154" t="s">
        <v>569</v>
      </c>
      <c r="C7" s="96"/>
      <c r="D7" s="264">
        <f>C30</f>
        <v>0</v>
      </c>
      <c r="E7" s="264">
        <f>D30</f>
        <v>0</v>
      </c>
    </row>
    <row r="8" spans="2:5" ht="15.75">
      <c r="B8" s="176" t="s">
        <v>571</v>
      </c>
      <c r="C8" s="164"/>
      <c r="D8" s="164"/>
      <c r="E8" s="164"/>
    </row>
    <row r="9" spans="2:5" ht="15.75">
      <c r="B9" s="316"/>
      <c r="C9" s="96"/>
      <c r="D9" s="96"/>
      <c r="E9" s="96"/>
    </row>
    <row r="10" spans="2:5" ht="15.75">
      <c r="B10" s="316"/>
      <c r="C10" s="96"/>
      <c r="D10" s="96"/>
      <c r="E10" s="96"/>
    </row>
    <row r="11" spans="2:5" ht="15.75">
      <c r="B11" s="316"/>
      <c r="C11" s="96"/>
      <c r="D11" s="96"/>
      <c r="E11" s="96"/>
    </row>
    <row r="12" spans="2:5" ht="15.75">
      <c r="B12" s="304" t="s">
        <v>859</v>
      </c>
      <c r="C12" s="96"/>
      <c r="D12" s="96"/>
      <c r="E12" s="96"/>
    </row>
    <row r="13" spans="2:5" ht="15.75">
      <c r="B13" s="305" t="s">
        <v>966</v>
      </c>
      <c r="C13" s="96"/>
      <c r="D13" s="325"/>
      <c r="E13" s="325"/>
    </row>
    <row r="14" spans="2:5" ht="15.75">
      <c r="B14" s="305" t="s">
        <v>921</v>
      </c>
      <c r="C14" s="464">
        <f>IF(C15*0.1&lt;C13,"Exceed 10% Rule","")</f>
      </c>
      <c r="D14" s="306">
        <f>IF(D15*0.1&lt;D13,"Exceed 10% Rule","")</f>
      </c>
      <c r="E14" s="306">
        <f>IF(E15*0.1&lt;E13,"Exceed 10% Rule","")</f>
      </c>
    </row>
    <row r="15" spans="2:5" ht="15.75">
      <c r="B15" s="307" t="s">
        <v>860</v>
      </c>
      <c r="C15" s="353">
        <f>SUM(C9:C13)</f>
        <v>0</v>
      </c>
      <c r="D15" s="353">
        <f>SUM(D9:D13)</f>
        <v>0</v>
      </c>
      <c r="E15" s="353">
        <f>SUM(E9:E13)</f>
        <v>0</v>
      </c>
    </row>
    <row r="16" spans="2:5" ht="15.75">
      <c r="B16" s="307" t="s">
        <v>861</v>
      </c>
      <c r="C16" s="353">
        <f>C15+C7</f>
        <v>0</v>
      </c>
      <c r="D16" s="353">
        <f>D15+D7</f>
        <v>0</v>
      </c>
      <c r="E16" s="353">
        <f>E15+E7</f>
        <v>0</v>
      </c>
    </row>
    <row r="17" spans="2:5" ht="15.75">
      <c r="B17" s="154" t="s">
        <v>864</v>
      </c>
      <c r="C17" s="264"/>
      <c r="D17" s="264"/>
      <c r="E17" s="264"/>
    </row>
    <row r="18" spans="2:5" ht="15.75">
      <c r="B18" s="316"/>
      <c r="C18" s="96"/>
      <c r="D18" s="96"/>
      <c r="E18" s="96"/>
    </row>
    <row r="19" spans="2:5" ht="15.75">
      <c r="B19" s="316"/>
      <c r="C19" s="96"/>
      <c r="D19" s="96"/>
      <c r="E19" s="96"/>
    </row>
    <row r="20" spans="2:5" ht="15.75">
      <c r="B20" s="316"/>
      <c r="C20" s="96"/>
      <c r="D20" s="96"/>
      <c r="E20" s="96"/>
    </row>
    <row r="21" spans="2:5" ht="15.75">
      <c r="B21" s="316"/>
      <c r="C21" s="96"/>
      <c r="D21" s="96"/>
      <c r="E21" s="96"/>
    </row>
    <row r="22" spans="2:5" ht="15.75">
      <c r="B22" s="316"/>
      <c r="C22" s="96"/>
      <c r="D22" s="96"/>
      <c r="E22" s="96"/>
    </row>
    <row r="23" spans="2:5" ht="15.75">
      <c r="B23" s="316"/>
      <c r="C23" s="96"/>
      <c r="D23" s="96"/>
      <c r="E23" s="96"/>
    </row>
    <row r="24" spans="2:5" ht="15.75">
      <c r="B24" s="316"/>
      <c r="C24" s="96"/>
      <c r="D24" s="96"/>
      <c r="E24" s="96"/>
    </row>
    <row r="25" spans="2:5" ht="15.75">
      <c r="B25" s="316"/>
      <c r="C25" s="96"/>
      <c r="D25" s="96"/>
      <c r="E25" s="96"/>
    </row>
    <row r="26" spans="2:5" ht="15.75">
      <c r="B26" s="316"/>
      <c r="C26" s="96"/>
      <c r="D26" s="96"/>
      <c r="E26" s="96"/>
    </row>
    <row r="27" spans="2:5" ht="15.75">
      <c r="B27" s="305" t="s">
        <v>966</v>
      </c>
      <c r="C27" s="96"/>
      <c r="D27" s="325"/>
      <c r="E27" s="325"/>
    </row>
    <row r="28" spans="2:5" ht="15.75">
      <c r="B28" s="305" t="s">
        <v>922</v>
      </c>
      <c r="C28" s="464">
        <f>IF(C29*0.1&lt;C27,"Exceed 10% Rule","")</f>
      </c>
      <c r="D28" s="306">
        <f>IF(D29*0.1&lt;D27,"Exceed 10% Rule","")</f>
      </c>
      <c r="E28" s="306">
        <f>IF(E29*0.1&lt;E27,"Exceed 10% Rule","")</f>
      </c>
    </row>
    <row r="29" spans="2:5" ht="15.75">
      <c r="B29" s="307" t="s">
        <v>865</v>
      </c>
      <c r="C29" s="353">
        <f>SUM(C18:C27)</f>
        <v>0</v>
      </c>
      <c r="D29" s="353">
        <f>SUM(D18:D27)</f>
        <v>0</v>
      </c>
      <c r="E29" s="353">
        <f>SUM(E18:E27)</f>
        <v>0</v>
      </c>
    </row>
    <row r="30" spans="2:5" ht="15.75">
      <c r="B30" s="154" t="s">
        <v>570</v>
      </c>
      <c r="C30" s="100">
        <f>C16-C29</f>
        <v>0</v>
      </c>
      <c r="D30" s="100">
        <f>D16-D29</f>
        <v>0</v>
      </c>
      <c r="E30" s="100">
        <f>E16-E29</f>
        <v>0</v>
      </c>
    </row>
    <row r="31" spans="2:5" ht="15.75">
      <c r="B31" s="286" t="str">
        <f>CONCATENATE("",$E$1-2,"/",$E$1-1," Budget Authority Amount:")</f>
        <v>2010/2011 Budget Authority Amount:</v>
      </c>
      <c r="C31" s="278">
        <f>inputOth!B63</f>
        <v>0</v>
      </c>
      <c r="D31" s="278">
        <f>inputPrYr!D52</f>
        <v>0</v>
      </c>
      <c r="E31" s="483">
        <f>IF($E$30&lt;0,"See Tab E","")</f>
      </c>
    </row>
    <row r="32" spans="2:5" ht="15.75">
      <c r="B32" s="286"/>
      <c r="C32" s="320">
        <f>IF(C29&gt;C31,"See Tab A","")</f>
      </c>
      <c r="D32" s="320">
        <f>IF(D29&gt;D31,"See Tab C","")</f>
      </c>
      <c r="E32" s="129"/>
    </row>
    <row r="33" spans="2:5" ht="15.75">
      <c r="B33" s="286"/>
      <c r="C33" s="320">
        <f>IF(C30&lt;0,"See Tab B","")</f>
      </c>
      <c r="D33" s="320">
        <f>IF(D30&lt;0,"See Tab D","")</f>
      </c>
      <c r="E33" s="129"/>
    </row>
    <row r="34" spans="2:5" ht="15.75">
      <c r="B34" s="69"/>
      <c r="C34" s="129"/>
      <c r="D34" s="129"/>
      <c r="E34" s="129"/>
    </row>
    <row r="35" spans="2:5" ht="15.75">
      <c r="B35" s="68" t="s">
        <v>851</v>
      </c>
      <c r="C35" s="146"/>
      <c r="D35" s="146"/>
      <c r="E35" s="146"/>
    </row>
    <row r="36" spans="2:5" ht="15.75">
      <c r="B36" s="69"/>
      <c r="C36" s="535" t="str">
        <f aca="true" t="shared" si="0" ref="C36:E37">C5</f>
        <v>Prior Year Actual</v>
      </c>
      <c r="D36" s="536" t="str">
        <f t="shared" si="0"/>
        <v>Current Year Estimate</v>
      </c>
      <c r="E36" s="536" t="str">
        <f t="shared" si="0"/>
        <v>Proposed Budget Year</v>
      </c>
    </row>
    <row r="37" spans="2:5" ht="15.75">
      <c r="B37" s="472">
        <f>inputPrYr!$B$53</f>
        <v>0</v>
      </c>
      <c r="C37" s="311">
        <f t="shared" si="0"/>
        <v>2010</v>
      </c>
      <c r="D37" s="311">
        <f t="shared" si="0"/>
        <v>2011</v>
      </c>
      <c r="E37" s="311">
        <f t="shared" si="0"/>
        <v>2012</v>
      </c>
    </row>
    <row r="38" spans="2:5" ht="15.75">
      <c r="B38" s="154" t="s">
        <v>569</v>
      </c>
      <c r="C38" s="96"/>
      <c r="D38" s="264">
        <f>C61</f>
        <v>0</v>
      </c>
      <c r="E38" s="264">
        <f>D61</f>
        <v>0</v>
      </c>
    </row>
    <row r="39" spans="2:5" ht="15.75">
      <c r="B39" s="154" t="s">
        <v>571</v>
      </c>
      <c r="C39" s="164"/>
      <c r="D39" s="164"/>
      <c r="E39" s="164"/>
    </row>
    <row r="40" spans="2:5" ht="15.75">
      <c r="B40" s="316"/>
      <c r="C40" s="96"/>
      <c r="D40" s="96"/>
      <c r="E40" s="96"/>
    </row>
    <row r="41" spans="2:5" ht="15.75">
      <c r="B41" s="316"/>
      <c r="C41" s="96"/>
      <c r="D41" s="96"/>
      <c r="E41" s="96"/>
    </row>
    <row r="42" spans="2:5" ht="15.75">
      <c r="B42" s="316"/>
      <c r="C42" s="96"/>
      <c r="D42" s="96"/>
      <c r="E42" s="96"/>
    </row>
    <row r="43" spans="2:5" ht="15.75">
      <c r="B43" s="304" t="s">
        <v>859</v>
      </c>
      <c r="C43" s="96"/>
      <c r="D43" s="96"/>
      <c r="E43" s="96"/>
    </row>
    <row r="44" spans="2:5" ht="15.75">
      <c r="B44" s="305" t="s">
        <v>966</v>
      </c>
      <c r="C44" s="96"/>
      <c r="D44" s="325"/>
      <c r="E44" s="325"/>
    </row>
    <row r="45" spans="2:5" ht="15.75">
      <c r="B45" s="305" t="s">
        <v>921</v>
      </c>
      <c r="C45" s="464">
        <f>IF(C46*0.1&lt;C44,"Exceed 10% Rule","")</f>
      </c>
      <c r="D45" s="306">
        <f>IF(D46*0.1&lt;D44,"Exceed 10% Rule","")</f>
      </c>
      <c r="E45" s="306">
        <f>IF(E46*0.1&lt;E44,"Exceed 10% Rule","")</f>
      </c>
    </row>
    <row r="46" spans="2:5" ht="15.75">
      <c r="B46" s="307" t="s">
        <v>860</v>
      </c>
      <c r="C46" s="353">
        <f>SUM(C40:C44)</f>
        <v>0</v>
      </c>
      <c r="D46" s="353">
        <f>SUM(D40:D44)</f>
        <v>0</v>
      </c>
      <c r="E46" s="353">
        <f>SUM(E40:E44)</f>
        <v>0</v>
      </c>
    </row>
    <row r="47" spans="2:5" ht="15.75">
      <c r="B47" s="307" t="s">
        <v>861</v>
      </c>
      <c r="C47" s="353">
        <f>C38+C46</f>
        <v>0</v>
      </c>
      <c r="D47" s="353">
        <f>D38+D46</f>
        <v>0</v>
      </c>
      <c r="E47" s="353">
        <f>E38+E46</f>
        <v>0</v>
      </c>
    </row>
    <row r="48" spans="2:5" ht="15.75">
      <c r="B48" s="154" t="s">
        <v>864</v>
      </c>
      <c r="C48" s="264"/>
      <c r="D48" s="264"/>
      <c r="E48" s="264"/>
    </row>
    <row r="49" spans="2:5" ht="15.75">
      <c r="B49" s="316"/>
      <c r="C49" s="96"/>
      <c r="D49" s="96"/>
      <c r="E49" s="96"/>
    </row>
    <row r="50" spans="2:5" ht="15.75">
      <c r="B50" s="316"/>
      <c r="C50" s="96"/>
      <c r="D50" s="96"/>
      <c r="E50" s="96"/>
    </row>
    <row r="51" spans="2:5" ht="15.75">
      <c r="B51" s="316"/>
      <c r="C51" s="96"/>
      <c r="D51" s="96"/>
      <c r="E51" s="96"/>
    </row>
    <row r="52" spans="2:5" ht="15.75">
      <c r="B52" s="316"/>
      <c r="C52" s="96"/>
      <c r="D52" s="96"/>
      <c r="E52" s="96"/>
    </row>
    <row r="53" spans="2:5" ht="15.75">
      <c r="B53" s="316"/>
      <c r="C53" s="96"/>
      <c r="D53" s="96"/>
      <c r="E53" s="96"/>
    </row>
    <row r="54" spans="2:5" ht="15.75">
      <c r="B54" s="316"/>
      <c r="C54" s="96"/>
      <c r="D54" s="96"/>
      <c r="E54" s="96"/>
    </row>
    <row r="55" spans="2:5" ht="15.75">
      <c r="B55" s="316"/>
      <c r="C55" s="96"/>
      <c r="D55" s="96"/>
      <c r="E55" s="96"/>
    </row>
    <row r="56" spans="2:5" ht="15.75">
      <c r="B56" s="316"/>
      <c r="C56" s="96"/>
      <c r="D56" s="96"/>
      <c r="E56" s="96"/>
    </row>
    <row r="57" spans="2:5" ht="15.75">
      <c r="B57" s="316"/>
      <c r="C57" s="96"/>
      <c r="D57" s="96"/>
      <c r="E57" s="96"/>
    </row>
    <row r="58" spans="2:5" ht="15.75">
      <c r="B58" s="305" t="s">
        <v>966</v>
      </c>
      <c r="C58" s="96"/>
      <c r="D58" s="325"/>
      <c r="E58" s="325"/>
    </row>
    <row r="59" spans="2:5" ht="15.75">
      <c r="B59" s="305" t="s">
        <v>922</v>
      </c>
      <c r="C59" s="464">
        <f>IF(C60*0.1&lt;C58,"Exceed 10% Rule","")</f>
      </c>
      <c r="D59" s="306">
        <f>IF(D60*0.1&lt;D58,"Exceed 10% Rule","")</f>
      </c>
      <c r="E59" s="306">
        <f>IF(E60*0.1&lt;E58,"Exceed 10% Rule","")</f>
      </c>
    </row>
    <row r="60" spans="2:5" ht="15.75">
      <c r="B60" s="307" t="s">
        <v>865</v>
      </c>
      <c r="C60" s="353">
        <f>SUM(C49:C58)</f>
        <v>0</v>
      </c>
      <c r="D60" s="353">
        <f>SUM(D49:D58)</f>
        <v>0</v>
      </c>
      <c r="E60" s="353">
        <f>SUM(E49:E58)</f>
        <v>0</v>
      </c>
    </row>
    <row r="61" spans="2:5" ht="15.75">
      <c r="B61" s="154" t="s">
        <v>570</v>
      </c>
      <c r="C61" s="100">
        <f>C47-C60</f>
        <v>0</v>
      </c>
      <c r="D61" s="100">
        <f>D47-D60</f>
        <v>0</v>
      </c>
      <c r="E61" s="100">
        <f>E47-E60</f>
        <v>0</v>
      </c>
    </row>
    <row r="62" spans="2:5" ht="15.75">
      <c r="B62" s="286" t="str">
        <f>CONCATENATE("",$E$1-2,"/",$E$1-1," Budget Authority Amount:")</f>
        <v>2010/2011 Budget Authority Amount:</v>
      </c>
      <c r="C62" s="278">
        <f>inputOth!B64</f>
        <v>0</v>
      </c>
      <c r="D62" s="278">
        <f>inputPrYr!D53</f>
        <v>0</v>
      </c>
      <c r="E62" s="473">
        <f>IF($E$61&lt;0,"See Tab E","")</f>
      </c>
    </row>
    <row r="63" spans="2:5" ht="15.75">
      <c r="B63" s="286"/>
      <c r="C63" s="320">
        <f>IF(C60&gt;C62,"See Tab A","")</f>
      </c>
      <c r="D63" s="320">
        <f>IF(D60&gt;D62,"See Tab C","")</f>
      </c>
      <c r="E63" s="69"/>
    </row>
    <row r="64" spans="2:5" ht="15.75">
      <c r="B64" s="286"/>
      <c r="C64" s="320">
        <f>IF(C61&lt;0,"See Tab B","")</f>
      </c>
      <c r="D64" s="320">
        <f>IF(D61&lt;0,"See Tab D","")</f>
      </c>
      <c r="E64" s="69"/>
    </row>
    <row r="65" spans="2:5" ht="15.75">
      <c r="B65" s="69"/>
      <c r="C65" s="69"/>
      <c r="D65" s="69"/>
      <c r="E65" s="69"/>
    </row>
    <row r="66" spans="2:5" ht="15.75">
      <c r="B66" s="321" t="s">
        <v>477</v>
      </c>
      <c r="C66" s="339"/>
      <c r="D66" s="69"/>
      <c r="E66" s="69"/>
    </row>
  </sheetData>
  <sheetProtection sheet="1"/>
  <conditionalFormatting sqref="C44">
    <cfRule type="cellIs" priority="3" dxfId="350" operator="greaterThan" stopIfTrue="1">
      <formula>$C$46*0.1</formula>
    </cfRule>
  </conditionalFormatting>
  <conditionalFormatting sqref="D44">
    <cfRule type="cellIs" priority="4" dxfId="350" operator="greaterThan" stopIfTrue="1">
      <formula>$D$46*0.1</formula>
    </cfRule>
  </conditionalFormatting>
  <conditionalFormatting sqref="E44">
    <cfRule type="cellIs" priority="5" dxfId="350" operator="greaterThan" stopIfTrue="1">
      <formula>$E$46*0.1</formula>
    </cfRule>
  </conditionalFormatting>
  <conditionalFormatting sqref="C58">
    <cfRule type="cellIs" priority="6" dxfId="350" operator="greaterThan" stopIfTrue="1">
      <formula>$C$60*0.1</formula>
    </cfRule>
  </conditionalFormatting>
  <conditionalFormatting sqref="D58">
    <cfRule type="cellIs" priority="7" dxfId="350" operator="greaterThan" stopIfTrue="1">
      <formula>$D$60*0.1</formula>
    </cfRule>
  </conditionalFormatting>
  <conditionalFormatting sqref="E58">
    <cfRule type="cellIs" priority="8" dxfId="350" operator="greaterThan" stopIfTrue="1">
      <formula>$E$60*0.1</formula>
    </cfRule>
  </conditionalFormatting>
  <conditionalFormatting sqref="C27">
    <cfRule type="cellIs" priority="9" dxfId="350" operator="greaterThan" stopIfTrue="1">
      <formula>$C$29*0.1</formula>
    </cfRule>
  </conditionalFormatting>
  <conditionalFormatting sqref="D27">
    <cfRule type="cellIs" priority="10" dxfId="350" operator="greaterThan" stopIfTrue="1">
      <formula>$D$29*0.1</formula>
    </cfRule>
  </conditionalFormatting>
  <conditionalFormatting sqref="E27">
    <cfRule type="cellIs" priority="11" dxfId="350" operator="greaterThan" stopIfTrue="1">
      <formula>$E$29*0.1</formula>
    </cfRule>
  </conditionalFormatting>
  <conditionalFormatting sqref="C13">
    <cfRule type="cellIs" priority="12" dxfId="350" operator="greaterThan" stopIfTrue="1">
      <formula>$C$15*0.1</formula>
    </cfRule>
  </conditionalFormatting>
  <conditionalFormatting sqref="D13">
    <cfRule type="cellIs" priority="13" dxfId="350" operator="greaterThan" stopIfTrue="1">
      <formula>$D$15*0.1</formula>
    </cfRule>
  </conditionalFormatting>
  <conditionalFormatting sqref="E13">
    <cfRule type="cellIs" priority="14" dxfId="350" operator="greaterThan" stopIfTrue="1">
      <formula>$E$15*0.1</formula>
    </cfRule>
  </conditionalFormatting>
  <conditionalFormatting sqref="E61 E30 C30 C61">
    <cfRule type="cellIs" priority="15" dxfId="2" operator="lessThan" stopIfTrue="1">
      <formula>0</formula>
    </cfRule>
  </conditionalFormatting>
  <conditionalFormatting sqref="C29">
    <cfRule type="cellIs" priority="16" dxfId="2" operator="greaterThan" stopIfTrue="1">
      <formula>$C$31</formula>
    </cfRule>
  </conditionalFormatting>
  <conditionalFormatting sqref="D29">
    <cfRule type="cellIs" priority="17" dxfId="2" operator="greaterThan" stopIfTrue="1">
      <formula>$D$31</formula>
    </cfRule>
  </conditionalFormatting>
  <conditionalFormatting sqref="D60">
    <cfRule type="cellIs" priority="18" dxfId="2" operator="greaterThan" stopIfTrue="1">
      <formula>$D$62</formula>
    </cfRule>
  </conditionalFormatting>
  <conditionalFormatting sqref="C60">
    <cfRule type="cellIs" priority="19" dxfId="2" operator="greaterThan" stopIfTrue="1">
      <formula>$C$62</formula>
    </cfRule>
  </conditionalFormatting>
  <conditionalFormatting sqref="D30">
    <cfRule type="cellIs" priority="2" dxfId="0" operator="lessThan" stopIfTrue="1">
      <formula>0</formula>
    </cfRule>
  </conditionalFormatting>
  <conditionalFormatting sqref="D61">
    <cfRule type="cellIs" priority="1" dxfId="0" operator="lessThan" stopIfTrue="1">
      <formula>0</formula>
    </cfRule>
  </conditionalFormatting>
  <printOptions/>
  <pageMargins left="1.12" right="0.5" top="0.74" bottom="0.34" header="0.5" footer="0"/>
  <pageSetup blackAndWhite="1" fitToHeight="1" fitToWidth="1" horizontalDpi="120" verticalDpi="120" orientation="portrait" scale="78" r:id="rId1"/>
  <headerFooter alignWithMargins="0">
    <oddHeader>&amp;RState of Kansas
County
</oddHeader>
  </headerFooter>
</worksheet>
</file>

<file path=xl/worksheets/sheet36.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0">
      <selection activeCell="F34" sqref="F34"/>
    </sheetView>
  </sheetViews>
  <sheetFormatPr defaultColWidth="8.796875" defaultRowHeight="15" customHeight="1"/>
  <cols>
    <col min="1" max="1" width="11.59765625" style="53" customWidth="1"/>
    <col min="2" max="2" width="7.3984375" style="53" customWidth="1"/>
    <col min="3" max="3" width="11.59765625" style="53" customWidth="1"/>
    <col min="4" max="4" width="7.3984375" style="53" customWidth="1"/>
    <col min="5" max="5" width="11.59765625" style="53" customWidth="1"/>
    <col min="6" max="6" width="7.3984375" style="53" customWidth="1"/>
    <col min="7" max="7" width="11.59765625" style="53" customWidth="1"/>
    <col min="8" max="8" width="7.3984375" style="53" customWidth="1"/>
    <col min="9" max="9" width="11.59765625" style="53" customWidth="1"/>
    <col min="10" max="16384" width="8.8984375" style="53" customWidth="1"/>
  </cols>
  <sheetData>
    <row r="1" spans="1:11" ht="15" customHeight="1">
      <c r="A1" s="127" t="str">
        <f>inputPrYr!$C$3</f>
        <v>MORRIS COUNTY</v>
      </c>
      <c r="B1" s="233"/>
      <c r="C1" s="110"/>
      <c r="D1" s="110"/>
      <c r="E1" s="110"/>
      <c r="F1" s="356" t="s">
        <v>280</v>
      </c>
      <c r="G1" s="110"/>
      <c r="H1" s="110"/>
      <c r="I1" s="110"/>
      <c r="J1" s="110"/>
      <c r="K1" s="110">
        <f>inputPrYr!$C$5</f>
        <v>2012</v>
      </c>
    </row>
    <row r="2" spans="1:11" ht="15" customHeight="1">
      <c r="A2" s="110"/>
      <c r="B2" s="110"/>
      <c r="C2" s="110"/>
      <c r="D2" s="110"/>
      <c r="E2" s="110"/>
      <c r="F2" s="357" t="str">
        <f>CONCATENATE("(Only the actual budget year for ",K1-2," is to be shown)")</f>
        <v>(Only the actual budget year for 2010 is to be shown)</v>
      </c>
      <c r="G2" s="110"/>
      <c r="H2" s="110"/>
      <c r="I2" s="110"/>
      <c r="J2" s="110"/>
      <c r="K2" s="110"/>
    </row>
    <row r="3" spans="1:11" ht="15" customHeight="1">
      <c r="A3" s="110" t="s">
        <v>258</v>
      </c>
      <c r="B3" s="110"/>
      <c r="C3" s="110"/>
      <c r="D3" s="110"/>
      <c r="E3" s="110"/>
      <c r="F3" s="233"/>
      <c r="G3" s="110"/>
      <c r="H3" s="110"/>
      <c r="I3" s="110"/>
      <c r="J3" s="110"/>
      <c r="K3" s="110"/>
    </row>
    <row r="4" spans="1:11" ht="15" customHeight="1">
      <c r="A4" s="110" t="s">
        <v>251</v>
      </c>
      <c r="B4" s="110"/>
      <c r="C4" s="110" t="s">
        <v>252</v>
      </c>
      <c r="D4" s="110"/>
      <c r="E4" s="110" t="s">
        <v>253</v>
      </c>
      <c r="F4" s="233"/>
      <c r="G4" s="110" t="s">
        <v>254</v>
      </c>
      <c r="H4" s="110"/>
      <c r="I4" s="110" t="s">
        <v>255</v>
      </c>
      <c r="J4" s="110"/>
      <c r="K4" s="110"/>
    </row>
    <row r="5" spans="1:11" ht="15" customHeight="1">
      <c r="A5" s="709" t="str">
        <f>inputPrYr!B57</f>
        <v>Equipment Reserve</v>
      </c>
      <c r="B5" s="710"/>
      <c r="C5" s="709" t="str">
        <f>inputPrYr!B58</f>
        <v>Capital Improvement</v>
      </c>
      <c r="D5" s="710"/>
      <c r="E5" s="709" t="str">
        <f>inputPrYr!B59</f>
        <v>Reg of Deeds Techology</v>
      </c>
      <c r="F5" s="710"/>
      <c r="G5" s="709" t="str">
        <f>inputPrYr!B60</f>
        <v>Insurance Proceeds</v>
      </c>
      <c r="H5" s="710"/>
      <c r="I5" s="709">
        <f>inputPrYr!B61</f>
        <v>0</v>
      </c>
      <c r="J5" s="710"/>
      <c r="K5" s="359"/>
    </row>
    <row r="6" spans="1:11" ht="15" customHeight="1">
      <c r="A6" s="360" t="s">
        <v>256</v>
      </c>
      <c r="B6" s="361"/>
      <c r="C6" s="362" t="s">
        <v>256</v>
      </c>
      <c r="D6" s="363"/>
      <c r="E6" s="362" t="s">
        <v>256</v>
      </c>
      <c r="F6" s="358"/>
      <c r="G6" s="362" t="s">
        <v>256</v>
      </c>
      <c r="H6" s="364"/>
      <c r="I6" s="362" t="s">
        <v>256</v>
      </c>
      <c r="J6" s="110"/>
      <c r="K6" s="365" t="s">
        <v>446</v>
      </c>
    </row>
    <row r="7" spans="1:11" ht="15" customHeight="1">
      <c r="A7" s="366" t="s">
        <v>1007</v>
      </c>
      <c r="B7" s="367">
        <v>551804</v>
      </c>
      <c r="C7" s="368" t="s">
        <v>1007</v>
      </c>
      <c r="D7" s="367">
        <v>418864</v>
      </c>
      <c r="E7" s="368" t="s">
        <v>1007</v>
      </c>
      <c r="F7" s="367">
        <v>36827</v>
      </c>
      <c r="G7" s="368" t="s">
        <v>1007</v>
      </c>
      <c r="H7" s="367">
        <v>0</v>
      </c>
      <c r="I7" s="368" t="s">
        <v>1007</v>
      </c>
      <c r="J7" s="367"/>
      <c r="K7" s="369">
        <f>SUM(B7+D7+F7+H7+J7)</f>
        <v>1007495</v>
      </c>
    </row>
    <row r="8" spans="1:11" ht="15" customHeight="1">
      <c r="A8" s="370" t="s">
        <v>571</v>
      </c>
      <c r="B8" s="371"/>
      <c r="C8" s="370" t="s">
        <v>571</v>
      </c>
      <c r="D8" s="372"/>
      <c r="E8" s="370" t="s">
        <v>571</v>
      </c>
      <c r="F8" s="233"/>
      <c r="G8" s="370" t="s">
        <v>571</v>
      </c>
      <c r="H8" s="110"/>
      <c r="I8" s="370" t="s">
        <v>571</v>
      </c>
      <c r="J8" s="110"/>
      <c r="K8" s="233"/>
    </row>
    <row r="9" spans="1:11" ht="15" customHeight="1">
      <c r="A9" s="373" t="s">
        <v>445</v>
      </c>
      <c r="B9" s="367">
        <v>218000</v>
      </c>
      <c r="C9" s="373" t="s">
        <v>445</v>
      </c>
      <c r="D9" s="367">
        <v>0</v>
      </c>
      <c r="E9" s="373" t="s">
        <v>723</v>
      </c>
      <c r="F9" s="367">
        <v>7594</v>
      </c>
      <c r="G9" s="373" t="s">
        <v>722</v>
      </c>
      <c r="H9" s="367">
        <v>477770</v>
      </c>
      <c r="I9" s="373"/>
      <c r="J9" s="367"/>
      <c r="K9" s="233"/>
    </row>
    <row r="10" spans="1:11" ht="15" customHeight="1">
      <c r="A10" s="373" t="s">
        <v>724</v>
      </c>
      <c r="B10" s="367">
        <v>35246</v>
      </c>
      <c r="C10" s="373"/>
      <c r="D10" s="367"/>
      <c r="E10" s="373"/>
      <c r="F10" s="367"/>
      <c r="G10" s="373"/>
      <c r="H10" s="367"/>
      <c r="I10" s="373"/>
      <c r="J10" s="367"/>
      <c r="K10" s="233"/>
    </row>
    <row r="11" spans="1:11" ht="15" customHeight="1">
      <c r="A11" s="373"/>
      <c r="B11" s="367"/>
      <c r="C11" s="374"/>
      <c r="D11" s="367"/>
      <c r="E11" s="374"/>
      <c r="F11" s="367"/>
      <c r="G11" s="374"/>
      <c r="H11" s="367"/>
      <c r="I11" s="375"/>
      <c r="J11" s="367"/>
      <c r="K11" s="233"/>
    </row>
    <row r="12" spans="1:11" ht="15" customHeight="1">
      <c r="A12" s="373"/>
      <c r="B12" s="367"/>
      <c r="C12" s="373"/>
      <c r="D12" s="367"/>
      <c r="E12" s="376"/>
      <c r="F12" s="367"/>
      <c r="G12" s="376"/>
      <c r="H12" s="367"/>
      <c r="I12" s="376"/>
      <c r="J12" s="367"/>
      <c r="K12" s="233"/>
    </row>
    <row r="13" spans="1:11" ht="15" customHeight="1">
      <c r="A13" s="377"/>
      <c r="B13" s="367"/>
      <c r="C13" s="378"/>
      <c r="D13" s="367"/>
      <c r="E13" s="378"/>
      <c r="F13" s="367"/>
      <c r="G13" s="378"/>
      <c r="H13" s="367"/>
      <c r="I13" s="375"/>
      <c r="J13" s="367"/>
      <c r="K13" s="233"/>
    </row>
    <row r="14" spans="1:11" ht="15" customHeight="1">
      <c r="A14" s="373"/>
      <c r="B14" s="367"/>
      <c r="C14" s="376"/>
      <c r="D14" s="367"/>
      <c r="E14" s="376"/>
      <c r="F14" s="367"/>
      <c r="G14" s="376"/>
      <c r="H14" s="367"/>
      <c r="I14" s="376"/>
      <c r="J14" s="367"/>
      <c r="K14" s="233"/>
    </row>
    <row r="15" spans="1:11" ht="15" customHeight="1">
      <c r="A15" s="373"/>
      <c r="B15" s="367"/>
      <c r="C15" s="376"/>
      <c r="D15" s="367"/>
      <c r="E15" s="376"/>
      <c r="F15" s="367"/>
      <c r="G15" s="376"/>
      <c r="H15" s="367"/>
      <c r="I15" s="376"/>
      <c r="J15" s="367"/>
      <c r="K15" s="233"/>
    </row>
    <row r="16" spans="1:11" ht="15" customHeight="1">
      <c r="A16" s="373"/>
      <c r="B16" s="367"/>
      <c r="C16" s="373"/>
      <c r="D16" s="367"/>
      <c r="E16" s="373"/>
      <c r="F16" s="367"/>
      <c r="G16" s="376"/>
      <c r="H16" s="367"/>
      <c r="I16" s="373"/>
      <c r="J16" s="367"/>
      <c r="K16" s="233"/>
    </row>
    <row r="17" spans="1:11" ht="15" customHeight="1">
      <c r="A17" s="370" t="s">
        <v>860</v>
      </c>
      <c r="B17" s="369">
        <f>SUM(B9:B16)</f>
        <v>253246</v>
      </c>
      <c r="C17" s="370" t="s">
        <v>860</v>
      </c>
      <c r="D17" s="369">
        <f>SUM(D9:D16)</f>
        <v>0</v>
      </c>
      <c r="E17" s="370" t="s">
        <v>860</v>
      </c>
      <c r="F17" s="444">
        <f>SUM(F9:F16)</f>
        <v>7594</v>
      </c>
      <c r="G17" s="370" t="s">
        <v>860</v>
      </c>
      <c r="H17" s="369">
        <f>SUM(H9:H16)</f>
        <v>477770</v>
      </c>
      <c r="I17" s="370" t="s">
        <v>860</v>
      </c>
      <c r="J17" s="369">
        <f>SUM(J9:J16)</f>
        <v>0</v>
      </c>
      <c r="K17" s="369">
        <f>SUM(B17+D17+F17+H17+J17)</f>
        <v>738610</v>
      </c>
    </row>
    <row r="18" spans="1:11" ht="15" customHeight="1">
      <c r="A18" s="370" t="s">
        <v>861</v>
      </c>
      <c r="B18" s="369">
        <f>SUM(B7+B17)</f>
        <v>805050</v>
      </c>
      <c r="C18" s="370" t="s">
        <v>861</v>
      </c>
      <c r="D18" s="369">
        <f>SUM(D7+D17)</f>
        <v>418864</v>
      </c>
      <c r="E18" s="370" t="s">
        <v>861</v>
      </c>
      <c r="F18" s="369">
        <f>SUM(F7+F17)</f>
        <v>44421</v>
      </c>
      <c r="G18" s="370" t="s">
        <v>861</v>
      </c>
      <c r="H18" s="369">
        <f>SUM(H7+H17)</f>
        <v>477770</v>
      </c>
      <c r="I18" s="370" t="s">
        <v>861</v>
      </c>
      <c r="J18" s="369">
        <f>SUM(J7+J17)</f>
        <v>0</v>
      </c>
      <c r="K18" s="369">
        <f>SUM(B18+D18+F18+H18+J18)</f>
        <v>1746105</v>
      </c>
    </row>
    <row r="19" spans="1:11" ht="15" customHeight="1">
      <c r="A19" s="370" t="s">
        <v>864</v>
      </c>
      <c r="B19" s="371"/>
      <c r="C19" s="370" t="s">
        <v>864</v>
      </c>
      <c r="D19" s="372"/>
      <c r="E19" s="370" t="s">
        <v>864</v>
      </c>
      <c r="F19" s="233"/>
      <c r="G19" s="370" t="s">
        <v>864</v>
      </c>
      <c r="H19" s="110"/>
      <c r="I19" s="370" t="s">
        <v>864</v>
      </c>
      <c r="J19" s="110"/>
      <c r="K19" s="233"/>
    </row>
    <row r="20" spans="1:11" ht="15" customHeight="1">
      <c r="A20" s="373" t="s">
        <v>725</v>
      </c>
      <c r="B20" s="367">
        <v>20246</v>
      </c>
      <c r="C20" s="376" t="s">
        <v>726</v>
      </c>
      <c r="D20" s="367">
        <v>14075</v>
      </c>
      <c r="E20" s="376" t="s">
        <v>727</v>
      </c>
      <c r="F20" s="367">
        <v>12474</v>
      </c>
      <c r="G20" s="376" t="s">
        <v>728</v>
      </c>
      <c r="H20" s="367">
        <v>477770</v>
      </c>
      <c r="I20" s="376"/>
      <c r="J20" s="367"/>
      <c r="K20" s="233"/>
    </row>
    <row r="21" spans="1:11" ht="15" customHeight="1">
      <c r="A21" s="373"/>
      <c r="B21" s="367"/>
      <c r="C21" s="376"/>
      <c r="D21" s="367"/>
      <c r="E21" s="376"/>
      <c r="F21" s="367"/>
      <c r="G21" s="376"/>
      <c r="H21" s="367"/>
      <c r="I21" s="376"/>
      <c r="J21" s="367"/>
      <c r="K21" s="233"/>
    </row>
    <row r="22" spans="1:11" ht="15" customHeight="1">
      <c r="A22" s="373"/>
      <c r="B22" s="367"/>
      <c r="C22" s="378"/>
      <c r="D22" s="367"/>
      <c r="E22" s="378"/>
      <c r="F22" s="367"/>
      <c r="G22" s="378"/>
      <c r="H22" s="367"/>
      <c r="I22" s="375"/>
      <c r="J22" s="367"/>
      <c r="K22" s="233"/>
    </row>
    <row r="23" spans="1:11" ht="15" customHeight="1">
      <c r="A23" s="373"/>
      <c r="B23" s="367"/>
      <c r="C23" s="376"/>
      <c r="D23" s="367"/>
      <c r="E23" s="376"/>
      <c r="F23" s="367"/>
      <c r="G23" s="376"/>
      <c r="H23" s="367"/>
      <c r="I23" s="376"/>
      <c r="J23" s="367"/>
      <c r="K23" s="233"/>
    </row>
    <row r="24" spans="1:11" ht="15" customHeight="1">
      <c r="A24" s="373"/>
      <c r="B24" s="367"/>
      <c r="C24" s="378"/>
      <c r="D24" s="367"/>
      <c r="E24" s="378"/>
      <c r="F24" s="367"/>
      <c r="G24" s="378"/>
      <c r="H24" s="367"/>
      <c r="I24" s="375"/>
      <c r="J24" s="367"/>
      <c r="K24" s="233"/>
    </row>
    <row r="25" spans="1:11" ht="15" customHeight="1">
      <c r="A25" s="373"/>
      <c r="B25" s="367"/>
      <c r="C25" s="376"/>
      <c r="D25" s="367"/>
      <c r="E25" s="376"/>
      <c r="F25" s="367"/>
      <c r="G25" s="376"/>
      <c r="H25" s="367"/>
      <c r="I25" s="376"/>
      <c r="J25" s="367"/>
      <c r="K25" s="233"/>
    </row>
    <row r="26" spans="1:11" ht="15" customHeight="1">
      <c r="A26" s="373"/>
      <c r="B26" s="367"/>
      <c r="C26" s="376"/>
      <c r="D26" s="367"/>
      <c r="E26" s="376"/>
      <c r="F26" s="367"/>
      <c r="G26" s="376"/>
      <c r="H26" s="367"/>
      <c r="I26" s="376"/>
      <c r="J26" s="367"/>
      <c r="K26" s="233"/>
    </row>
    <row r="27" spans="1:11" ht="15" customHeight="1">
      <c r="A27" s="373"/>
      <c r="B27" s="367"/>
      <c r="C27" s="373"/>
      <c r="D27" s="367"/>
      <c r="E27" s="373"/>
      <c r="F27" s="367"/>
      <c r="G27" s="376"/>
      <c r="H27" s="367"/>
      <c r="I27" s="376"/>
      <c r="J27" s="367"/>
      <c r="K27" s="233"/>
    </row>
    <row r="28" spans="1:11" ht="15" customHeight="1">
      <c r="A28" s="370" t="s">
        <v>865</v>
      </c>
      <c r="B28" s="369">
        <f>SUM(B20:B27)</f>
        <v>20246</v>
      </c>
      <c r="C28" s="370" t="s">
        <v>865</v>
      </c>
      <c r="D28" s="369">
        <f>SUM(D20:D27)</f>
        <v>14075</v>
      </c>
      <c r="E28" s="370" t="s">
        <v>865</v>
      </c>
      <c r="F28" s="444">
        <f>SUM(F20:F27)</f>
        <v>12474</v>
      </c>
      <c r="G28" s="370" t="s">
        <v>865</v>
      </c>
      <c r="H28" s="444">
        <f>SUM(H20:H27)</f>
        <v>477770</v>
      </c>
      <c r="I28" s="370" t="s">
        <v>865</v>
      </c>
      <c r="J28" s="369">
        <f>SUM(J20:J27)</f>
        <v>0</v>
      </c>
      <c r="K28" s="369">
        <f>SUM(B28+D28+F28+H28+J28)</f>
        <v>524565</v>
      </c>
    </row>
    <row r="29" spans="1:12" ht="15" customHeight="1">
      <c r="A29" s="370" t="s">
        <v>257</v>
      </c>
      <c r="B29" s="369">
        <f>SUM(B18-B28)</f>
        <v>784804</v>
      </c>
      <c r="C29" s="370" t="s">
        <v>257</v>
      </c>
      <c r="D29" s="369">
        <f>SUM(D18-D28)</f>
        <v>404789</v>
      </c>
      <c r="E29" s="370" t="s">
        <v>257</v>
      </c>
      <c r="F29" s="369">
        <f>SUM(F18-F28)</f>
        <v>31947</v>
      </c>
      <c r="G29" s="370" t="s">
        <v>257</v>
      </c>
      <c r="H29" s="369">
        <f>SUM(H18-H28)</f>
        <v>0</v>
      </c>
      <c r="I29" s="370" t="s">
        <v>257</v>
      </c>
      <c r="J29" s="369">
        <f>SUM(J18-J28)</f>
        <v>0</v>
      </c>
      <c r="K29" s="379">
        <f>SUM(B29+D29+F29+H29+J29)</f>
        <v>1221540</v>
      </c>
      <c r="L29" s="53" t="s">
        <v>283</v>
      </c>
    </row>
    <row r="30" spans="1:12" ht="15" customHeight="1">
      <c r="A30" s="370"/>
      <c r="B30" s="380">
        <f>IF(B29&lt;0,"See Tab B","")</f>
      </c>
      <c r="C30" s="370"/>
      <c r="D30" s="380">
        <f>IF(D29&lt;0,"See Tab B","")</f>
      </c>
      <c r="E30" s="370"/>
      <c r="F30" s="380">
        <f>IF(F29&lt;0,"See Tab B","")</f>
      </c>
      <c r="G30" s="110"/>
      <c r="H30" s="380">
        <f>IF(H29&lt;0,"See Tab B","")</f>
      </c>
      <c r="I30" s="110"/>
      <c r="J30" s="380">
        <f>IF(J29&lt;0,"See Tab B","")</f>
      </c>
      <c r="K30" s="379">
        <f>SUM(K7+K17-K28)</f>
        <v>1221540</v>
      </c>
      <c r="L30" s="53" t="s">
        <v>283</v>
      </c>
    </row>
    <row r="31" spans="1:11" ht="15" customHeight="1">
      <c r="A31" s="110"/>
      <c r="B31" s="212"/>
      <c r="C31" s="110"/>
      <c r="D31" s="233"/>
      <c r="E31" s="110"/>
      <c r="F31" s="110"/>
      <c r="G31" s="63" t="s">
        <v>285</v>
      </c>
      <c r="H31" s="63"/>
      <c r="I31" s="63"/>
      <c r="J31" s="63"/>
      <c r="K31" s="110"/>
    </row>
    <row r="32" spans="1:11" ht="15" customHeight="1">
      <c r="A32" s="110"/>
      <c r="B32" s="212"/>
      <c r="C32" s="110"/>
      <c r="D32" s="110"/>
      <c r="E32" s="110"/>
      <c r="F32" s="110"/>
      <c r="G32" s="110"/>
      <c r="H32" s="110"/>
      <c r="I32" s="110"/>
      <c r="J32" s="110"/>
      <c r="K32" s="110"/>
    </row>
    <row r="33" spans="1:11" ht="15" customHeight="1">
      <c r="A33" s="110"/>
      <c r="B33" s="212"/>
      <c r="C33" s="110"/>
      <c r="D33" s="110"/>
      <c r="E33" s="321" t="s">
        <v>477</v>
      </c>
      <c r="F33" s="339">
        <v>17</v>
      </c>
      <c r="G33" s="110"/>
      <c r="H33" s="110"/>
      <c r="I33" s="110"/>
      <c r="J33" s="110"/>
      <c r="K33" s="110"/>
    </row>
    <row r="34" ht="15" customHeight="1">
      <c r="B34" s="381"/>
    </row>
    <row r="35" ht="15" customHeight="1">
      <c r="B35" s="381"/>
    </row>
    <row r="36" ht="15" customHeight="1">
      <c r="B36" s="381"/>
    </row>
    <row r="37" ht="15" customHeight="1">
      <c r="B37" s="381"/>
    </row>
    <row r="38" ht="15" customHeight="1">
      <c r="B38" s="381"/>
    </row>
    <row r="39" ht="15" customHeight="1">
      <c r="B39" s="381"/>
    </row>
    <row r="40" ht="15" customHeight="1">
      <c r="B40" s="381"/>
    </row>
    <row r="41" ht="15" customHeight="1">
      <c r="B41" s="381"/>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2" r:id="rId1"/>
  <headerFooter alignWithMargins="0">
    <oddHeader>&amp;RState of Kansas
County</oddHeader>
  </headerFooter>
</worksheet>
</file>

<file path=xl/worksheets/sheet37.xml><?xml version="1.0" encoding="utf-8"?>
<worksheet xmlns="http://schemas.openxmlformats.org/spreadsheetml/2006/main" xmlns:r="http://schemas.openxmlformats.org/officeDocument/2006/relationships">
  <dimension ref="A1:A48"/>
  <sheetViews>
    <sheetView zoomScalePageLayoutView="0" workbookViewId="0" topLeftCell="A1">
      <selection activeCell="A1" sqref="A1"/>
    </sheetView>
  </sheetViews>
  <sheetFormatPr defaultColWidth="8.796875" defaultRowHeight="15"/>
  <cols>
    <col min="1" max="1" width="62.3984375" style="48" customWidth="1"/>
    <col min="2" max="16384" width="8.8984375" style="48" customWidth="1"/>
  </cols>
  <sheetData>
    <row r="1" ht="18.75">
      <c r="A1" s="49" t="s">
        <v>432</v>
      </c>
    </row>
    <row r="2" ht="15.75">
      <c r="A2" s="53"/>
    </row>
    <row r="3" ht="54.75" customHeight="1">
      <c r="A3" s="406" t="s">
        <v>433</v>
      </c>
    </row>
    <row r="4" ht="15.75">
      <c r="A4" s="407"/>
    </row>
    <row r="5" ht="51" customHeight="1">
      <c r="A5" s="406" t="s">
        <v>833</v>
      </c>
    </row>
    <row r="6" ht="15.75">
      <c r="A6" s="53"/>
    </row>
    <row r="7" ht="51.75" customHeight="1">
      <c r="A7" s="406" t="s">
        <v>834</v>
      </c>
    </row>
    <row r="8" ht="13.5" customHeight="1">
      <c r="A8" s="406"/>
    </row>
    <row r="9" ht="51.75" customHeight="1">
      <c r="A9" s="412" t="s">
        <v>928</v>
      </c>
    </row>
    <row r="10" ht="15.75">
      <c r="A10" s="407"/>
    </row>
    <row r="11" ht="36" customHeight="1">
      <c r="A11" s="406" t="s">
        <v>835</v>
      </c>
    </row>
    <row r="12" ht="15.75">
      <c r="A12" s="53"/>
    </row>
    <row r="13" ht="51.75" customHeight="1">
      <c r="A13" s="406" t="s">
        <v>836</v>
      </c>
    </row>
    <row r="14" ht="15.75">
      <c r="A14" s="407"/>
    </row>
    <row r="15" ht="33" customHeight="1">
      <c r="A15" s="406" t="s">
        <v>837</v>
      </c>
    </row>
    <row r="16" ht="15.75">
      <c r="A16" s="407"/>
    </row>
    <row r="17" ht="32.25" customHeight="1">
      <c r="A17" s="406" t="s">
        <v>838</v>
      </c>
    </row>
    <row r="18" ht="15.75">
      <c r="A18" s="407"/>
    </row>
    <row r="19" ht="53.25" customHeight="1">
      <c r="A19" s="406" t="s">
        <v>164</v>
      </c>
    </row>
    <row r="20" ht="15.75">
      <c r="A20" s="53"/>
    </row>
    <row r="21" ht="50.25" customHeight="1">
      <c r="A21" s="406" t="s">
        <v>165</v>
      </c>
    </row>
    <row r="22" ht="15.75">
      <c r="A22" s="53"/>
    </row>
    <row r="23" ht="15.75">
      <c r="A23" s="53"/>
    </row>
    <row r="24" ht="96" customHeight="1">
      <c r="A24" s="406" t="s">
        <v>166</v>
      </c>
    </row>
    <row r="25" ht="15.75">
      <c r="A25" s="53"/>
    </row>
    <row r="26" ht="30.75" customHeight="1">
      <c r="A26" s="56" t="s">
        <v>167</v>
      </c>
    </row>
    <row r="27" ht="15.75">
      <c r="A27" s="53"/>
    </row>
    <row r="28" ht="95.25" customHeight="1">
      <c r="A28" s="411" t="s">
        <v>929</v>
      </c>
    </row>
    <row r="29" ht="15.75">
      <c r="A29" s="53"/>
    </row>
    <row r="30" ht="34.5" customHeight="1">
      <c r="A30" s="406" t="s">
        <v>168</v>
      </c>
    </row>
    <row r="31" ht="15.75">
      <c r="A31" s="53"/>
    </row>
    <row r="32" ht="66" customHeight="1">
      <c r="A32" s="406" t="s">
        <v>169</v>
      </c>
    </row>
    <row r="33" ht="15.75">
      <c r="A33" s="407"/>
    </row>
    <row r="34" ht="57" customHeight="1">
      <c r="A34" s="406" t="s">
        <v>170</v>
      </c>
    </row>
    <row r="35" ht="15.75">
      <c r="A35" s="53"/>
    </row>
    <row r="36" ht="49.5" customHeight="1">
      <c r="A36" s="406" t="s">
        <v>171</v>
      </c>
    </row>
    <row r="37" ht="15.75">
      <c r="A37" s="53"/>
    </row>
    <row r="38" ht="74.25" customHeight="1">
      <c r="A38" s="411" t="s">
        <v>52</v>
      </c>
    </row>
    <row r="39" ht="15.75">
      <c r="A39" s="53"/>
    </row>
    <row r="40" ht="55.5" customHeight="1">
      <c r="A40" s="406" t="s">
        <v>172</v>
      </c>
    </row>
    <row r="41" ht="15.75">
      <c r="A41" s="53"/>
    </row>
    <row r="42" ht="53.25" customHeight="1">
      <c r="A42" s="406" t="s">
        <v>173</v>
      </c>
    </row>
    <row r="43" ht="15.75">
      <c r="A43" s="407"/>
    </row>
    <row r="44" ht="47.25" customHeight="1">
      <c r="A44" s="406" t="s">
        <v>174</v>
      </c>
    </row>
    <row r="45" ht="15.75">
      <c r="A45" s="407"/>
    </row>
    <row r="46" ht="49.5" customHeight="1">
      <c r="A46" s="406" t="s">
        <v>175</v>
      </c>
    </row>
    <row r="47" ht="15.75">
      <c r="A47" s="407"/>
    </row>
    <row r="48" ht="36" customHeight="1">
      <c r="A48" s="406" t="s">
        <v>176</v>
      </c>
    </row>
  </sheetData>
  <sheetProtection sheet="1"/>
  <printOptions/>
  <pageMargins left="0.7" right="0.7" top="0.75" bottom="0.75" header="0.3" footer="0.3"/>
  <pageSetup horizontalDpi="600" verticalDpi="600" orientation="portrait" r:id="rId1"/>
</worksheet>
</file>

<file path=xl/worksheets/sheet38.xml><?xml version="1.0" encoding="utf-8"?>
<worksheet xmlns="http://schemas.openxmlformats.org/spreadsheetml/2006/main" xmlns:r="http://schemas.openxmlformats.org/officeDocument/2006/relationships">
  <sheetPr>
    <pageSetUpPr fitToPage="1"/>
  </sheetPr>
  <dimension ref="A1:M69"/>
  <sheetViews>
    <sheetView zoomScale="75" zoomScaleNormal="75" zoomScalePageLayoutView="0" workbookViewId="0" topLeftCell="A16">
      <selection activeCell="E69" sqref="E69"/>
    </sheetView>
  </sheetViews>
  <sheetFormatPr defaultColWidth="8.796875" defaultRowHeight="15"/>
  <cols>
    <col min="1" max="1" width="15.796875" style="53" customWidth="1"/>
    <col min="2" max="2" width="15.69921875" style="53" customWidth="1"/>
    <col min="3" max="3" width="9.3984375" style="53" customWidth="1"/>
    <col min="4" max="4" width="16.796875" style="53" customWidth="1"/>
    <col min="5" max="5" width="9.796875" style="53" customWidth="1"/>
    <col min="6" max="6" width="15.796875" style="53" customWidth="1"/>
    <col min="7" max="7" width="13.69921875" style="53" customWidth="1"/>
    <col min="8" max="8" width="9.796875" style="53" customWidth="1"/>
    <col min="9" max="9" width="8.8984375" style="53" customWidth="1"/>
    <col min="10" max="10" width="12.3984375" style="53" customWidth="1"/>
    <col min="11" max="11" width="12.296875" style="53" customWidth="1"/>
    <col min="12" max="12" width="10.59765625" style="53" customWidth="1"/>
    <col min="13" max="13" width="12.09765625" style="53" customWidth="1"/>
    <col min="14" max="16384" width="8.8984375" style="53" customWidth="1"/>
  </cols>
  <sheetData>
    <row r="1" spans="1:8" ht="15.75">
      <c r="A1" s="69"/>
      <c r="B1" s="69"/>
      <c r="C1" s="69"/>
      <c r="D1" s="69"/>
      <c r="E1" s="69"/>
      <c r="F1" s="69"/>
      <c r="G1" s="69"/>
      <c r="H1" s="285">
        <f>inputPrYr!C5</f>
        <v>2012</v>
      </c>
    </row>
    <row r="2" spans="1:9" ht="15.75">
      <c r="A2" s="673" t="s">
        <v>523</v>
      </c>
      <c r="B2" s="673"/>
      <c r="C2" s="673"/>
      <c r="D2" s="673"/>
      <c r="E2" s="673"/>
      <c r="F2" s="673"/>
      <c r="G2" s="673"/>
      <c r="H2" s="673"/>
      <c r="I2" s="382"/>
    </row>
    <row r="3" spans="1:8" ht="15.75">
      <c r="A3" s="69"/>
      <c r="B3" s="69"/>
      <c r="C3" s="69"/>
      <c r="D3" s="69"/>
      <c r="E3" s="69"/>
      <c r="F3" s="69"/>
      <c r="G3" s="69"/>
      <c r="H3" s="69"/>
    </row>
    <row r="4" spans="1:8" ht="15.75">
      <c r="A4" s="676" t="s">
        <v>553</v>
      </c>
      <c r="B4" s="676"/>
      <c r="C4" s="676"/>
      <c r="D4" s="676"/>
      <c r="E4" s="676"/>
      <c r="F4" s="676"/>
      <c r="G4" s="676"/>
      <c r="H4" s="676"/>
    </row>
    <row r="5" spans="1:8" ht="15.75">
      <c r="A5" s="658" t="str">
        <f>inputPrYr!C3</f>
        <v>MORRIS COUNTY</v>
      </c>
      <c r="B5" s="658"/>
      <c r="C5" s="658"/>
      <c r="D5" s="658"/>
      <c r="E5" s="658"/>
      <c r="F5" s="658"/>
      <c r="G5" s="658"/>
      <c r="H5" s="658"/>
    </row>
    <row r="6" spans="1:8" ht="15.75">
      <c r="A6" s="676" t="str">
        <f>CONCATENATE("will meet on ",inputBudSum!B5," at ",inputBudSum!B7," at ",inputBudSum!B9," for the purpose of hearing and")</f>
        <v>will meet on October 4, 2011 at 9: 30 a.m. at County Commission Room for the purpose of hearing and</v>
      </c>
      <c r="B6" s="676"/>
      <c r="C6" s="676"/>
      <c r="D6" s="676"/>
      <c r="E6" s="676"/>
      <c r="F6" s="676"/>
      <c r="G6" s="676"/>
      <c r="H6" s="676"/>
    </row>
    <row r="7" spans="1:8" ht="15.75">
      <c r="A7" s="676" t="s">
        <v>192</v>
      </c>
      <c r="B7" s="676"/>
      <c r="C7" s="676"/>
      <c r="D7" s="676"/>
      <c r="E7" s="676"/>
      <c r="F7" s="676"/>
      <c r="G7" s="676"/>
      <c r="H7" s="676"/>
    </row>
    <row r="8" spans="1:8" ht="15.75">
      <c r="A8" s="676" t="str">
        <f>CONCATENATE("Detailed budget information is available at ",inputBudSum!B12," and will be available at this hearing.")</f>
        <v>Detailed budget information is available at Morris County Clerk's Office and will be available at this hearing.</v>
      </c>
      <c r="B8" s="676"/>
      <c r="C8" s="676"/>
      <c r="D8" s="676"/>
      <c r="E8" s="676"/>
      <c r="F8" s="676"/>
      <c r="G8" s="676"/>
      <c r="H8" s="676"/>
    </row>
    <row r="9" spans="1:8" ht="15.75">
      <c r="A9" s="76" t="s">
        <v>524</v>
      </c>
      <c r="B9" s="77"/>
      <c r="C9" s="77"/>
      <c r="D9" s="145"/>
      <c r="E9" s="77"/>
      <c r="F9" s="77"/>
      <c r="G9" s="77"/>
      <c r="H9" s="77"/>
    </row>
    <row r="10" spans="1:8" ht="15.75">
      <c r="A10" s="676" t="str">
        <f>CONCATENATE("Proposed Budget ",H1," Expenditures and Amount of ",H1-1," Ad Valorem Tax establish the maximum limits of the ",H1," budget.")</f>
        <v>Proposed Budget 2012 Expenditures and Amount of 2011 Ad Valorem Tax establish the maximum limits of the 2012 budget.</v>
      </c>
      <c r="B10" s="676"/>
      <c r="C10" s="676"/>
      <c r="D10" s="676"/>
      <c r="E10" s="676"/>
      <c r="F10" s="676"/>
      <c r="G10" s="676"/>
      <c r="H10" s="676"/>
    </row>
    <row r="11" spans="1:8" ht="15.75">
      <c r="A11" s="676" t="s">
        <v>577</v>
      </c>
      <c r="B11" s="676"/>
      <c r="C11" s="676"/>
      <c r="D11" s="676"/>
      <c r="E11" s="676"/>
      <c r="F11" s="676"/>
      <c r="G11" s="676"/>
      <c r="H11" s="676"/>
    </row>
    <row r="12" spans="1:9" ht="15.75">
      <c r="A12" s="69"/>
      <c r="B12" s="69"/>
      <c r="C12" s="69"/>
      <c r="D12" s="69"/>
      <c r="E12" s="69"/>
      <c r="F12" s="69"/>
      <c r="G12" s="69"/>
      <c r="H12" s="69"/>
      <c r="I12" s="126"/>
    </row>
    <row r="13" spans="1:8" ht="15.75">
      <c r="A13" s="69"/>
      <c r="B13" s="383" t="str">
        <f>CONCATENATE("Prior Year Actual for ",H1-2,"")</f>
        <v>Prior Year Actual for 2010</v>
      </c>
      <c r="C13" s="149"/>
      <c r="D13" s="384" t="str">
        <f>CONCATENATE("Current Year Estimate for ",H1-1,"")</f>
        <v>Current Year Estimate for 2011</v>
      </c>
      <c r="E13" s="149"/>
      <c r="F13" s="147" t="str">
        <f>CONCATENATE("Proposed Budget for ",H1,"")</f>
        <v>Proposed Budget for 2012</v>
      </c>
      <c r="G13" s="148"/>
      <c r="H13" s="149"/>
    </row>
    <row r="14" spans="1:8" ht="18.75" customHeight="1">
      <c r="A14" s="68"/>
      <c r="B14" s="340"/>
      <c r="C14" s="150" t="s">
        <v>480</v>
      </c>
      <c r="D14" s="150"/>
      <c r="E14" s="150" t="s">
        <v>480</v>
      </c>
      <c r="F14" s="491" t="s">
        <v>913</v>
      </c>
      <c r="G14" s="150" t="str">
        <f>CONCATENATE("Amount of ",H1-1,"")</f>
        <v>Amount of 2011</v>
      </c>
      <c r="H14" s="150" t="s">
        <v>481</v>
      </c>
    </row>
    <row r="15" spans="1:8" ht="15.75">
      <c r="A15" s="97" t="s">
        <v>482</v>
      </c>
      <c r="B15" s="262" t="s">
        <v>455</v>
      </c>
      <c r="C15" s="262" t="s">
        <v>483</v>
      </c>
      <c r="D15" s="262" t="s">
        <v>218</v>
      </c>
      <c r="E15" s="262" t="s">
        <v>483</v>
      </c>
      <c r="F15" s="492" t="s">
        <v>914</v>
      </c>
      <c r="G15" s="385" t="s">
        <v>852</v>
      </c>
      <c r="H15" s="262" t="s">
        <v>483</v>
      </c>
    </row>
    <row r="16" spans="1:8" ht="15.75">
      <c r="A16" s="112" t="str">
        <f>inputPrYr!B16</f>
        <v>General</v>
      </c>
      <c r="B16" s="112">
        <f>IF(general!$C$115&lt;&gt;0,general!$C$115,"  ")</f>
        <v>1929258</v>
      </c>
      <c r="C16" s="386">
        <f>IF(inputPrYr!D68&lt;&gt;0,inputPrYr!D68,"  ")</f>
        <v>19.643</v>
      </c>
      <c r="D16" s="112">
        <f>IF(general!$D$115&lt;&gt;0,general!$D$115,"  ")</f>
        <v>2186985</v>
      </c>
      <c r="E16" s="386">
        <f>IF(inputPrYr!F16&lt;&gt;0,inputPrYr!F16,"  ")</f>
        <v>24.61</v>
      </c>
      <c r="F16" s="112">
        <f>IF(general!$E$115&lt;&gt;0,general!$E$115,"  ")</f>
        <v>2631051</v>
      </c>
      <c r="G16" s="112">
        <f>IF(general!$E$122&lt;&gt;0,general!$E$122,"  ")</f>
        <v>1460102.25</v>
      </c>
      <c r="H16" s="386">
        <f>IF(general!E122&lt;&gt;0,ROUND(G16/$F$56*1000,3),"  ")</f>
        <v>22.657</v>
      </c>
    </row>
    <row r="17" spans="1:8" ht="15.75">
      <c r="A17" s="112" t="str">
        <f>inputPrYr!B17</f>
        <v>Debt Service</v>
      </c>
      <c r="B17" s="112" t="str">
        <f>IF(DebtService!$C$54&lt;&gt;0,DebtService!$C$54,"  ")</f>
        <v>  </v>
      </c>
      <c r="C17" s="386" t="str">
        <f>IF(inputPrYr!D69&lt;&gt;0,inputPrYr!D69,"  ")</f>
        <v>  </v>
      </c>
      <c r="D17" s="112" t="str">
        <f>IF(DebtService!$D$54&lt;&gt;0,DebtService!$D$54,"  ")</f>
        <v>  </v>
      </c>
      <c r="E17" s="386" t="str">
        <f>IF(inputPrYr!F17&lt;&gt;0,inputPrYr!F17,"  ")</f>
        <v>  </v>
      </c>
      <c r="F17" s="112" t="str">
        <f>IF(DebtService!$E$54&lt;&gt;0,DebtService!$E$54,"  ")</f>
        <v>  </v>
      </c>
      <c r="G17" s="112" t="str">
        <f>IF(DebtService!$E$61&lt;&gt;0,DebtService!$E$61,"  ")</f>
        <v>  </v>
      </c>
      <c r="H17" s="386" t="str">
        <f>IF(DebtService!E61&lt;&gt;0,ROUND(G17/$F$56*1000,3),"  ")</f>
        <v>  </v>
      </c>
    </row>
    <row r="18" spans="1:8" ht="15.75">
      <c r="A18" s="112" t="str">
        <f>IF((inputPrYr!$B18&gt;" "),(inputPrYr!$B18),"  ")</f>
        <v>Road &amp; Bridge</v>
      </c>
      <c r="B18" s="112">
        <f>IF(road!$C$112&lt;&gt;0,road!$C$112,"  ")</f>
        <v>2106600</v>
      </c>
      <c r="C18" s="386">
        <f>IF(inputPrYr!D70&lt;&gt;0,inputPrYr!D70,"  ")</f>
        <v>23.888</v>
      </c>
      <c r="D18" s="112">
        <f>IF(road!$D$112&lt;&gt;0,road!$D$112,"  ")</f>
        <v>2218700</v>
      </c>
      <c r="E18" s="386">
        <f>IF(inputPrYr!F18&lt;&gt;0,inputPrYr!F18,"  ")</f>
        <v>24.283</v>
      </c>
      <c r="F18" s="112">
        <f>IF(road!$E$112&lt;&gt;0,road!$E$112,"  ")</f>
        <v>2435000</v>
      </c>
      <c r="G18" s="112">
        <f>IF(road!$E$119&lt;&gt;0,road!$E$119,"  ")</f>
        <v>1744745.84</v>
      </c>
      <c r="H18" s="386">
        <f>IF(road!E119&lt;&gt;0,ROUND(G18/$F$56*1000,3),"  ")</f>
        <v>27.074</v>
      </c>
    </row>
    <row r="19" spans="1:8" ht="15.75">
      <c r="A19" s="112" t="str">
        <f>IF((inputPrYr!$B19&gt;" "),(inputPrYr!$B19),"  ")</f>
        <v>Special Bridge</v>
      </c>
      <c r="B19" s="112">
        <f>IF('SpecBridge-Appraisal'!$C$33&lt;&gt;0,'SpecBridge-Appraisal'!$C$33,"  ")</f>
        <v>98355</v>
      </c>
      <c r="C19" s="386">
        <f>IF(inputPrYr!D71&lt;&gt;0,inputPrYr!D71,"  ")</f>
        <v>1.358</v>
      </c>
      <c r="D19" s="112">
        <f>IF('SpecBridge-Appraisal'!$D$33&lt;&gt;0,'SpecBridge-Appraisal'!$D$33,"  ")</f>
        <v>100000</v>
      </c>
      <c r="E19" s="386">
        <f>IF(inputPrYr!F19&lt;&gt;0,inputPrYr!F19,"  ")</f>
        <v>1.394</v>
      </c>
      <c r="F19" s="112">
        <f>IF('SpecBridge-Appraisal'!$E$33&lt;&gt;0,'SpecBridge-Appraisal'!$E$33,"  ")</f>
        <v>120000</v>
      </c>
      <c r="G19" s="112">
        <f>IF('SpecBridge-Appraisal'!$E$40&lt;&gt;0,'SpecBridge-Appraisal'!$E$40,"  ")</f>
        <v>86048</v>
      </c>
      <c r="H19" s="386">
        <f>IF('SpecBridge-Appraisal'!E40&lt;&gt;0,ROUND(G19/$F$56*1000,3),"  ")</f>
        <v>1.335</v>
      </c>
    </row>
    <row r="20" spans="1:8" ht="15.75">
      <c r="A20" s="112" t="str">
        <f>IF((inputPrYr!$B20&gt;" "),(inputPrYr!$B20),"  ")</f>
        <v>Reappraisal</v>
      </c>
      <c r="B20" s="112">
        <f>IF('SpecBridge-Appraisal'!$C$70&lt;&gt;0,'SpecBridge-Appraisal'!$C$70,"  ")</f>
        <v>126968</v>
      </c>
      <c r="C20" s="386">
        <f>IF(inputPrYr!D72&lt;&gt;0,inputPrYr!D72,"  ")</f>
        <v>2.179</v>
      </c>
      <c r="D20" s="112">
        <f>IF('SpecBridge-Appraisal'!$D$70&lt;&gt;0,'SpecBridge-Appraisal'!$D$70,"  ")</f>
        <v>150800</v>
      </c>
      <c r="E20" s="386">
        <f>IF(inputPrYr!F20&lt;&gt;0,inputPrYr!F20,"  ")</f>
        <v>2.022</v>
      </c>
      <c r="F20" s="112">
        <f>IF('SpecBridge-Appraisal'!$E$70&lt;&gt;0,'SpecBridge-Appraisal'!$E$70,"  ")</f>
        <v>156000</v>
      </c>
      <c r="G20" s="112">
        <f>IF('SpecBridge-Appraisal'!$E$77&lt;&gt;0,'SpecBridge-Appraisal'!$E$77,"  ")</f>
        <v>89656</v>
      </c>
      <c r="H20" s="386">
        <f>IF('SpecBridge-Appraisal'!E77&lt;&gt;0,ROUND(G20/$F$56*1000,3),"  ")</f>
        <v>1.391</v>
      </c>
    </row>
    <row r="21" spans="1:8" ht="15.75">
      <c r="A21" s="112" t="str">
        <f>IF((inputPrYr!$B21&gt;" "),(inputPrYr!$B21),"  ")</f>
        <v>County Health</v>
      </c>
      <c r="B21" s="112">
        <f>IF('Health-NoxWeed'!$C$33&lt;&gt;0,'Health-NoxWeed'!$C$33,"  ")</f>
        <v>103076</v>
      </c>
      <c r="C21" s="386">
        <f>IF(inputPrYr!D73&lt;&gt;0,inputPrYr!D73,"  ")</f>
        <v>1.453</v>
      </c>
      <c r="D21" s="112">
        <f>IF('Health-NoxWeed'!$D$33&lt;&gt;0,'Health-NoxWeed'!$D$33,"  ")</f>
        <v>103745</v>
      </c>
      <c r="E21" s="386">
        <f>IF(inputPrYr!F21&lt;&gt;0,inputPrYr!F21,"  ")</f>
        <v>1.493</v>
      </c>
      <c r="F21" s="112">
        <f>IF('Health-NoxWeed'!$E$33&lt;&gt;0,'Health-NoxWeed'!$E$33,"  ")</f>
        <v>104443</v>
      </c>
      <c r="G21" s="112">
        <f>IF('Health-NoxWeed'!$E$40&lt;&gt;0,'Health-NoxWeed'!$E$40,"  ")</f>
        <v>94327</v>
      </c>
      <c r="H21" s="386">
        <f>IF('Health-NoxWeed'!E40&lt;&gt;0,ROUND(G21/$F$56*1000,3),"  ")</f>
        <v>1.464</v>
      </c>
    </row>
    <row r="22" spans="1:8" ht="15.75">
      <c r="A22" s="112" t="str">
        <f>IF((inputPrYr!$B22&gt;" "),(inputPrYr!$B22),"  ")</f>
        <v>Noxious Weed</v>
      </c>
      <c r="B22" s="112">
        <f>IF('Health-NoxWeed'!$C$70&lt;&gt;0,'Health-NoxWeed'!$C$70,"  ")</f>
        <v>162048</v>
      </c>
      <c r="C22" s="386">
        <f>IF(inputPrYr!D74&lt;&gt;0,inputPrYr!D74,"  ")</f>
        <v>0.134</v>
      </c>
      <c r="D22" s="112">
        <f>IF('Health-NoxWeed'!$D$70&lt;&gt;0,'Health-NoxWeed'!$D$70,"  ")</f>
        <v>176000</v>
      </c>
      <c r="E22" s="386">
        <f>IF(inputPrYr!F22&lt;&gt;0,inputPrYr!F22,"  ")</f>
        <v>0.985</v>
      </c>
      <c r="F22" s="112">
        <f>IF('Health-NoxWeed'!$E$70&lt;&gt;0,'Health-NoxWeed'!$E$70,"  ")</f>
        <v>183000</v>
      </c>
      <c r="G22" s="112">
        <f>IF('Health-NoxWeed'!$E$77&lt;&gt;0,'Health-NoxWeed'!$E$77,"  ")</f>
        <v>64119</v>
      </c>
      <c r="H22" s="386">
        <f>IF('Health-NoxWeed'!$E$77&lt;&gt;0,ROUND(G22/$F$56*1000,3),"  ")</f>
        <v>0.995</v>
      </c>
    </row>
    <row r="23" spans="1:8" ht="15.75">
      <c r="A23" s="112" t="str">
        <f>IF((inputPrYr!$B23&gt;" "),(inputPrYr!$B23),"  ")</f>
        <v>Ambulance</v>
      </c>
      <c r="B23" s="112">
        <f>IF('Amb-MentalHealth'!$C$33&lt;&gt;0,'Amb-MentalHealth'!$C$33,"  ")</f>
        <v>135076</v>
      </c>
      <c r="C23" s="386">
        <f>IF(inputPrYr!D75&lt;&gt;0,inputPrYr!D75,"  ")</f>
        <v>1.779</v>
      </c>
      <c r="D23" s="112">
        <f>IF('Amb-MentalHealth'!$D$33&lt;&gt;0,'Amb-MentalHealth'!$D$33,"  ")</f>
        <v>135745</v>
      </c>
      <c r="E23" s="386">
        <f>IF(inputPrYr!F23&lt;&gt;0,inputPrYr!F23,"  ")</f>
        <v>1.848</v>
      </c>
      <c r="F23" s="112">
        <f>IF('Amb-MentalHealth'!$E$33&lt;&gt;0,'Amb-MentalHealth'!$E$33,"  ")</f>
        <v>136443</v>
      </c>
      <c r="G23" s="112">
        <f>IF('Amb-MentalHealth'!$E$40&lt;&gt;0,'Amb-MentalHealth'!$E$40,"  ")</f>
        <v>113436</v>
      </c>
      <c r="H23" s="386">
        <f>IF('Amb-MentalHealth'!$E$40&lt;&gt;0,ROUND(G23/$F$56*1000,3),"  ")</f>
        <v>1.76</v>
      </c>
    </row>
    <row r="24" spans="1:8" ht="15.75">
      <c r="A24" s="112" t="str">
        <f>IF((inputPrYr!$B24&gt;" "),(inputPrYr!$B24),"  ")</f>
        <v>Mental Health</v>
      </c>
      <c r="B24" s="112">
        <f>IF('Amb-MentalHealth'!$C$70&lt;&gt;0,'Amb-MentalHealth'!$C$70,"  ")</f>
        <v>47375</v>
      </c>
      <c r="C24" s="386">
        <f>IF(inputPrYr!D76&lt;&gt;0,inputPrYr!D76,"  ")</f>
        <v>0.663</v>
      </c>
      <c r="D24" s="112">
        <f>IF('Amb-MentalHealth'!$D$70&lt;&gt;0,'Amb-MentalHealth'!$D$70,"  ")</f>
        <v>47375</v>
      </c>
      <c r="E24" s="386">
        <f>IF(inputPrYr!F24&lt;&gt;0,inputPrYr!F24,"  ")</f>
        <v>0.695</v>
      </c>
      <c r="F24" s="112">
        <f>IF('Amb-MentalHealth'!$E$70&lt;&gt;0,'Amb-MentalHealth'!$E$70,"  ")</f>
        <v>57000</v>
      </c>
      <c r="G24" s="112">
        <f>IF('Amb-MentalHealth'!$E$77&lt;&gt;0,'Amb-MentalHealth'!$E$77,"  ")</f>
        <v>52875</v>
      </c>
      <c r="H24" s="386">
        <f>IF('Amb-MentalHealth'!$E$77&lt;&gt;0,ROUND(G24/$F$56*1000,3),"  ")</f>
        <v>0.82</v>
      </c>
    </row>
    <row r="25" spans="1:8" ht="15.75">
      <c r="A25" s="112" t="str">
        <f>IF((inputPrYr!$B25&gt;" "),(inputPrYr!$B25),"  ")</f>
        <v>Hospital Maintenance</v>
      </c>
      <c r="B25" s="112">
        <f>IF('HospMain-EmpBen'!$C$33&lt;&gt;0,'HospMain-EmpBen'!$C$33,"  ")</f>
        <v>126152</v>
      </c>
      <c r="C25" s="386">
        <f>IF(inputPrYr!D77&lt;&gt;0,inputPrYr!D77,"  ")</f>
        <v>1.798</v>
      </c>
      <c r="D25" s="112">
        <f>IF('HospMain-EmpBen'!$D$33&lt;&gt;0,'HospMain-EmpBen'!$D$33,"  ")</f>
        <v>127490</v>
      </c>
      <c r="E25" s="386">
        <f>IF(inputPrYr!F25&lt;&gt;0,inputPrYr!F25,"  ")</f>
        <v>1.863</v>
      </c>
      <c r="F25" s="112">
        <f>IF('HospMain-EmpBen'!$E$33&lt;&gt;0,'HospMain-EmpBen'!$E$33,"  ")</f>
        <v>128886</v>
      </c>
      <c r="G25" s="112">
        <f>IF('HospMain-EmpBen'!$E$40&lt;&gt;0,'HospMain-EmpBen'!$E$40,"  ")</f>
        <v>115462</v>
      </c>
      <c r="H25" s="386">
        <f>IF('HospMain-EmpBen'!$E$40&lt;&gt;0,ROUND(G25/$F$56*1000,3),"  ")</f>
        <v>1.792</v>
      </c>
    </row>
    <row r="26" spans="1:8" ht="15.75">
      <c r="A26" s="112" t="str">
        <f>IF((inputPrYr!$B26&gt;" "),(inputPrYr!$B26),"  ")</f>
        <v>Employee Benefits</v>
      </c>
      <c r="B26" s="112">
        <f>IF('HospMain-EmpBen'!$C$70&lt;&gt;0,'HospMain-EmpBen'!$C$70,"  ")</f>
        <v>569526</v>
      </c>
      <c r="C26" s="386">
        <f>IF(inputPrYr!D78&lt;&gt;0,inputPrYr!D78,"  ")</f>
        <v>7.349</v>
      </c>
      <c r="D26" s="112">
        <f>IF('HospMain-EmpBen'!$D$70&lt;&gt;0,'HospMain-EmpBen'!$D$70,"  ")</f>
        <v>613000</v>
      </c>
      <c r="E26" s="386">
        <f>IF(inputPrYr!F26&lt;&gt;0,inputPrYr!F26,"  ")</f>
        <v>5.157</v>
      </c>
      <c r="F26" s="112">
        <f>IF('HospMain-EmpBen'!$E$70&lt;&gt;0,'HospMain-EmpBen'!$E$70,"  ")</f>
        <v>649000</v>
      </c>
      <c r="G26" s="112">
        <f>IF('HospMain-EmpBen'!$E$77&lt;&gt;0,'HospMain-EmpBen'!$E$77,"  ")</f>
        <v>446961</v>
      </c>
      <c r="H26" s="386">
        <f>IF('HospMain-EmpBen'!$E$77&lt;&gt;0,ROUND(G26/$F$56*1000,3),"  ")</f>
        <v>6.936</v>
      </c>
    </row>
    <row r="27" spans="1:8" ht="15.75">
      <c r="A27" s="112" t="str">
        <f>IF((inputPrYr!$B27&gt;" "),(inputPrYr!$B27),"  ")</f>
        <v>  </v>
      </c>
      <c r="B27" s="112" t="str">
        <f>IF('levy page14'!$C$33&lt;&gt;0,'levy page14'!$C$33,"  ")</f>
        <v>  </v>
      </c>
      <c r="C27" s="386" t="str">
        <f>IF(inputPrYr!D79&lt;&gt;0,inputPrYr!D79,"  ")</f>
        <v>  </v>
      </c>
      <c r="D27" s="112" t="str">
        <f>IF('levy page14'!$D$33&lt;&gt;0,'levy page14'!$D$33,"  ")</f>
        <v>  </v>
      </c>
      <c r="E27" s="386" t="str">
        <f>IF(inputPrYr!F27&lt;&gt;0,inputPrYr!F27,"  ")</f>
        <v>  </v>
      </c>
      <c r="F27" s="112" t="str">
        <f>IF('levy page14'!$E$33&lt;&gt;0,'levy page14'!$E$33,"  ")</f>
        <v>  </v>
      </c>
      <c r="G27" s="112" t="str">
        <f>IF('levy page14'!$E$40&lt;&gt;0,'levy page14'!$E$40,"  ")</f>
        <v>  </v>
      </c>
      <c r="H27" s="386" t="str">
        <f>IF('levy page14'!$E$40&lt;&gt;0,ROUND(G27/$F$56*1000,3),"  ")</f>
        <v>  </v>
      </c>
    </row>
    <row r="28" spans="1:8" ht="15.75">
      <c r="A28" s="112" t="str">
        <f>IF((inputPrYr!$B28&gt;" "),(inputPrYr!$B28),"  ")</f>
        <v>  </v>
      </c>
      <c r="B28" s="112" t="str">
        <f>IF('levy page14'!$C$70&lt;&gt;0,'levy page14'!$C$70,"  ")</f>
        <v>  </v>
      </c>
      <c r="C28" s="386" t="str">
        <f>IF(inputPrYr!D80&lt;&gt;0,inputPrYr!D80,"  ")</f>
        <v>  </v>
      </c>
      <c r="D28" s="112" t="str">
        <f>IF('levy page14'!$D$70&lt;&gt;0,'levy page14'!$D$70,"  ")</f>
        <v>  </v>
      </c>
      <c r="E28" s="386" t="str">
        <f>IF(inputPrYr!F28&lt;&gt;0,inputPrYr!F28,"  ")</f>
        <v>  </v>
      </c>
      <c r="F28" s="112" t="str">
        <f>IF('levy page14'!$E$70&lt;&gt;0,'levy page14'!$E$70,"  ")</f>
        <v>  </v>
      </c>
      <c r="G28" s="112" t="str">
        <f>IF('levy page14'!$E$77&lt;&gt;0,'levy page14'!$E$77,"  ")</f>
        <v>  </v>
      </c>
      <c r="H28" s="386" t="str">
        <f>IF('levy page14'!$E$77&lt;&gt;0,ROUND(G28/$F$56*1000,3),"  ")</f>
        <v>  </v>
      </c>
    </row>
    <row r="29" spans="1:8" ht="15.75">
      <c r="A29" s="112" t="str">
        <f>IF((inputPrYr!$B29&gt;" "),(inputPrYr!$B29),"  ")</f>
        <v>  </v>
      </c>
      <c r="B29" s="112" t="str">
        <f>IF('levy page15'!$C$33&lt;&gt;0,'levy page15'!$C$33,"  ")</f>
        <v>  </v>
      </c>
      <c r="C29" s="386" t="str">
        <f>IF(inputPrYr!D81&lt;&gt;0,inputPrYr!D81,"  ")</f>
        <v>  </v>
      </c>
      <c r="D29" s="112" t="str">
        <f>IF('levy page15'!$D$33&lt;&gt;0,'levy page15'!$D$33,"  ")</f>
        <v>  </v>
      </c>
      <c r="E29" s="386" t="str">
        <f>IF(inputPrYr!F29&lt;&gt;0,inputPrYr!F29,"  ")</f>
        <v>  </v>
      </c>
      <c r="F29" s="112" t="str">
        <f>IF('levy page15'!$E$33&lt;&gt;0,'levy page15'!$E$33,"  ")</f>
        <v>  </v>
      </c>
      <c r="G29" s="112" t="str">
        <f>IF('levy page15'!$E$40&lt;&gt;0,'levy page15'!$E$40,"  ")</f>
        <v>  </v>
      </c>
      <c r="H29" s="386" t="str">
        <f>IF('levy page15'!$E$40&lt;&gt;0,ROUND(G29/$F$56*1000,3),"  ")</f>
        <v>  </v>
      </c>
    </row>
    <row r="30" spans="1:8" ht="15.75">
      <c r="A30" s="112" t="str">
        <f>IF((inputPrYr!$B30&gt;" "),(inputPrYr!$B30),"  ")</f>
        <v>  </v>
      </c>
      <c r="B30" s="112" t="str">
        <f>IF('levy page15'!$C$70&lt;&gt;0,'levy page15'!$C$70,"  ")</f>
        <v>  </v>
      </c>
      <c r="C30" s="386" t="str">
        <f>IF(inputPrYr!D82&lt;&gt;0,inputPrYr!D82,"  ")</f>
        <v>  </v>
      </c>
      <c r="D30" s="112" t="str">
        <f>IF('levy page15'!$D$70&lt;&gt;0,'levy page15'!$D$70,"  ")</f>
        <v>  </v>
      </c>
      <c r="E30" s="386" t="str">
        <f>IF(inputPrYr!F30&lt;&gt;0,inputPrYr!F30,"  ")</f>
        <v>  </v>
      </c>
      <c r="F30" s="112" t="str">
        <f>IF('levy page15'!$E$70&lt;&gt;0,'levy page15'!$E$70,"  ")</f>
        <v>  </v>
      </c>
      <c r="G30" s="112" t="str">
        <f>IF('levy page15'!$E$77&lt;&gt;0,'levy page15'!$E$77,"  ")</f>
        <v>  </v>
      </c>
      <c r="H30" s="386" t="str">
        <f>IF('levy page15'!$E$77&lt;&gt;0,ROUND(G30/$F$56*1000,3),"  ")</f>
        <v>  </v>
      </c>
    </row>
    <row r="31" spans="1:8" ht="15.75">
      <c r="A31" s="112" t="str">
        <f>IF((inputPrYr!$B31&gt;" "),(inputPrYr!$B31),"  ")</f>
        <v>  </v>
      </c>
      <c r="B31" s="112" t="str">
        <f>IF('levy page16'!$C$33&lt;&gt;0,'levy page16'!$C$33,"  ")</f>
        <v>  </v>
      </c>
      <c r="C31" s="386" t="str">
        <f>IF(inputPrYr!D83&lt;&gt;0,inputPrYr!D83,"  ")</f>
        <v>  </v>
      </c>
      <c r="D31" s="112" t="str">
        <f>IF('levy page16'!$D$33&lt;&gt;0,'levy page16'!$D$33,"  ")</f>
        <v>  </v>
      </c>
      <c r="E31" s="386" t="str">
        <f>IF(inputPrYr!F31&lt;&gt;0,inputPrYr!F31,"  ")</f>
        <v>  </v>
      </c>
      <c r="F31" s="112" t="str">
        <f>IF('levy page16'!$E$33&lt;&gt;0,'levy page16'!$E$33,"  ")</f>
        <v>  </v>
      </c>
      <c r="G31" s="112" t="str">
        <f>IF('levy page16'!$E$40&lt;&gt;0,'levy page16'!$E$40,"  ")</f>
        <v>  </v>
      </c>
      <c r="H31" s="386" t="str">
        <f>IF('levy page16'!$E$40&lt;&gt;0,ROUND(G31/$F$56*1000,3),"  ")</f>
        <v>  </v>
      </c>
    </row>
    <row r="32" spans="1:8" ht="15.75">
      <c r="A32" s="112" t="str">
        <f>IF((inputPrYr!$B32&gt;" "),(inputPrYr!$B32),"  ")</f>
        <v>  </v>
      </c>
      <c r="B32" s="112" t="str">
        <f>IF('levy page16'!$C$70&lt;&gt;0,'levy page16'!$C$70,"  ")</f>
        <v>  </v>
      </c>
      <c r="C32" s="386" t="str">
        <f>IF(inputPrYr!D84&lt;&gt;0,inputPrYr!D84,"  ")</f>
        <v>  </v>
      </c>
      <c r="D32" s="112" t="str">
        <f>IF('levy page16'!$D$70&lt;&gt;0,'levy page16'!$D$70,"  ")</f>
        <v>  </v>
      </c>
      <c r="E32" s="386" t="str">
        <f>IF(inputPrYr!F32&lt;&gt;0,inputPrYr!F32,"  ")</f>
        <v>  </v>
      </c>
      <c r="F32" s="112" t="str">
        <f>IF('levy page16'!$E$70&lt;&gt;0,'levy page16'!$E$70,"  ")</f>
        <v>  </v>
      </c>
      <c r="G32" s="112" t="str">
        <f>IF('levy page16'!$E$77&lt;&gt;0,'levy page16'!$E$77,"  ")</f>
        <v>  </v>
      </c>
      <c r="H32" s="386" t="str">
        <f>IF('levy page16'!$E$77&lt;&gt;0,ROUND(G32/$F$56*1000,3),"  ")</f>
        <v>  </v>
      </c>
    </row>
    <row r="33" spans="1:8" ht="15.75">
      <c r="A33" s="112" t="str">
        <f>IF((inputPrYr!$B33&gt;" "),(inputPrYr!$B33),"  ")</f>
        <v>  </v>
      </c>
      <c r="B33" s="112" t="str">
        <f>IF('levy page17'!$C$33&lt;&gt;0,'levy page17'!$C$33,"  ")</f>
        <v>  </v>
      </c>
      <c r="C33" s="386" t="str">
        <f>IF(inputPrYr!D85&lt;&gt;0,inputPrYr!D85,"  ")</f>
        <v>  </v>
      </c>
      <c r="D33" s="112" t="str">
        <f>IF('levy page17'!$D$33&lt;&gt;0,'levy page17'!$D$33,"  ")</f>
        <v>  </v>
      </c>
      <c r="E33" s="386" t="str">
        <f>IF(inputPrYr!F33&lt;&gt;0,inputPrYr!F33,"  ")</f>
        <v>  </v>
      </c>
      <c r="F33" s="112" t="str">
        <f>IF('levy page17'!$E$33&lt;&gt;0,'levy page17'!$E$33,"  ")</f>
        <v>  </v>
      </c>
      <c r="G33" s="112" t="str">
        <f>IF('levy page17'!$E$40&lt;&gt;0,'levy page17'!$E$40,"  ")</f>
        <v>  </v>
      </c>
      <c r="H33" s="386" t="str">
        <f>IF('levy page17'!$E$40&lt;&gt;0,ROUND(G33/$F$56*1000,3),"  ")</f>
        <v>  </v>
      </c>
    </row>
    <row r="34" spans="1:8" ht="15.75">
      <c r="A34" s="112" t="str">
        <f>IF((inputPrYr!$B34&gt;" "),(inputPrYr!$B34),"  ")</f>
        <v>  </v>
      </c>
      <c r="B34" s="112" t="str">
        <f>IF('levy page17'!$C$70&lt;&gt;0,'levy page17'!$C$70,"  ")</f>
        <v>  </v>
      </c>
      <c r="C34" s="386" t="str">
        <f>IF(inputPrYr!D86&lt;&gt;0,inputPrYr!D86,"  ")</f>
        <v>  </v>
      </c>
      <c r="D34" s="112" t="str">
        <f>IF('levy page17'!$D$70&lt;&gt;0,'levy page17'!$D$70,"  ")</f>
        <v>  </v>
      </c>
      <c r="E34" s="386" t="str">
        <f>IF(inputPrYr!F34&lt;&gt;0,inputPrYr!F34,"  ")</f>
        <v>  </v>
      </c>
      <c r="F34" s="112" t="str">
        <f>IF('levy page17'!$E$70&lt;&gt;0,'levy page17'!$E$70,"  ")</f>
        <v>  </v>
      </c>
      <c r="G34" s="112" t="str">
        <f>IF('levy page17'!$E$77&lt;&gt;0,'levy page17'!$E$77,"  ")</f>
        <v>  </v>
      </c>
      <c r="H34" s="386" t="str">
        <f>IF('levy page17'!$E$77&lt;&gt;0,ROUND(G34/$F$56*1000,3),"  ")</f>
        <v>  </v>
      </c>
    </row>
    <row r="35" spans="1:8" ht="15.75">
      <c r="A35" s="112" t="str">
        <f>IF((inputPrYr!$B35&gt;" "),(inputPrYr!$B35),"  ")</f>
        <v>  </v>
      </c>
      <c r="B35" s="112" t="str">
        <f>IF('levy page18'!$C$33&lt;&gt;0,'levy page18'!$C$33,"  ")</f>
        <v>  </v>
      </c>
      <c r="C35" s="386" t="str">
        <f>IF(inputPrYr!D87&lt;&gt;0,inputPrYr!D87,"  ")</f>
        <v>  </v>
      </c>
      <c r="D35" s="112" t="str">
        <f>IF('levy page18'!$D$33&lt;&gt;0,'levy page18'!$D$33,"  ")</f>
        <v>  </v>
      </c>
      <c r="E35" s="386" t="str">
        <f>IF(inputPrYr!F35&lt;&gt;0,inputPrYr!F35,"  ")</f>
        <v>  </v>
      </c>
      <c r="F35" s="112" t="str">
        <f>IF('levy page18'!$E$33&lt;&gt;0,'levy page18'!$E$33,"  ")</f>
        <v>  </v>
      </c>
      <c r="G35" s="112" t="str">
        <f>IF('levy page18'!$E$40&lt;&gt;0,'levy page18'!$E$40,"  ")</f>
        <v>  </v>
      </c>
      <c r="H35" s="386" t="str">
        <f>IF('levy page18'!$E$40&lt;&gt;0,ROUND(G35/$F$56*1000,3),"  ")</f>
        <v>  </v>
      </c>
    </row>
    <row r="36" spans="1:8" ht="15.75">
      <c r="A36" s="112" t="str">
        <f>IF((inputPrYr!$B36&gt;" "),(inputPrYr!$B36),"  ")</f>
        <v>  </v>
      </c>
      <c r="B36" s="112" t="str">
        <f>IF('levy page18'!$C$70&lt;&gt;0,'levy page18'!$C$70,"  ")</f>
        <v>  </v>
      </c>
      <c r="C36" s="386" t="str">
        <f>IF(inputPrYr!D88&lt;&gt;0,inputPrYr!D88,"  ")</f>
        <v>  </v>
      </c>
      <c r="D36" s="112" t="str">
        <f>IF('levy page18'!$D$70&lt;&gt;0,'levy page18'!$D$70,"  ")</f>
        <v>  </v>
      </c>
      <c r="E36" s="386" t="str">
        <f>IF(inputPrYr!F36&lt;&gt;0,inputPrYr!F36,"  ")</f>
        <v>  </v>
      </c>
      <c r="F36" s="112" t="str">
        <f>IF('levy page18'!$E$70&lt;&gt;0,'levy page18'!$E$70,"  ")</f>
        <v>  </v>
      </c>
      <c r="G36" s="112" t="str">
        <f>IF('levy page18'!$E$77&lt;&gt;0,'levy page18'!$E$77,"  ")</f>
        <v>  </v>
      </c>
      <c r="H36" s="386" t="str">
        <f>IF('levy page18'!$E$77&lt;&gt;0,ROUND(G36/$F$56*1000,3),"  ")</f>
        <v>  </v>
      </c>
    </row>
    <row r="37" spans="1:8" ht="15.75">
      <c r="A37" s="112" t="str">
        <f>IF((inputPrYr!$B37&gt;" "),(inputPrYr!$B37),"  ")</f>
        <v>  </v>
      </c>
      <c r="B37" s="112" t="str">
        <f>IF('levy page19'!$C$33&lt;&gt;0,'levy page19'!$C$33,"  ")</f>
        <v>  </v>
      </c>
      <c r="C37" s="386" t="str">
        <f>IF(inputPrYr!D89&lt;&gt;0,inputPrYr!D89,"  ")</f>
        <v>  </v>
      </c>
      <c r="D37" s="112" t="str">
        <f>IF('levy page19'!$D$33&lt;&gt;0,'levy page19'!$D$33,"  ")</f>
        <v>  </v>
      </c>
      <c r="E37" s="386" t="str">
        <f>IF(inputPrYr!F37&lt;&gt;0,inputPrYr!F37,"  ")</f>
        <v>  </v>
      </c>
      <c r="F37" s="112" t="str">
        <f>IF('levy page19'!$E$33&lt;&gt;0,'levy page19'!$E$33,"  ")</f>
        <v>  </v>
      </c>
      <c r="G37" s="112" t="str">
        <f>IF('levy page19'!$E$40&lt;&gt;0,'levy page19'!$E$40,"  ")</f>
        <v>  </v>
      </c>
      <c r="H37" s="386" t="str">
        <f>IF('levy page19'!$E$40&lt;&gt;0,ROUND(G37/$F$56*1000,3),"  ")</f>
        <v>  </v>
      </c>
    </row>
    <row r="38" spans="1:8" ht="15.75">
      <c r="A38" s="112" t="str">
        <f>IF((inputPrYr!$B38&gt;" "),(inputPrYr!$B38),"  ")</f>
        <v>  </v>
      </c>
      <c r="B38" s="112" t="str">
        <f>IF('levy page19'!$C$70&lt;&gt;0,'levy page19'!$C$70,"  ")</f>
        <v>  </v>
      </c>
      <c r="C38" s="386" t="str">
        <f>IF(inputPrYr!D90&lt;&gt;0,inputPrYr!D90,"  ")</f>
        <v>  </v>
      </c>
      <c r="D38" s="112" t="str">
        <f>IF('levy page19'!$D$70&lt;&gt;0,'levy page19'!$D$70,"  ")</f>
        <v>  </v>
      </c>
      <c r="E38" s="386" t="str">
        <f>IF(inputPrYr!F38&lt;&gt;0,inputPrYr!F38,"  ")</f>
        <v>  </v>
      </c>
      <c r="F38" s="112" t="str">
        <f>IF('levy page19'!$E$70&lt;&gt;0,'levy page19'!$E$70,"  ")</f>
        <v>  </v>
      </c>
      <c r="G38" s="112" t="str">
        <f>IF('levy page19'!$E$77&lt;&gt;0,'levy page19'!$E$77,"  ")</f>
        <v>  </v>
      </c>
      <c r="H38" s="386" t="str">
        <f>IF('levy page19'!$E$77&lt;&gt;0,ROUND(G38/$F$56*1000,3),"  ")</f>
        <v>  </v>
      </c>
    </row>
    <row r="39" spans="1:8" ht="15.75">
      <c r="A39" s="112" t="str">
        <f>IF((inputPrYr!$B39&gt;" "),(inputPrYr!$B39),"  ")</f>
        <v>  </v>
      </c>
      <c r="B39" s="112" t="str">
        <f>IF('levy page20'!$C$33&lt;&gt;0,'levy page20'!$C$33,"  ")</f>
        <v>  </v>
      </c>
      <c r="C39" s="386" t="str">
        <f>IF(inputPrYr!D91&lt;&gt;0,inputPrYr!D91,"  ")</f>
        <v>  </v>
      </c>
      <c r="D39" s="112" t="str">
        <f>IF('levy page20'!$D$33&lt;&gt;0,'levy page20'!$D$33,"  ")</f>
        <v>  </v>
      </c>
      <c r="E39" s="386" t="str">
        <f>IF(inputPrYr!F39&lt;&gt;0,inputPrYr!F39,"  ")</f>
        <v>  </v>
      </c>
      <c r="F39" s="112" t="str">
        <f>IF('levy page20'!$E$33&lt;&gt;0,'levy page20'!$E$33,"  ")</f>
        <v>  </v>
      </c>
      <c r="G39" s="112" t="str">
        <f>IF('levy page20'!$E$40&lt;&gt;0,'levy page20'!$E$40,"  ")</f>
        <v>  </v>
      </c>
      <c r="H39" s="386" t="str">
        <f>IF('levy page20'!$E$40&lt;&gt;0,ROUND(G39/$F$56*1000,3),"  ")</f>
        <v>  </v>
      </c>
    </row>
    <row r="40" spans="1:8" ht="15.75">
      <c r="A40" s="112" t="str">
        <f>IF((inputPrYr!$B40&gt;" "),(inputPrYr!$B40),"  ")</f>
        <v>  </v>
      </c>
      <c r="B40" s="112" t="str">
        <f>IF('levy page20'!$C$70&lt;&gt;0,'levy page20'!$C$70,"  ")</f>
        <v>  </v>
      </c>
      <c r="C40" s="386" t="str">
        <f>IF(inputPrYr!D92&lt;&gt;0,inputPrYr!D92,"  ")</f>
        <v>  </v>
      </c>
      <c r="D40" s="112" t="str">
        <f>IF('levy page20'!$D$70&lt;&gt;0,'levy page20'!$D$70,"  ")</f>
        <v>  </v>
      </c>
      <c r="E40" s="386" t="str">
        <f>IF(inputPrYr!F40&lt;&gt;0,inputPrYr!F40,"  ")</f>
        <v>  </v>
      </c>
      <c r="F40" s="112" t="str">
        <f>IF('levy page20'!$E$70&lt;&gt;0,'levy page20'!$E$70,"  ")</f>
        <v>  </v>
      </c>
      <c r="G40" s="112" t="str">
        <f>IF('levy page20'!$E$77&lt;&gt;0,'levy page20'!$E$77,"  ")</f>
        <v>  </v>
      </c>
      <c r="H40" s="386" t="str">
        <f>IF('levy page20'!$E$77&lt;&gt;0,ROUND(G40/$F$56*1000,3),"  ")</f>
        <v>  </v>
      </c>
    </row>
    <row r="41" spans="1:13" ht="15.75">
      <c r="A41" s="112" t="str">
        <f>IF((inputPrYr!$B44&gt;" "),(inputPrYr!$B44),"  ")</f>
        <v>Hospital Revenue Bond</v>
      </c>
      <c r="B41" s="112">
        <v>60931</v>
      </c>
      <c r="C41" s="164"/>
      <c r="D41" s="112">
        <v>65006</v>
      </c>
      <c r="E41" s="164"/>
      <c r="F41" s="112">
        <v>64000</v>
      </c>
      <c r="G41" s="112"/>
      <c r="H41" s="89"/>
      <c r="J41" s="711" t="str">
        <f>CONCATENATE("Estimated Value Of One Mill For ",H1,"")</f>
        <v>Estimated Value Of One Mill For 2012</v>
      </c>
      <c r="K41" s="716"/>
      <c r="L41" s="716"/>
      <c r="M41" s="717"/>
    </row>
    <row r="42" spans="1:13" ht="15.75">
      <c r="A42" s="112" t="str">
        <f>IF((inputPrYr!$B45&gt;" "),(inputPrYr!$B45),"  ")</f>
        <v>Solid Waste</v>
      </c>
      <c r="B42" s="112">
        <v>328014</v>
      </c>
      <c r="C42" s="164"/>
      <c r="D42" s="112">
        <v>323500</v>
      </c>
      <c r="E42" s="164"/>
      <c r="F42" s="112">
        <v>367000</v>
      </c>
      <c r="G42" s="112"/>
      <c r="H42" s="89"/>
      <c r="J42" s="541"/>
      <c r="K42" s="542"/>
      <c r="L42" s="542"/>
      <c r="M42" s="543"/>
    </row>
    <row r="43" spans="1:13" ht="15.75">
      <c r="A43" s="112" t="str">
        <f>IF((inputPrYr!$B46&gt;" "),(inputPrYr!$B46),"  ")</f>
        <v>911 Emergency</v>
      </c>
      <c r="B43" s="112">
        <f>IF('911Funds'!$C$29&lt;&gt;0,'911Funds'!$C$29,"  ")</f>
        <v>13594</v>
      </c>
      <c r="C43" s="164"/>
      <c r="D43" s="112">
        <f>IF('911Funds'!$D$29&lt;&gt;0,'911Funds'!$D$29,"  ")</f>
        <v>65000</v>
      </c>
      <c r="E43" s="164"/>
      <c r="F43" s="112">
        <f>IF('911Funds'!$E$29&lt;&gt;0,'911Funds'!$E$29,"  ")</f>
        <v>76000</v>
      </c>
      <c r="G43" s="112"/>
      <c r="H43" s="89"/>
      <c r="J43" s="544" t="s">
        <v>635</v>
      </c>
      <c r="K43" s="545"/>
      <c r="L43" s="545"/>
      <c r="M43" s="546">
        <f>ROUND(F56/1000,0)</f>
        <v>64443</v>
      </c>
    </row>
    <row r="44" spans="1:8" ht="15.75">
      <c r="A44" s="112" t="str">
        <f>IF((inputPrYr!$B47&gt;" "),(inputPrYr!$B47),"  ")</f>
        <v>911 Wireless</v>
      </c>
      <c r="B44" s="112">
        <f>IF('911Funds'!$C$60&lt;&gt;0,'911Funds'!$C$60,"  ")</f>
        <v>7933</v>
      </c>
      <c r="C44" s="164"/>
      <c r="D44" s="112">
        <f>IF('911Funds'!$D$60&lt;&gt;0,'911Funds'!$D$60,"  ")</f>
        <v>25000</v>
      </c>
      <c r="E44" s="164"/>
      <c r="F44" s="112">
        <f>IF('911Funds'!$E$60&lt;&gt;0,'911Funds'!$E$60,"  ")</f>
        <v>30000</v>
      </c>
      <c r="G44" s="112"/>
      <c r="H44" s="89"/>
    </row>
    <row r="45" spans="1:13" ht="15.75">
      <c r="A45" s="112" t="str">
        <f>IF((inputPrYr!$B48&gt;" "),(inputPrYr!$B48),"  ")</f>
        <v>Diversion</v>
      </c>
      <c r="B45" s="112">
        <f>IF(Diversion!$C$29&lt;&gt;0,Diversion!$C$29,"  ")</f>
        <v>12508</v>
      </c>
      <c r="C45" s="164"/>
      <c r="D45" s="112">
        <f>IF(Diversion!$D$29&lt;&gt;0,Diversion!$D$29,"  ")</f>
        <v>12000</v>
      </c>
      <c r="E45" s="164"/>
      <c r="F45" s="112">
        <f>IF(Diversion!$E$29&lt;&gt;0,Diversion!$E$29,"  ")</f>
        <v>10600</v>
      </c>
      <c r="G45" s="112"/>
      <c r="H45" s="89"/>
      <c r="J45" s="711" t="str">
        <f>CONCATENATE("Want The Mill Rate The Same As For ",H1-1,"?")</f>
        <v>Want The Mill Rate The Same As For 2011?</v>
      </c>
      <c r="K45" s="716"/>
      <c r="L45" s="716"/>
      <c r="M45" s="717"/>
    </row>
    <row r="46" spans="1:13" ht="15.75">
      <c r="A46" s="112" t="str">
        <f>IF((inputPrYr!$B49&gt;" "),(inputPrYr!$B49),"  ")</f>
        <v>  </v>
      </c>
      <c r="B46" s="112" t="str">
        <f>IF(Diversion!$C$60&lt;&gt;0,Diversion!$C$60,"  ")</f>
        <v>  </v>
      </c>
      <c r="C46" s="164"/>
      <c r="D46" s="112" t="str">
        <f>IF(Diversion!$D$60&lt;&gt;0,Diversion!$D$60,"  ")</f>
        <v>  </v>
      </c>
      <c r="E46" s="164"/>
      <c r="F46" s="112" t="str">
        <f>IF(Diversion!$E$60&lt;&gt;0,Diversion!$E$60,"  ")</f>
        <v>  </v>
      </c>
      <c r="G46" s="112"/>
      <c r="H46" s="89"/>
      <c r="J46" s="548"/>
      <c r="K46" s="542"/>
      <c r="L46" s="542"/>
      <c r="M46" s="549"/>
    </row>
    <row r="47" spans="1:13" ht="15.75">
      <c r="A47" s="112" t="str">
        <f>IF((inputPrYr!$B50&gt;" "),(inputPrYr!$B50),"  ")</f>
        <v>  </v>
      </c>
      <c r="B47" s="112" t="str">
        <f>IF('no levy page24'!$C$29&lt;&gt;0,'no levy page24'!$C$29,"  ")</f>
        <v>  </v>
      </c>
      <c r="C47" s="164"/>
      <c r="D47" s="112" t="str">
        <f>IF('no levy page24'!$D$29&lt;&gt;0,'no levy page24'!$D$29,"  ")</f>
        <v>  </v>
      </c>
      <c r="E47" s="164"/>
      <c r="F47" s="112" t="str">
        <f>IF('no levy page24'!$E$29&lt;&gt;0,'no levy page24'!$E$29,"  ")</f>
        <v>  </v>
      </c>
      <c r="G47" s="112"/>
      <c r="H47" s="89"/>
      <c r="J47" s="548" t="str">
        <f>CONCATENATE("",H1-1," Mill Rate Was:")</f>
        <v>2011 Mill Rate Was:</v>
      </c>
      <c r="K47" s="542"/>
      <c r="L47" s="542"/>
      <c r="M47" s="550">
        <f>E52</f>
        <v>64.35</v>
      </c>
    </row>
    <row r="48" spans="1:13" ht="15.75">
      <c r="A48" s="112" t="str">
        <f>IF((inputPrYr!$B51&gt;" "),(inputPrYr!$B51),"  ")</f>
        <v>  </v>
      </c>
      <c r="B48" s="112" t="str">
        <f>IF('no levy page24'!$C$60&lt;&gt;0,'no levy page24'!$C$60,"  ")</f>
        <v>  </v>
      </c>
      <c r="C48" s="164"/>
      <c r="D48" s="112" t="str">
        <f>IF('no levy page24'!$D$60&lt;&gt;0,'no levy page24'!$D$60,"  ")</f>
        <v>  </v>
      </c>
      <c r="E48" s="164"/>
      <c r="F48" s="112" t="str">
        <f>IF('no levy page24'!$E$60&lt;&gt;0,'no levy page24'!$E$60,"  ")</f>
        <v>  </v>
      </c>
      <c r="G48" s="112"/>
      <c r="H48" s="89"/>
      <c r="J48" s="551" t="str">
        <f>CONCATENATE("",H1," Tax Levy Fund Expenditures Must Be")</f>
        <v>2012 Tax Levy Fund Expenditures Must Be</v>
      </c>
      <c r="K48" s="552"/>
      <c r="L48" s="552"/>
      <c r="M48" s="549"/>
    </row>
    <row r="49" spans="1:13" ht="15.75">
      <c r="A49" s="112" t="str">
        <f>IF((inputPrYr!$B52&gt;" "),(inputPrYr!$B52),"  ")</f>
        <v>  </v>
      </c>
      <c r="B49" s="112" t="str">
        <f>IF('no levy page25'!$C$29&lt;&gt;0,'no levy page25'!$C$29,"  ")</f>
        <v>  </v>
      </c>
      <c r="C49" s="164"/>
      <c r="D49" s="112" t="str">
        <f>IF('no levy page25'!$D$29&lt;&gt;0,'no levy page25'!$D$29,"  ")</f>
        <v>  </v>
      </c>
      <c r="E49" s="164"/>
      <c r="F49" s="112" t="str">
        <f>IF('no levy page25'!$E$29&lt;&gt;0,'no levy page25'!$E$29,"  ")</f>
        <v>  </v>
      </c>
      <c r="G49" s="112"/>
      <c r="H49" s="89"/>
      <c r="J49" s="551">
        <f>IF(M49&gt;0,"Increased By:","")</f>
      </c>
      <c r="K49" s="552"/>
      <c r="L49" s="552"/>
      <c r="M49" s="637">
        <f>IF(M56&lt;0,M56*-1,0)</f>
        <v>0</v>
      </c>
    </row>
    <row r="50" spans="1:13" ht="15.75">
      <c r="A50" s="112" t="str">
        <f>IF((inputPrYr!$B53&gt;" "),(inputPrYr!$B53),"  ")</f>
        <v>  </v>
      </c>
      <c r="B50" s="112" t="str">
        <f>IF('no levy page25'!$C$60&lt;&gt;0,'no levy page25'!$C$60,"  ")</f>
        <v>  </v>
      </c>
      <c r="C50" s="164"/>
      <c r="D50" s="112" t="str">
        <f>IF('no levy page25'!$D$60&lt;&gt;0,'no levy page25'!$D$60,"  ")</f>
        <v>  </v>
      </c>
      <c r="E50" s="164"/>
      <c r="F50" s="112" t="str">
        <f>IF('no levy page25'!$E$60&lt;&gt;0,'no levy page25'!$E$60,"  ")</f>
        <v>  </v>
      </c>
      <c r="G50" s="112"/>
      <c r="H50" s="89"/>
      <c r="J50" s="645" t="str">
        <f>IF(M50&lt;0,"Reduced By:","")</f>
        <v>Reduced By:</v>
      </c>
      <c r="K50" s="646"/>
      <c r="L50" s="646"/>
      <c r="M50" s="647">
        <f>IF(M56&gt;0,M56*-1,0)</f>
        <v>-120836.08999999985</v>
      </c>
    </row>
    <row r="51" spans="1:13" ht="16.5" thickBot="1">
      <c r="A51" s="112" t="str">
        <f>IF((inputPrYr!$B57&gt;"  "),(NonBud!$A3),"  ")</f>
        <v>Non-Budgeted Funds</v>
      </c>
      <c r="B51" s="640">
        <f>IF(NonBud!K28&gt;0,NonBud!K28,"")</f>
        <v>524565</v>
      </c>
      <c r="C51" s="641"/>
      <c r="D51" s="640"/>
      <c r="E51" s="641"/>
      <c r="F51" s="640"/>
      <c r="G51" s="640"/>
      <c r="H51" s="642"/>
      <c r="J51" s="555"/>
      <c r="K51" s="555"/>
      <c r="L51" s="555"/>
      <c r="M51" s="555"/>
    </row>
    <row r="52" spans="1:13" ht="15.75">
      <c r="A52" s="88" t="s">
        <v>848</v>
      </c>
      <c r="B52" s="638">
        <f>SUM(B16:B51)</f>
        <v>6351979</v>
      </c>
      <c r="C52" s="639">
        <f>SUM(C16:C40)</f>
        <v>60.244000000000014</v>
      </c>
      <c r="D52" s="638">
        <f>SUM(D16:D51)</f>
        <v>6350346</v>
      </c>
      <c r="E52" s="639">
        <f>SUM(E16:E40)</f>
        <v>64.35</v>
      </c>
      <c r="F52" s="638">
        <f>SUM(F16:F51)</f>
        <v>7148423</v>
      </c>
      <c r="G52" s="638">
        <f>SUM(G16:G40)</f>
        <v>4267732.09</v>
      </c>
      <c r="H52" s="639">
        <f>SUM(H16:H40)</f>
        <v>66.22399999999999</v>
      </c>
      <c r="J52" s="711" t="str">
        <f>CONCATENATE("Impact On Keeping The Same Mill Rate As For ",H1-1,"")</f>
        <v>Impact On Keeping The Same Mill Rate As For 2011</v>
      </c>
      <c r="K52" s="712"/>
      <c r="L52" s="712"/>
      <c r="M52" s="713"/>
    </row>
    <row r="53" spans="1:13" ht="15.75">
      <c r="A53" s="68" t="s">
        <v>484</v>
      </c>
      <c r="B53" s="387">
        <f>transfers!C29</f>
        <v>253246</v>
      </c>
      <c r="C53" s="388"/>
      <c r="D53" s="387">
        <f>transfers!D29</f>
        <v>338518</v>
      </c>
      <c r="E53" s="322"/>
      <c r="F53" s="387">
        <f>transfers!E29</f>
        <v>540000</v>
      </c>
      <c r="G53" s="69"/>
      <c r="J53" s="548"/>
      <c r="K53" s="542"/>
      <c r="L53" s="542"/>
      <c r="M53" s="549"/>
    </row>
    <row r="54" spans="1:13" ht="16.5" thickBot="1">
      <c r="A54" s="68" t="s">
        <v>485</v>
      </c>
      <c r="B54" s="174">
        <f>B52-B53</f>
        <v>6098733</v>
      </c>
      <c r="C54" s="69"/>
      <c r="D54" s="174">
        <f>D52-D53</f>
        <v>6011828</v>
      </c>
      <c r="E54" s="388"/>
      <c r="F54" s="174">
        <f>F52-F53</f>
        <v>6608423</v>
      </c>
      <c r="G54" s="69"/>
      <c r="J54" s="548" t="str">
        <f>CONCATENATE("",H1," Ad Valorem Tax Revenue:")</f>
        <v>2012 Ad Valorem Tax Revenue:</v>
      </c>
      <c r="K54" s="542"/>
      <c r="L54" s="542"/>
      <c r="M54" s="543">
        <f>G52</f>
        <v>4267732.09</v>
      </c>
    </row>
    <row r="55" spans="1:13" ht="16.5" thickTop="1">
      <c r="A55" s="68" t="s">
        <v>486</v>
      </c>
      <c r="B55" s="643">
        <f>inputPrYr!D95</f>
        <v>3806610</v>
      </c>
      <c r="C55" s="69"/>
      <c r="D55" s="643">
        <f>inputPrYr!E41</f>
        <v>4097712</v>
      </c>
      <c r="E55" s="69"/>
      <c r="F55" s="644" t="s">
        <v>298</v>
      </c>
      <c r="G55" s="69"/>
      <c r="J55" s="548" t="str">
        <f>CONCATENATE("",H1-1," Ad Valorem Tax Revenue:")</f>
        <v>2011 Ad Valorem Tax Revenue:</v>
      </c>
      <c r="K55" s="542"/>
      <c r="L55" s="542"/>
      <c r="M55" s="556">
        <f>ROUND(F56*M47/1000,0)</f>
        <v>4146896</v>
      </c>
    </row>
    <row r="56" spans="1:13" ht="15.75">
      <c r="A56" s="68" t="s">
        <v>487</v>
      </c>
      <c r="B56" s="112">
        <f>inputPrYr!D96</f>
        <v>63187622</v>
      </c>
      <c r="C56" s="69"/>
      <c r="D56" s="112">
        <f>inputPrYr!E64</f>
        <v>63678096</v>
      </c>
      <c r="E56" s="69"/>
      <c r="F56" s="112">
        <f>inputOth!E5</f>
        <v>64442823</v>
      </c>
      <c r="G56" s="69"/>
      <c r="J56" s="553" t="s">
        <v>636</v>
      </c>
      <c r="K56" s="554"/>
      <c r="L56" s="554"/>
      <c r="M56" s="546">
        <f>SUM(M54-M55)</f>
        <v>120836.08999999985</v>
      </c>
    </row>
    <row r="57" spans="1:13" ht="15.75">
      <c r="A57" s="68" t="s">
        <v>488</v>
      </c>
      <c r="B57" s="69"/>
      <c r="C57" s="69"/>
      <c r="D57" s="69"/>
      <c r="E57" s="69"/>
      <c r="F57" s="69"/>
      <c r="G57" s="69"/>
      <c r="H57" s="126"/>
      <c r="J57" s="547"/>
      <c r="K57" s="547"/>
      <c r="L57" s="547"/>
      <c r="M57" s="555"/>
    </row>
    <row r="58" spans="1:13" ht="15.75">
      <c r="A58" s="68" t="s">
        <v>489</v>
      </c>
      <c r="B58" s="389">
        <f>H1-3</f>
        <v>2009</v>
      </c>
      <c r="C58" s="69"/>
      <c r="D58" s="389">
        <f>H1-2</f>
        <v>2010</v>
      </c>
      <c r="E58" s="69"/>
      <c r="F58" s="389">
        <f>H1-1</f>
        <v>2011</v>
      </c>
      <c r="G58" s="69"/>
      <c r="H58" s="126"/>
      <c r="J58" s="711" t="s">
        <v>637</v>
      </c>
      <c r="K58" s="712"/>
      <c r="L58" s="712"/>
      <c r="M58" s="713"/>
    </row>
    <row r="59" spans="1:13" ht="15.75">
      <c r="A59" s="68" t="s">
        <v>490</v>
      </c>
      <c r="B59" s="112">
        <f>inputPrYr!D100</f>
        <v>0</v>
      </c>
      <c r="C59" s="69"/>
      <c r="D59" s="112">
        <f>inputPrYr!E100</f>
        <v>0</v>
      </c>
      <c r="E59" s="69"/>
      <c r="F59" s="112">
        <f>debt!F22</f>
        <v>0</v>
      </c>
      <c r="G59" s="69"/>
      <c r="H59" s="126"/>
      <c r="J59" s="548"/>
      <c r="K59" s="542"/>
      <c r="L59" s="542"/>
      <c r="M59" s="549"/>
    </row>
    <row r="60" spans="1:13" ht="15.75">
      <c r="A60" s="68" t="s">
        <v>491</v>
      </c>
      <c r="B60" s="112">
        <f>inputPrYr!D101</f>
        <v>905000</v>
      </c>
      <c r="C60" s="69"/>
      <c r="D60" s="112">
        <f>inputPrYr!E101</f>
        <v>885000</v>
      </c>
      <c r="E60" s="69"/>
      <c r="F60" s="112">
        <f>debt!F35</f>
        <v>865000</v>
      </c>
      <c r="G60" s="69"/>
      <c r="H60" s="126"/>
      <c r="J60" s="548" t="str">
        <f>CONCATENATE("Current ",H10," Estimated Mill Rate:")</f>
        <v>Current  Estimated Mill Rate:</v>
      </c>
      <c r="K60" s="542"/>
      <c r="L60" s="542"/>
      <c r="M60" s="550">
        <f>H52</f>
        <v>66.22399999999999</v>
      </c>
    </row>
    <row r="61" spans="1:13" ht="15.75">
      <c r="A61" s="68" t="s">
        <v>476</v>
      </c>
      <c r="B61" s="112">
        <f>inputPrYr!D102</f>
        <v>0</v>
      </c>
      <c r="C61" s="69"/>
      <c r="D61" s="112">
        <f>inputPrYr!E102</f>
        <v>0</v>
      </c>
      <c r="E61" s="69"/>
      <c r="F61" s="112">
        <f>debt!F46</f>
        <v>0</v>
      </c>
      <c r="G61" s="69"/>
      <c r="H61" s="126"/>
      <c r="J61" s="548" t="str">
        <f>CONCATENATE("Desired ",H10," Mill Rate:")</f>
        <v>Desired  Mill Rate:</v>
      </c>
      <c r="K61" s="542"/>
      <c r="L61" s="542"/>
      <c r="M61" s="557">
        <v>0</v>
      </c>
    </row>
    <row r="62" spans="1:13" ht="15.75">
      <c r="A62" s="68" t="s">
        <v>578</v>
      </c>
      <c r="B62" s="112">
        <f>inputPrYr!D103</f>
        <v>0</v>
      </c>
      <c r="C62" s="69"/>
      <c r="D62" s="112">
        <f>inputPrYr!E103</f>
        <v>64201</v>
      </c>
      <c r="E62" s="69"/>
      <c r="F62" s="112">
        <f>'Lease Pur'!F37</f>
        <v>46107</v>
      </c>
      <c r="G62" s="69"/>
      <c r="H62" s="126"/>
      <c r="J62" s="548" t="str">
        <f>CONCATENATE("",H1," Ad Valorem Tax:")</f>
        <v>2012 Ad Valorem Tax:</v>
      </c>
      <c r="K62" s="542"/>
      <c r="L62" s="542"/>
      <c r="M62" s="556">
        <f>ROUND(F56*M61/1000,0)</f>
        <v>0</v>
      </c>
    </row>
    <row r="63" spans="1:13" ht="16.5" thickBot="1">
      <c r="A63" s="68" t="s">
        <v>492</v>
      </c>
      <c r="B63" s="174">
        <f>SUM(B59:B62)</f>
        <v>905000</v>
      </c>
      <c r="C63" s="69"/>
      <c r="D63" s="174">
        <f>SUM(D59:D62)</f>
        <v>949201</v>
      </c>
      <c r="E63" s="69"/>
      <c r="F63" s="174">
        <f>SUM(F59:F62)</f>
        <v>911107</v>
      </c>
      <c r="G63" s="69"/>
      <c r="H63" s="126"/>
      <c r="J63" s="553" t="str">
        <f>CONCATENATE("",H10," Tax Levy Fund Exp. Changed By:")</f>
        <v> Tax Levy Fund Exp. Changed By:</v>
      </c>
      <c r="K63" s="554"/>
      <c r="L63" s="554"/>
      <c r="M63" s="546">
        <f>IF(M61=0,0,(M62-G52))</f>
        <v>0</v>
      </c>
    </row>
    <row r="64" spans="1:8" ht="16.5" thickTop="1">
      <c r="A64" s="68" t="s">
        <v>493</v>
      </c>
      <c r="B64" s="69"/>
      <c r="C64" s="69"/>
      <c r="D64" s="69"/>
      <c r="E64" s="69"/>
      <c r="F64" s="69"/>
      <c r="G64" s="69"/>
      <c r="H64" s="126"/>
    </row>
    <row r="65" spans="1:8" ht="15.75">
      <c r="A65" s="69"/>
      <c r="B65" s="69"/>
      <c r="C65" s="69"/>
      <c r="D65" s="69"/>
      <c r="E65" s="69"/>
      <c r="F65" s="69"/>
      <c r="G65" s="69"/>
      <c r="H65" s="126"/>
    </row>
    <row r="66" spans="1:8" ht="15.75">
      <c r="A66" s="714" t="s">
        <v>729</v>
      </c>
      <c r="B66" s="715"/>
      <c r="C66" s="69"/>
      <c r="D66" s="69"/>
      <c r="E66" s="69"/>
      <c r="F66" s="69"/>
      <c r="G66" s="69"/>
      <c r="H66" s="126"/>
    </row>
    <row r="67" spans="1:8" ht="15.75">
      <c r="A67" s="145" t="s">
        <v>494</v>
      </c>
      <c r="B67" s="77"/>
      <c r="C67" s="69"/>
      <c r="D67" s="69"/>
      <c r="E67" s="69"/>
      <c r="F67" s="69"/>
      <c r="G67" s="69"/>
      <c r="H67" s="126"/>
    </row>
    <row r="68" spans="1:8" ht="15.75">
      <c r="A68" s="69"/>
      <c r="B68" s="69"/>
      <c r="C68" s="69"/>
      <c r="D68" s="286" t="s">
        <v>862</v>
      </c>
      <c r="E68" s="339">
        <v>18</v>
      </c>
      <c r="F68" s="69"/>
      <c r="G68" s="69"/>
      <c r="H68" s="126"/>
    </row>
    <row r="69" spans="1:8" ht="15.75">
      <c r="A69" s="126"/>
      <c r="D69" s="126"/>
      <c r="E69" s="126"/>
      <c r="F69" s="126"/>
      <c r="G69" s="126"/>
      <c r="H69" s="126"/>
    </row>
  </sheetData>
  <sheetProtection/>
  <mergeCells count="13">
    <mergeCell ref="J52:M52"/>
    <mergeCell ref="J58:M58"/>
    <mergeCell ref="A66:B66"/>
    <mergeCell ref="A10:H10"/>
    <mergeCell ref="A11:H11"/>
    <mergeCell ref="J41:M41"/>
    <mergeCell ref="J45:M45"/>
    <mergeCell ref="A7:H7"/>
    <mergeCell ref="A8:H8"/>
    <mergeCell ref="A2:H2"/>
    <mergeCell ref="A4:H4"/>
    <mergeCell ref="A5:H5"/>
    <mergeCell ref="A6:H6"/>
  </mergeCells>
  <printOptions/>
  <pageMargins left="1.12" right="0.5" top="0.74" bottom="0.34" header="0.5" footer="0"/>
  <pageSetup blackAndWhite="1" fitToHeight="1" fitToWidth="1" horizontalDpi="120" verticalDpi="120" orientation="portrait" scale="63" r:id="rId1"/>
  <headerFooter alignWithMargins="0">
    <oddHeader>&amp;RState of Kansas
County
</oddHeader>
  </headerFooter>
</worksheet>
</file>

<file path=xl/worksheets/sheet39.xml><?xml version="1.0" encoding="utf-8"?>
<worksheet xmlns="http://schemas.openxmlformats.org/spreadsheetml/2006/main" xmlns:r="http://schemas.openxmlformats.org/officeDocument/2006/relationships">
  <sheetPr>
    <pageSetUpPr fitToPage="1"/>
  </sheetPr>
  <dimension ref="A1:J57"/>
  <sheetViews>
    <sheetView zoomScale="75" zoomScaleNormal="75" zoomScalePageLayoutView="0" workbookViewId="0" topLeftCell="A13">
      <selection activeCell="H39" sqref="H39"/>
    </sheetView>
  </sheetViews>
  <sheetFormatPr defaultColWidth="8.796875" defaultRowHeight="15"/>
  <cols>
    <col min="1" max="1" width="20.796875" style="53" customWidth="1"/>
    <col min="2" max="2" width="12.796875" style="53" customWidth="1"/>
    <col min="3" max="3" width="9.796875" style="53" customWidth="1"/>
    <col min="4" max="4" width="12.796875" style="53" customWidth="1"/>
    <col min="5" max="5" width="9.796875" style="53" customWidth="1"/>
    <col min="6" max="6" width="15.19921875" style="53" customWidth="1"/>
    <col min="7" max="8" width="12.796875" style="53" customWidth="1"/>
    <col min="9" max="9" width="9.796875" style="53" customWidth="1"/>
    <col min="10" max="16384" width="8.8984375" style="53" customWidth="1"/>
  </cols>
  <sheetData>
    <row r="1" spans="1:9" ht="15.75">
      <c r="A1" s="205" t="str">
        <f>inputPrYr!C3</f>
        <v>MORRIS COUNTY</v>
      </c>
      <c r="B1" s="69"/>
      <c r="C1" s="69"/>
      <c r="D1" s="69"/>
      <c r="E1" s="69"/>
      <c r="F1" s="69"/>
      <c r="G1" s="69"/>
      <c r="H1" s="69"/>
      <c r="I1" s="285">
        <f>inputPrYr!C5</f>
        <v>2012</v>
      </c>
    </row>
    <row r="2" spans="1:9" ht="15.75">
      <c r="A2" s="69"/>
      <c r="B2" s="69"/>
      <c r="C2" s="69"/>
      <c r="D2" s="69"/>
      <c r="E2" s="69"/>
      <c r="F2" s="69"/>
      <c r="G2" s="69"/>
      <c r="H2" s="69"/>
      <c r="I2" s="109"/>
    </row>
    <row r="3" spans="1:10" ht="15.75">
      <c r="A3" s="76" t="s">
        <v>523</v>
      </c>
      <c r="B3" s="77"/>
      <c r="C3" s="77"/>
      <c r="D3" s="77"/>
      <c r="E3" s="77"/>
      <c r="F3" s="77"/>
      <c r="G3" s="77"/>
      <c r="H3" s="77"/>
      <c r="I3" s="323"/>
      <c r="J3" s="382"/>
    </row>
    <row r="4" spans="1:9" ht="15.75">
      <c r="A4" s="69"/>
      <c r="B4" s="146"/>
      <c r="C4" s="146"/>
      <c r="D4" s="146"/>
      <c r="E4" s="146"/>
      <c r="F4" s="146"/>
      <c r="G4" s="146"/>
      <c r="H4" s="146"/>
      <c r="I4" s="146"/>
    </row>
    <row r="5" spans="1:9" ht="15.75">
      <c r="A5" s="69"/>
      <c r="B5" s="383" t="str">
        <f>CONCATENATE("Prior Year Actual ",I1-2,"")</f>
        <v>Prior Year Actual 2010</v>
      </c>
      <c r="C5" s="149"/>
      <c r="D5" s="384" t="str">
        <f>CONCATENATE("Current Year Estimate ",I1-1,"")</f>
        <v>Current Year Estimate 2011</v>
      </c>
      <c r="E5" s="149"/>
      <c r="F5" s="147" t="str">
        <f>CONCATENATE("Proposed Budget ",I1,"")</f>
        <v>Proposed Budget 2012</v>
      </c>
      <c r="G5" s="148"/>
      <c r="H5" s="148"/>
      <c r="I5" s="149"/>
    </row>
    <row r="6" spans="1:9" ht="21" customHeight="1">
      <c r="A6" s="68"/>
      <c r="B6" s="150"/>
      <c r="C6" s="150" t="s">
        <v>480</v>
      </c>
      <c r="D6" s="150"/>
      <c r="E6" s="150" t="s">
        <v>480</v>
      </c>
      <c r="F6" s="491" t="s">
        <v>913</v>
      </c>
      <c r="G6" s="674" t="str">
        <f>CONCATENATE("Amount of ",I1-1," Ad Valorem Tax")</f>
        <v>Amount of 2011 Ad Valorem Tax</v>
      </c>
      <c r="H6" s="674" t="str">
        <f>CONCATENATE("July 1, ",I1-1," Est. Valuation")</f>
        <v>July 1, 2011 Est. Valuation</v>
      </c>
      <c r="I6" s="150" t="s">
        <v>481</v>
      </c>
    </row>
    <row r="7" spans="1:9" ht="15.75">
      <c r="A7" s="97" t="s">
        <v>495</v>
      </c>
      <c r="B7" s="262" t="s">
        <v>455</v>
      </c>
      <c r="C7" s="262" t="s">
        <v>483</v>
      </c>
      <c r="D7" s="262" t="s">
        <v>218</v>
      </c>
      <c r="E7" s="262" t="s">
        <v>483</v>
      </c>
      <c r="F7" s="492" t="s">
        <v>914</v>
      </c>
      <c r="G7" s="666"/>
      <c r="H7" s="666"/>
      <c r="I7" s="262" t="s">
        <v>483</v>
      </c>
    </row>
    <row r="8" spans="1:9" ht="15.75">
      <c r="A8" s="651" t="str">
        <f>'[1]cert2'!A10</f>
        <v>Burdick Cemetery</v>
      </c>
      <c r="B8" s="651">
        <f>'[1]Bur Cem'!D35</f>
        <v>2900</v>
      </c>
      <c r="C8" s="652">
        <v>2.131</v>
      </c>
      <c r="D8" s="651">
        <f>'[1]Bur Cem'!E35</f>
        <v>4000</v>
      </c>
      <c r="E8" s="652">
        <v>2.685</v>
      </c>
      <c r="F8" s="651">
        <f>'[1]Bur Cem'!F35</f>
        <v>4500</v>
      </c>
      <c r="G8" s="651">
        <f>'[1]Bur Cem'!F41</f>
        <v>3193</v>
      </c>
      <c r="H8" s="653">
        <v>1151492</v>
      </c>
      <c r="I8" s="386">
        <f>IF(H8&lt;&gt;0,ROUND(G8/H8*1000,3)," ")</f>
        <v>2.773</v>
      </c>
    </row>
    <row r="9" spans="1:9" ht="15.75">
      <c r="A9" s="651" t="str">
        <f>'[1]cert2'!A11</f>
        <v>Cedar Grove Cemetery</v>
      </c>
      <c r="B9" s="651">
        <f>'[1]CG Cem'!D35</f>
        <v>1300</v>
      </c>
      <c r="C9" s="652">
        <v>1.278</v>
      </c>
      <c r="D9" s="651">
        <f>'[1]CG Cem'!E35</f>
        <v>1500</v>
      </c>
      <c r="E9" s="652">
        <v>1.228</v>
      </c>
      <c r="F9" s="651">
        <f>'[1]CG Cem'!F35</f>
        <v>6240</v>
      </c>
      <c r="G9" s="651">
        <f>'[1]CG Cem'!F41</f>
        <v>1597</v>
      </c>
      <c r="H9" s="653">
        <v>1280972</v>
      </c>
      <c r="I9" s="386">
        <f aca="true" t="shared" si="0" ref="I9:I36">IF(H9&lt;&gt;0,ROUND(G9/H9*1000,3)," ")</f>
        <v>1.247</v>
      </c>
    </row>
    <row r="10" spans="1:9" ht="15.75">
      <c r="A10" s="651" t="str">
        <f>'[1]cert2'!A12</f>
        <v>Clarks Creek Cemetery</v>
      </c>
      <c r="B10" s="651">
        <f>'[1]CC Cem'!D35</f>
        <v>700</v>
      </c>
      <c r="C10" s="652">
        <v>1.438</v>
      </c>
      <c r="D10" s="651">
        <f>'[1]CC Cem'!E35</f>
        <v>1000</v>
      </c>
      <c r="E10" s="652">
        <v>1.381</v>
      </c>
      <c r="F10" s="651">
        <f>'[1]CC Cem'!F35</f>
        <v>15390</v>
      </c>
      <c r="G10" s="651">
        <f>'[1]CC Cem'!F41</f>
        <v>1684</v>
      </c>
      <c r="H10" s="653">
        <v>1221740</v>
      </c>
      <c r="I10" s="386">
        <f t="shared" si="0"/>
        <v>1.378</v>
      </c>
    </row>
    <row r="11" spans="1:9" ht="15.75">
      <c r="A11" s="651" t="str">
        <f>'[1]cert2'!A13</f>
        <v>Comiskey Cemetery</v>
      </c>
      <c r="B11" s="651">
        <f>'[1]Cmisky Cem'!D35</f>
        <v>4290</v>
      </c>
      <c r="C11" s="652">
        <v>9.391</v>
      </c>
      <c r="D11" s="651">
        <f>'[1]Cmisky Cem'!E35</f>
        <v>6000</v>
      </c>
      <c r="E11" s="652">
        <v>9.28</v>
      </c>
      <c r="F11" s="651">
        <f>'[1]Cmisky Cem'!F35</f>
        <v>34000</v>
      </c>
      <c r="G11" s="651">
        <f>'[1]Cmisky Cem'!F41</f>
        <v>498</v>
      </c>
      <c r="H11" s="653">
        <v>695562</v>
      </c>
      <c r="I11" s="386">
        <f t="shared" si="0"/>
        <v>0.716</v>
      </c>
    </row>
    <row r="12" spans="1:9" ht="15.75">
      <c r="A12" s="651" t="str">
        <f>'[1]cert2'!A14</f>
        <v>Delavan Cemetery</v>
      </c>
      <c r="B12" s="651">
        <f>'[1]Del Cem'!D35</f>
        <v>5713</v>
      </c>
      <c r="C12" s="652">
        <v>1.601</v>
      </c>
      <c r="D12" s="651">
        <f>'[1]Del Cem'!E35</f>
        <v>6250</v>
      </c>
      <c r="E12" s="652">
        <v>1.621</v>
      </c>
      <c r="F12" s="651">
        <f>'[1]Del Cem'!F35</f>
        <v>10775</v>
      </c>
      <c r="G12" s="651">
        <f>'[1]Del Cem'!F41</f>
        <v>5921</v>
      </c>
      <c r="H12" s="653">
        <v>3582663</v>
      </c>
      <c r="I12" s="386">
        <f t="shared" si="0"/>
        <v>1.653</v>
      </c>
    </row>
    <row r="13" spans="1:9" ht="15.75">
      <c r="A13" s="651" t="str">
        <f>'[1]cert2'!A15</f>
        <v>Diamond Valley Cemetery</v>
      </c>
      <c r="B13" s="651">
        <f>'[1]DV Cem'!D35</f>
        <v>1250</v>
      </c>
      <c r="C13" s="652">
        <v>3.893</v>
      </c>
      <c r="D13" s="651">
        <f>'[1]DV Cem'!E35</f>
        <v>2000</v>
      </c>
      <c r="E13" s="652">
        <v>4.734</v>
      </c>
      <c r="F13" s="651">
        <f>'[1]DV Cem'!F35</f>
        <v>3200</v>
      </c>
      <c r="G13" s="651">
        <f>'[1]DV Cem'!F41</f>
        <v>1796</v>
      </c>
      <c r="H13" s="653">
        <v>455070</v>
      </c>
      <c r="I13" s="386">
        <f t="shared" si="0"/>
        <v>3.947</v>
      </c>
    </row>
    <row r="14" spans="1:9" ht="15.75">
      <c r="A14" s="651" t="str">
        <f>'[1]cert2'!A16</f>
        <v>Downing-Kelso Cemetery</v>
      </c>
      <c r="B14" s="651">
        <f>'[1]DK Cem'!D35</f>
        <v>1240</v>
      </c>
      <c r="C14" s="652">
        <v>1.104</v>
      </c>
      <c r="D14" s="651">
        <f>'[1]DK Cem'!E35</f>
        <v>1500</v>
      </c>
      <c r="E14" s="652">
        <v>1.055</v>
      </c>
      <c r="F14" s="651">
        <f>'[1]DK Cem'!F35</f>
        <v>2445</v>
      </c>
      <c r="G14" s="651">
        <f>'[1]DK Cem'!F41</f>
        <v>1124</v>
      </c>
      <c r="H14" s="653">
        <v>1126078</v>
      </c>
      <c r="I14" s="386">
        <f t="shared" si="0"/>
        <v>0.998</v>
      </c>
    </row>
    <row r="15" spans="1:9" ht="15.75">
      <c r="A15" s="651" t="str">
        <f>'[1]cert2'!A17</f>
        <v>Dunlap Cemetery</v>
      </c>
      <c r="B15" s="651">
        <f>'[1]Dunlap Cem'!D35</f>
        <v>8014</v>
      </c>
      <c r="C15" s="652">
        <v>0.822</v>
      </c>
      <c r="D15" s="651">
        <f>'[1]Dunlap Cem'!E35</f>
        <v>6000</v>
      </c>
      <c r="E15" s="652">
        <v>1.621</v>
      </c>
      <c r="F15" s="651">
        <f>'[1]Dunlap Cem'!F35</f>
        <v>7665</v>
      </c>
      <c r="G15" s="651">
        <f>'[1]Dunlap Cem'!F41</f>
        <v>5224</v>
      </c>
      <c r="H15" s="653">
        <v>3147977</v>
      </c>
      <c r="I15" s="386">
        <f t="shared" si="0"/>
        <v>1.659</v>
      </c>
    </row>
    <row r="16" spans="1:9" ht="15.75">
      <c r="A16" s="651" t="str">
        <f>'[1]cert2'!A18</f>
        <v>Dwight-Morris Cemetery</v>
      </c>
      <c r="B16" s="651">
        <f>'[1]DM Cem'!D35</f>
        <v>14972</v>
      </c>
      <c r="C16" s="652">
        <v>1.532</v>
      </c>
      <c r="D16" s="651">
        <f>'[1]DM Cem'!E35</f>
        <v>15000</v>
      </c>
      <c r="E16" s="652">
        <v>1.493</v>
      </c>
      <c r="F16" s="651">
        <f>'[1]DM Cem'!F35</f>
        <v>23005</v>
      </c>
      <c r="G16" s="651">
        <f>'[1]DM Cem'!F41</f>
        <v>8196</v>
      </c>
      <c r="H16" s="653">
        <v>5409208</v>
      </c>
      <c r="I16" s="386">
        <f t="shared" si="0"/>
        <v>1.515</v>
      </c>
    </row>
    <row r="17" spans="1:9" ht="15.75">
      <c r="A17" s="651" t="str">
        <f>'[1]cert2'!A19</f>
        <v>Four Mile Cemetery</v>
      </c>
      <c r="B17" s="651">
        <f>'[1]FM Cem'!D35</f>
        <v>2783</v>
      </c>
      <c r="C17" s="652">
        <v>1.514</v>
      </c>
      <c r="D17" s="651">
        <f>'[1]FM Cem'!E35</f>
        <v>3200</v>
      </c>
      <c r="E17" s="652">
        <v>2.047</v>
      </c>
      <c r="F17" s="651">
        <f>'[1]FM Cem'!F35</f>
        <v>7584</v>
      </c>
      <c r="G17" s="651">
        <f>'[1]FM Cem'!F41</f>
        <v>4119</v>
      </c>
      <c r="H17" s="653">
        <v>1897077</v>
      </c>
      <c r="I17" s="386">
        <f t="shared" si="0"/>
        <v>2.171</v>
      </c>
    </row>
    <row r="18" spans="1:9" ht="15.75">
      <c r="A18" s="651" t="str">
        <f>'[1]cert2'!A20</f>
        <v>Highland Cemetery</v>
      </c>
      <c r="B18" s="651">
        <f>'[1]High Cem'!D35</f>
        <v>1000</v>
      </c>
      <c r="C18" s="652">
        <v>2.892</v>
      </c>
      <c r="D18" s="651">
        <f>'[1]High Cem'!E35</f>
        <v>1500</v>
      </c>
      <c r="E18" s="652">
        <v>3.002</v>
      </c>
      <c r="F18" s="651">
        <f>'[1]High Cem'!F35</f>
        <v>3400</v>
      </c>
      <c r="G18" s="651">
        <f>'[1]High Cem'!F41</f>
        <v>946</v>
      </c>
      <c r="H18" s="653">
        <v>453010</v>
      </c>
      <c r="I18" s="386">
        <f t="shared" si="0"/>
        <v>2.088</v>
      </c>
    </row>
    <row r="19" spans="1:9" ht="15.75">
      <c r="A19" s="651" t="str">
        <f>'[1]cert2'!A21</f>
        <v>Mitchell Valley Cemetery</v>
      </c>
      <c r="B19" s="651">
        <f>'[1]MV Cem'!D35</f>
        <v>1247</v>
      </c>
      <c r="C19" s="652">
        <v>0.729</v>
      </c>
      <c r="D19" s="651">
        <f>'[1]MV Cem'!E35</f>
        <v>2000</v>
      </c>
      <c r="E19" s="652">
        <v>0.746</v>
      </c>
      <c r="F19" s="651">
        <f>'[1]MV Cem'!F35</f>
        <v>4635</v>
      </c>
      <c r="G19" s="651">
        <f>'[1]MV Cem'!F41</f>
        <v>1097</v>
      </c>
      <c r="H19" s="653">
        <v>1471282</v>
      </c>
      <c r="I19" s="386">
        <f t="shared" si="0"/>
        <v>0.746</v>
      </c>
    </row>
    <row r="20" spans="1:9" ht="15.75">
      <c r="A20" s="651" t="str">
        <f>'[1]cert2'!A22</f>
        <v>Parker-Highland Cemetery</v>
      </c>
      <c r="B20" s="651">
        <f>'[1]PH Cem'!D35</f>
        <v>4000</v>
      </c>
      <c r="C20" s="652">
        <v>2.652</v>
      </c>
      <c r="D20" s="651">
        <f>'[1]PH Cem'!E35</f>
        <v>5500</v>
      </c>
      <c r="E20" s="652">
        <v>2.584</v>
      </c>
      <c r="F20" s="651">
        <f>'[1]PH Cem'!F35</f>
        <v>10790</v>
      </c>
      <c r="G20" s="651">
        <f>'[1]PH Cem'!F41</f>
        <v>3547</v>
      </c>
      <c r="H20" s="653">
        <v>1331547</v>
      </c>
      <c r="I20" s="386">
        <f t="shared" si="0"/>
        <v>2.664</v>
      </c>
    </row>
    <row r="21" spans="1:9" ht="15.75">
      <c r="A21" s="651" t="str">
        <f>'[1]cert2'!A23</f>
        <v>White City Cemetery</v>
      </c>
      <c r="B21" s="651">
        <f>'[1]WC Cem'!D35</f>
        <v>7324</v>
      </c>
      <c r="C21" s="652">
        <v>1.981</v>
      </c>
      <c r="D21" s="651">
        <f>'[1]WC Cem'!E35</f>
        <v>10000</v>
      </c>
      <c r="E21" s="652">
        <v>2.013</v>
      </c>
      <c r="F21" s="651">
        <f>'[1]WC Cem'!F35</f>
        <v>33345</v>
      </c>
      <c r="G21" s="651">
        <f>'[1]WC Cem'!F41</f>
        <v>12444</v>
      </c>
      <c r="H21" s="653">
        <v>6075902</v>
      </c>
      <c r="I21" s="386">
        <f t="shared" si="0"/>
        <v>2.048</v>
      </c>
    </row>
    <row r="22" spans="1:9" ht="15.75">
      <c r="A22" s="651" t="str">
        <f>'[1]cert2'!A24</f>
        <v>Wilsey Cemetery</v>
      </c>
      <c r="B22" s="651">
        <f>'[1]Wilsey Cem'!D35</f>
        <v>7200</v>
      </c>
      <c r="C22" s="652">
        <v>2.375</v>
      </c>
      <c r="D22" s="651">
        <f>'[1]Wilsey Cem'!E35</f>
        <v>8000</v>
      </c>
      <c r="E22" s="652">
        <v>2.435</v>
      </c>
      <c r="F22" s="651">
        <f>'[1]Wilsey Cem'!F35</f>
        <v>22510</v>
      </c>
      <c r="G22" s="651">
        <f>'[1]Wilsey Cem'!F41</f>
        <v>5861</v>
      </c>
      <c r="H22" s="653">
        <v>2327265</v>
      </c>
      <c r="I22" s="386">
        <f t="shared" si="0"/>
        <v>2.518</v>
      </c>
    </row>
    <row r="23" spans="1:9" ht="15.75">
      <c r="A23" s="131"/>
      <c r="B23" s="131"/>
      <c r="C23" s="94"/>
      <c r="D23" s="131"/>
      <c r="E23" s="94"/>
      <c r="F23" s="131"/>
      <c r="G23" s="131"/>
      <c r="H23" s="131"/>
      <c r="I23" s="386" t="str">
        <f t="shared" si="0"/>
        <v> </v>
      </c>
    </row>
    <row r="24" spans="1:9" ht="15.75">
      <c r="A24" s="651" t="str">
        <f>'[1]cert2'!A26</f>
        <v>Fire District No. 1</v>
      </c>
      <c r="B24" s="651">
        <f>'[1]FD1'!D35</f>
        <v>3140</v>
      </c>
      <c r="C24" s="652">
        <v>2.407</v>
      </c>
      <c r="D24" s="651">
        <f>'[1]FD1'!E35</f>
        <v>3400</v>
      </c>
      <c r="E24" s="652">
        <v>2.297</v>
      </c>
      <c r="F24" s="651">
        <f>'[1]FD1'!F35</f>
        <v>4200</v>
      </c>
      <c r="G24" s="651">
        <f>'[1]FD1'!F41</f>
        <v>2629</v>
      </c>
      <c r="H24" s="653">
        <v>1291550</v>
      </c>
      <c r="I24" s="386">
        <f t="shared" si="0"/>
        <v>2.036</v>
      </c>
    </row>
    <row r="25" spans="1:9" ht="15.75">
      <c r="A25" s="651" t="str">
        <f>'[1]cert2'!A27</f>
        <v>Fire District No. 3</v>
      </c>
      <c r="B25" s="651">
        <f>'[1]FD3'!D35</f>
        <v>60</v>
      </c>
      <c r="C25" s="652">
        <v>0.362</v>
      </c>
      <c r="D25" s="651">
        <f>'[1]FD3'!E35</f>
        <v>65</v>
      </c>
      <c r="E25" s="652">
        <v>0.363</v>
      </c>
      <c r="F25" s="651">
        <f>'[1]FD3'!F35</f>
        <v>130</v>
      </c>
      <c r="G25" s="651">
        <f>'[1]FD3'!F41</f>
        <v>49</v>
      </c>
      <c r="H25" s="653">
        <v>140322</v>
      </c>
      <c r="I25" s="386">
        <f t="shared" si="0"/>
        <v>0.349</v>
      </c>
    </row>
    <row r="26" spans="1:9" ht="15.75">
      <c r="A26" s="651" t="str">
        <f>'[1]cert2'!A28</f>
        <v>Fire District No. 4</v>
      </c>
      <c r="B26" s="651">
        <f>'[1]FD4'!D35</f>
        <v>6527</v>
      </c>
      <c r="C26" s="652">
        <v>2.426</v>
      </c>
      <c r="D26" s="651">
        <f>'[1]FD4'!E35</f>
        <v>10000</v>
      </c>
      <c r="E26" s="652">
        <v>2.53</v>
      </c>
      <c r="F26" s="651">
        <f>'[1]FD4'!F35</f>
        <v>18195</v>
      </c>
      <c r="G26" s="651">
        <f>'[1]FD4'!F41</f>
        <v>5630</v>
      </c>
      <c r="H26" s="653">
        <v>2118626</v>
      </c>
      <c r="I26" s="386">
        <f t="shared" si="0"/>
        <v>2.657</v>
      </c>
    </row>
    <row r="27" spans="1:9" ht="15.75">
      <c r="A27" s="651" t="str">
        <f>'[1]cert2'!A29</f>
        <v>Fire District No. 5</v>
      </c>
      <c r="B27" s="651">
        <f>'[1]FD5'!D35</f>
        <v>7534</v>
      </c>
      <c r="C27" s="652">
        <v>4.354</v>
      </c>
      <c r="D27" s="651">
        <f>'[1]FD5'!E35</f>
        <v>9000</v>
      </c>
      <c r="E27" s="652">
        <v>5.043</v>
      </c>
      <c r="F27" s="651">
        <f>'[1]FD5'!F35</f>
        <v>13175</v>
      </c>
      <c r="G27" s="651">
        <f>'[1]FD5'!F41</f>
        <v>9384</v>
      </c>
      <c r="H27" s="653">
        <v>1820253</v>
      </c>
      <c r="I27" s="386">
        <f t="shared" si="0"/>
        <v>5.155</v>
      </c>
    </row>
    <row r="28" spans="1:9" ht="15.75">
      <c r="A28" s="651" t="str">
        <f>'[1]cert2'!A30</f>
        <v>Fire District No. 6jt</v>
      </c>
      <c r="B28" s="651">
        <f>'[1]FD6jt'!D35</f>
        <v>13884</v>
      </c>
      <c r="C28" s="652">
        <v>3.144</v>
      </c>
      <c r="D28" s="651">
        <f>'[1]FD6jt'!E35</f>
        <v>15600</v>
      </c>
      <c r="E28" s="652">
        <v>3.049</v>
      </c>
      <c r="F28" s="651">
        <f>'[1]FD6jt'!F35</f>
        <v>152015</v>
      </c>
      <c r="G28" s="651">
        <f>'[1]FD6jt'!F41</f>
        <v>21055</v>
      </c>
      <c r="H28" s="653">
        <v>6760197</v>
      </c>
      <c r="I28" s="386">
        <f t="shared" si="0"/>
        <v>3.115</v>
      </c>
    </row>
    <row r="29" spans="1:9" ht="15.75">
      <c r="A29" s="651" t="str">
        <f>'[1]cert2'!A31</f>
        <v>Fire District No. 7</v>
      </c>
      <c r="B29" s="651">
        <f>'[1]FD7'!D35</f>
        <v>8344</v>
      </c>
      <c r="C29" s="652">
        <v>2.114</v>
      </c>
      <c r="D29" s="651">
        <f>'[1]FD7'!E35</f>
        <v>9000</v>
      </c>
      <c r="E29" s="652">
        <v>2.202</v>
      </c>
      <c r="F29" s="651">
        <f>'[1]FD7'!F35</f>
        <v>9300</v>
      </c>
      <c r="G29" s="651">
        <f>'[1]FD7'!F41</f>
        <v>5751</v>
      </c>
      <c r="H29" s="653">
        <v>2738492</v>
      </c>
      <c r="I29" s="386">
        <f t="shared" si="0"/>
        <v>2.1</v>
      </c>
    </row>
    <row r="30" spans="1:9" ht="15.75">
      <c r="A30" s="651" t="str">
        <f>'[1]cert2'!A32</f>
        <v>Fire District No. 8</v>
      </c>
      <c r="B30" s="651">
        <f>'[1]FD8'!D35</f>
        <v>12000</v>
      </c>
      <c r="C30" s="652">
        <v>2.239</v>
      </c>
      <c r="D30" s="651">
        <f>'[1]FD8'!E35</f>
        <v>13280</v>
      </c>
      <c r="E30" s="652">
        <v>2.217</v>
      </c>
      <c r="F30" s="651">
        <f>'[1]FD8'!F35</f>
        <v>14300</v>
      </c>
      <c r="G30" s="651">
        <f>'[1]FD8'!F41</f>
        <v>10600</v>
      </c>
      <c r="H30" s="653">
        <v>4779351</v>
      </c>
      <c r="I30" s="386">
        <f t="shared" si="0"/>
        <v>2.218</v>
      </c>
    </row>
    <row r="31" spans="1:9" ht="15.75">
      <c r="A31" s="651" t="str">
        <f>'[1]cert2'!A33</f>
        <v>Fire District No. 9jt</v>
      </c>
      <c r="B31" s="651">
        <f>'[1]FD9jt'!D35</f>
        <v>38134</v>
      </c>
      <c r="C31" s="652">
        <v>6.967</v>
      </c>
      <c r="D31" s="651">
        <f>'[1]FD9jt'!E35</f>
        <v>39000</v>
      </c>
      <c r="E31" s="652">
        <v>6.986</v>
      </c>
      <c r="F31" s="651">
        <f>'[1]FD9jt'!F35</f>
        <v>48835</v>
      </c>
      <c r="G31" s="651">
        <f>'[1]FD9jt'!F41</f>
        <v>36416</v>
      </c>
      <c r="H31" s="653">
        <v>5202060</v>
      </c>
      <c r="I31" s="386">
        <f t="shared" si="0"/>
        <v>7</v>
      </c>
    </row>
    <row r="32" spans="1:9" ht="15.75">
      <c r="A32" s="651" t="str">
        <f>'[1]cert2'!A34</f>
        <v>Fire District No. 10</v>
      </c>
      <c r="B32" s="651">
        <f>'[1]FD10'!D35</f>
        <v>1492</v>
      </c>
      <c r="C32" s="652">
        <v>2.273</v>
      </c>
      <c r="D32" s="651">
        <f>'[1]FD10'!E35</f>
        <v>1700</v>
      </c>
      <c r="E32" s="652">
        <v>2.134</v>
      </c>
      <c r="F32" s="651">
        <f>'[1]FD10'!F35</f>
        <v>1800</v>
      </c>
      <c r="G32" s="651">
        <f>'[1]FD10'!F41</f>
        <v>1412</v>
      </c>
      <c r="H32" s="653">
        <v>666158</v>
      </c>
      <c r="I32" s="386">
        <f t="shared" si="0"/>
        <v>2.12</v>
      </c>
    </row>
    <row r="33" spans="1:9" ht="15.75">
      <c r="A33" s="651" t="str">
        <f>'[1]cert2'!A35</f>
        <v>Fire District No. 11</v>
      </c>
      <c r="B33" s="651">
        <f>'[1]FD11'!D35</f>
        <v>3680</v>
      </c>
      <c r="C33" s="652">
        <v>2.927</v>
      </c>
      <c r="D33" s="651">
        <f>'[1]FD11'!E35</f>
        <v>4020</v>
      </c>
      <c r="E33" s="652">
        <v>2.71</v>
      </c>
      <c r="F33" s="651">
        <f>'[1]FD11'!F35</f>
        <v>4235</v>
      </c>
      <c r="G33" s="651">
        <f>'[1]FD11'!F41</f>
        <v>3635</v>
      </c>
      <c r="H33" s="653">
        <v>1369869</v>
      </c>
      <c r="I33" s="386">
        <f t="shared" si="0"/>
        <v>2.654</v>
      </c>
    </row>
    <row r="34" spans="1:9" ht="15.75">
      <c r="A34" s="651" t="str">
        <f>'[1]cert2'!A36</f>
        <v>Fire District No. 12</v>
      </c>
      <c r="B34" s="651">
        <f>'[1]FD12'!D35</f>
        <v>12100</v>
      </c>
      <c r="C34" s="652">
        <v>0.698</v>
      </c>
      <c r="D34" s="651">
        <f>'[1]FD12'!E35</f>
        <v>13200</v>
      </c>
      <c r="E34" s="652">
        <v>0.704</v>
      </c>
      <c r="F34" s="651">
        <f>'[1]FD12'!F35</f>
        <v>15750</v>
      </c>
      <c r="G34" s="651">
        <f>'[1]FD12'!F41</f>
        <v>10700</v>
      </c>
      <c r="H34" s="653">
        <v>16272263</v>
      </c>
      <c r="I34" s="386">
        <f t="shared" si="0"/>
        <v>0.658</v>
      </c>
    </row>
    <row r="35" spans="1:9" ht="15.75">
      <c r="A35" s="651" t="str">
        <f>'[1]cert2'!A37</f>
        <v>Fire District No. 13</v>
      </c>
      <c r="B35" s="651">
        <f>'[1]FD13'!D35</f>
        <v>19636</v>
      </c>
      <c r="C35" s="652">
        <v>6.993</v>
      </c>
      <c r="D35" s="651">
        <f>'[1]FD13'!E35</f>
        <v>20000</v>
      </c>
      <c r="E35" s="652">
        <v>6.987</v>
      </c>
      <c r="F35" s="651">
        <f>'[1]FD13'!F35</f>
        <v>20540</v>
      </c>
      <c r="G35" s="651">
        <f>'[1]FD13'!F41</f>
        <v>17854</v>
      </c>
      <c r="H35" s="653">
        <v>2550759</v>
      </c>
      <c r="I35" s="386">
        <f t="shared" si="0"/>
        <v>6.999</v>
      </c>
    </row>
    <row r="36" spans="1:9" ht="15.75">
      <c r="A36" s="651" t="str">
        <f>'[1]cert2'!A38</f>
        <v>Fire District No. 14</v>
      </c>
      <c r="B36" s="651">
        <f>'[1]FD14'!D35</f>
        <v>7855</v>
      </c>
      <c r="C36" s="652">
        <v>1.926</v>
      </c>
      <c r="D36" s="651">
        <f>'[1]FD14'!E35</f>
        <v>7900</v>
      </c>
      <c r="E36" s="652">
        <v>2.072</v>
      </c>
      <c r="F36" s="651">
        <f>'[1]FD14'!F35</f>
        <v>8165</v>
      </c>
      <c r="G36" s="651">
        <f>'[1]FD14'!F41</f>
        <v>6543</v>
      </c>
      <c r="H36" s="653">
        <v>3049533</v>
      </c>
      <c r="I36" s="386">
        <f t="shared" si="0"/>
        <v>2.146</v>
      </c>
    </row>
    <row r="37" spans="1:9" ht="15.75">
      <c r="A37" s="88" t="s">
        <v>848</v>
      </c>
      <c r="B37" s="317">
        <f>SUM(B8:B36)</f>
        <v>198319</v>
      </c>
      <c r="C37" s="101">
        <f>SUM(C8:C24)</f>
        <v>37.739999999999995</v>
      </c>
      <c r="D37" s="317">
        <f>SUM(D8:D36)</f>
        <v>219615</v>
      </c>
      <c r="E37" s="101">
        <f>SUM(E8:E24)</f>
        <v>40.221999999999994</v>
      </c>
      <c r="F37" s="317">
        <f>SUM(F8:F36)</f>
        <v>500124</v>
      </c>
      <c r="G37" s="317">
        <f>SUM(G8:G36)</f>
        <v>188905</v>
      </c>
      <c r="H37" s="112"/>
      <c r="I37" s="101">
        <f>SUM(I8:I24)</f>
        <v>30.157000000000004</v>
      </c>
    </row>
    <row r="38" spans="1:9" ht="15.75">
      <c r="A38" s="69"/>
      <c r="B38" s="69"/>
      <c r="C38" s="69"/>
      <c r="D38" s="69"/>
      <c r="E38" s="69"/>
      <c r="F38" s="69"/>
      <c r="G38" s="69"/>
      <c r="H38" s="69"/>
      <c r="I38" s="69"/>
    </row>
    <row r="39" spans="1:9" ht="15.75">
      <c r="A39" s="68" t="s">
        <v>493</v>
      </c>
      <c r="B39" s="69"/>
      <c r="C39" s="69"/>
      <c r="D39" s="69"/>
      <c r="E39" s="69"/>
      <c r="F39" s="69"/>
      <c r="G39" s="69"/>
      <c r="H39" s="69"/>
      <c r="I39" s="69"/>
    </row>
    <row r="40" spans="1:9" ht="15.75">
      <c r="A40" s="69"/>
      <c r="B40" s="69"/>
      <c r="C40" s="69"/>
      <c r="D40" s="69"/>
      <c r="E40" s="69"/>
      <c r="F40" s="69"/>
      <c r="G40" s="69"/>
      <c r="H40" s="69"/>
      <c r="I40" s="69"/>
    </row>
    <row r="41" spans="1:9" ht="15.75">
      <c r="A41" s="486"/>
      <c r="B41" s="69"/>
      <c r="C41" s="69"/>
      <c r="D41" s="69"/>
      <c r="E41" s="69"/>
      <c r="F41" s="69"/>
      <c r="G41" s="69"/>
      <c r="H41" s="69"/>
      <c r="I41" s="69"/>
    </row>
    <row r="42" spans="1:9" ht="15.75">
      <c r="A42" s="145" t="s">
        <v>494</v>
      </c>
      <c r="B42" s="69"/>
      <c r="C42" s="69"/>
      <c r="D42" s="286" t="s">
        <v>862</v>
      </c>
      <c r="E42" s="339">
        <v>18</v>
      </c>
      <c r="F42" s="69"/>
      <c r="G42" s="69"/>
      <c r="H42" s="69"/>
      <c r="I42" s="69"/>
    </row>
    <row r="44" spans="1:9" ht="15.75">
      <c r="A44" s="126"/>
      <c r="B44" s="126"/>
      <c r="C44" s="126"/>
      <c r="D44" s="126"/>
      <c r="E44" s="126"/>
      <c r="F44" s="126"/>
      <c r="G44" s="126"/>
      <c r="H44" s="126"/>
      <c r="I44" s="126"/>
    </row>
    <row r="45" spans="1:9" ht="15.75">
      <c r="A45" s="202"/>
      <c r="B45" s="126"/>
      <c r="C45" s="126"/>
      <c r="D45" s="126"/>
      <c r="E45" s="126"/>
      <c r="F45" s="126"/>
      <c r="G45" s="126"/>
      <c r="H45" s="126"/>
      <c r="I45" s="126"/>
    </row>
    <row r="46" spans="1:9" ht="15.75">
      <c r="A46" s="202"/>
      <c r="B46" s="192"/>
      <c r="C46" s="126"/>
      <c r="D46" s="192"/>
      <c r="E46" s="126"/>
      <c r="F46" s="192"/>
      <c r="G46" s="126"/>
      <c r="H46" s="126"/>
      <c r="I46" s="126"/>
    </row>
    <row r="47" spans="1:9" ht="15.75">
      <c r="A47" s="202"/>
      <c r="B47" s="202"/>
      <c r="C47" s="126"/>
      <c r="D47" s="202"/>
      <c r="E47" s="126"/>
      <c r="F47" s="202"/>
      <c r="G47" s="126"/>
      <c r="H47" s="126"/>
      <c r="I47" s="126"/>
    </row>
    <row r="48" spans="1:9" ht="15.75">
      <c r="A48" s="202"/>
      <c r="B48" s="202"/>
      <c r="C48" s="126"/>
      <c r="D48" s="202"/>
      <c r="E48" s="126"/>
      <c r="F48" s="202"/>
      <c r="G48" s="126"/>
      <c r="H48" s="126"/>
      <c r="I48" s="126"/>
    </row>
    <row r="49" spans="1:9" ht="15.75">
      <c r="A49" s="202"/>
      <c r="B49" s="202"/>
      <c r="C49" s="126"/>
      <c r="D49" s="202"/>
      <c r="E49" s="126"/>
      <c r="F49" s="202"/>
      <c r="G49" s="126"/>
      <c r="H49" s="126"/>
      <c r="I49" s="126"/>
    </row>
    <row r="50" spans="1:9" ht="15.75">
      <c r="A50" s="202"/>
      <c r="B50" s="202"/>
      <c r="C50" s="126"/>
      <c r="D50" s="202"/>
      <c r="E50" s="126"/>
      <c r="F50" s="202"/>
      <c r="G50" s="126"/>
      <c r="H50" s="126"/>
      <c r="I50" s="126"/>
    </row>
    <row r="51" spans="1:9" ht="15.75">
      <c r="A51" s="202"/>
      <c r="B51" s="202"/>
      <c r="C51" s="126"/>
      <c r="D51" s="202"/>
      <c r="E51" s="126"/>
      <c r="F51" s="202"/>
      <c r="G51" s="126"/>
      <c r="H51" s="126"/>
      <c r="I51" s="126"/>
    </row>
    <row r="52" spans="2:9" ht="15.75">
      <c r="B52" s="126"/>
      <c r="C52" s="126"/>
      <c r="D52" s="126"/>
      <c r="E52" s="126"/>
      <c r="F52" s="126"/>
      <c r="G52" s="126"/>
      <c r="H52" s="126"/>
      <c r="I52" s="126"/>
    </row>
    <row r="53" spans="2:9" ht="15.75">
      <c r="B53" s="126"/>
      <c r="C53" s="126"/>
      <c r="D53" s="126"/>
      <c r="E53" s="126"/>
      <c r="F53" s="126"/>
      <c r="G53" s="126"/>
      <c r="H53" s="126"/>
      <c r="I53" s="126"/>
    </row>
    <row r="54" spans="2:9" ht="15.75">
      <c r="B54" s="390"/>
      <c r="C54" s="126"/>
      <c r="D54" s="126"/>
      <c r="E54" s="126"/>
      <c r="F54" s="126"/>
      <c r="G54" s="126"/>
      <c r="H54" s="126"/>
      <c r="I54" s="126"/>
    </row>
    <row r="55" spans="2:9" ht="15.75">
      <c r="B55" s="391"/>
      <c r="C55" s="126"/>
      <c r="D55" s="126"/>
      <c r="E55" s="126"/>
      <c r="F55" s="126"/>
      <c r="G55" s="126"/>
      <c r="H55" s="126"/>
      <c r="I55" s="126"/>
    </row>
    <row r="56" spans="1:9" ht="15.75">
      <c r="A56" s="126"/>
      <c r="B56" s="126"/>
      <c r="C56" s="126"/>
      <c r="D56" s="126"/>
      <c r="E56" s="126"/>
      <c r="F56" s="126"/>
      <c r="G56" s="126"/>
      <c r="H56" s="126"/>
      <c r="I56" s="126"/>
    </row>
    <row r="57" spans="1:9" ht="15.75">
      <c r="A57" s="126"/>
      <c r="B57" s="126"/>
      <c r="C57" s="392"/>
      <c r="D57" s="126"/>
      <c r="E57" s="126"/>
      <c r="F57" s="126"/>
      <c r="G57" s="126"/>
      <c r="H57" s="126"/>
      <c r="I57" s="126"/>
    </row>
  </sheetData>
  <sheetProtection sheet="1"/>
  <mergeCells count="2">
    <mergeCell ref="G6:G7"/>
    <mergeCell ref="H6:H7"/>
  </mergeCells>
  <printOptions/>
  <pageMargins left="1.12" right="0.5" top="0.74" bottom="0.34" header="0.5" footer="0"/>
  <pageSetup blackAndWhite="1" fitToHeight="1" fitToWidth="1" horizontalDpi="120" verticalDpi="120" orientation="portrait" scale="54" r:id="rId1"/>
  <headerFooter alignWithMargins="0">
    <oddHeader>&amp;RState of Kansas
County
</oddHeader>
  </headerFooter>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C4" sqref="C4"/>
    </sheetView>
  </sheetViews>
  <sheetFormatPr defaultColWidth="8.796875" defaultRowHeight="15"/>
  <cols>
    <col min="1" max="1" width="13.796875" style="0" customWidth="1"/>
    <col min="2" max="2" width="16.09765625" style="0" customWidth="1"/>
  </cols>
  <sheetData>
    <row r="2" spans="1:6" ht="54" customHeight="1">
      <c r="A2" s="669" t="s">
        <v>661</v>
      </c>
      <c r="B2" s="670"/>
      <c r="C2" s="670"/>
      <c r="D2" s="670"/>
      <c r="E2" s="670"/>
      <c r="F2" s="670"/>
    </row>
    <row r="4" spans="1:6" ht="15.75">
      <c r="A4" s="415"/>
      <c r="B4" s="415"/>
      <c r="C4" s="415"/>
      <c r="D4" s="417"/>
      <c r="E4" s="415"/>
      <c r="F4" s="415"/>
    </row>
    <row r="5" spans="1:6" ht="15.75">
      <c r="A5" s="416" t="s">
        <v>662</v>
      </c>
      <c r="B5" s="418" t="s">
        <v>908</v>
      </c>
      <c r="C5" s="419"/>
      <c r="D5" s="416" t="s">
        <v>648</v>
      </c>
      <c r="E5" s="415"/>
      <c r="F5" s="415"/>
    </row>
    <row r="6" spans="1:6" ht="15.75">
      <c r="A6" s="416"/>
      <c r="B6" s="420"/>
      <c r="C6" s="421"/>
      <c r="D6" s="416" t="s">
        <v>647</v>
      </c>
      <c r="E6" s="415"/>
      <c r="F6" s="415"/>
    </row>
    <row r="7" spans="1:6" ht="15.75">
      <c r="A7" s="416" t="s">
        <v>663</v>
      </c>
      <c r="B7" s="418" t="s">
        <v>909</v>
      </c>
      <c r="C7" s="422"/>
      <c r="D7" s="416"/>
      <c r="E7" s="415"/>
      <c r="F7" s="415"/>
    </row>
    <row r="8" spans="1:6" ht="15.75">
      <c r="A8" s="416"/>
      <c r="B8" s="416"/>
      <c r="C8" s="416"/>
      <c r="D8" s="416"/>
      <c r="E8" s="415"/>
      <c r="F8" s="415"/>
    </row>
    <row r="9" spans="1:6" ht="15.75">
      <c r="A9" s="416" t="s">
        <v>664</v>
      </c>
      <c r="B9" s="423" t="s">
        <v>47</v>
      </c>
      <c r="C9" s="423"/>
      <c r="D9" s="423"/>
      <c r="E9" s="424"/>
      <c r="F9" s="415"/>
    </row>
    <row r="10" spans="1:6" ht="15.75">
      <c r="A10" s="416"/>
      <c r="B10" s="416"/>
      <c r="C10" s="416"/>
      <c r="D10" s="416"/>
      <c r="E10" s="415"/>
      <c r="F10" s="415"/>
    </row>
    <row r="11" spans="1:6" ht="15.75">
      <c r="A11" s="416"/>
      <c r="B11" s="416"/>
      <c r="C11" s="416"/>
      <c r="D11" s="416"/>
      <c r="E11" s="415"/>
      <c r="F11" s="415"/>
    </row>
    <row r="12" spans="1:6" ht="15.75">
      <c r="A12" s="416" t="s">
        <v>665</v>
      </c>
      <c r="B12" s="423" t="s">
        <v>48</v>
      </c>
      <c r="C12" s="423"/>
      <c r="D12" s="423"/>
      <c r="E12" s="424"/>
      <c r="F12" s="415"/>
    </row>
    <row r="15" spans="1:6" ht="15.75">
      <c r="A15" s="671" t="s">
        <v>666</v>
      </c>
      <c r="B15" s="671"/>
      <c r="C15" s="416"/>
      <c r="D15" s="416"/>
      <c r="E15" s="416"/>
      <c r="F15" s="415"/>
    </row>
    <row r="16" spans="1:6" ht="15.75">
      <c r="A16" s="416"/>
      <c r="B16" s="416"/>
      <c r="C16" s="416"/>
      <c r="D16" s="416"/>
      <c r="E16" s="416"/>
      <c r="F16" s="415"/>
    </row>
    <row r="17" spans="1:5" ht="15.75">
      <c r="A17" s="416" t="s">
        <v>662</v>
      </c>
      <c r="B17" s="420" t="s">
        <v>667</v>
      </c>
      <c r="C17" s="416"/>
      <c r="D17" s="416"/>
      <c r="E17" s="416"/>
    </row>
    <row r="18" spans="1:5" ht="15.75">
      <c r="A18" s="416"/>
      <c r="B18" s="416"/>
      <c r="C18" s="416"/>
      <c r="D18" s="416"/>
      <c r="E18" s="416"/>
    </row>
    <row r="19" spans="1:5" ht="15.75">
      <c r="A19" s="416" t="s">
        <v>663</v>
      </c>
      <c r="B19" s="416" t="s">
        <v>668</v>
      </c>
      <c r="C19" s="416"/>
      <c r="D19" s="416"/>
      <c r="E19" s="416"/>
    </row>
    <row r="20" spans="1:5" ht="15.75">
      <c r="A20" s="416"/>
      <c r="B20" s="416"/>
      <c r="C20" s="416"/>
      <c r="D20" s="416"/>
      <c r="E20" s="416"/>
    </row>
    <row r="21" spans="1:5" ht="15.75">
      <c r="A21" s="416" t="s">
        <v>664</v>
      </c>
      <c r="B21" s="416" t="s">
        <v>669</v>
      </c>
      <c r="C21" s="416"/>
      <c r="D21" s="416"/>
      <c r="E21" s="416"/>
    </row>
    <row r="22" spans="1:5" ht="15.75">
      <c r="A22" s="416"/>
      <c r="B22" s="416"/>
      <c r="C22" s="416"/>
      <c r="D22" s="416"/>
      <c r="E22" s="416"/>
    </row>
    <row r="23" spans="1:5" ht="15.75">
      <c r="A23" s="416" t="s">
        <v>665</v>
      </c>
      <c r="B23" s="416" t="s">
        <v>669</v>
      </c>
      <c r="C23" s="416"/>
      <c r="D23" s="416"/>
      <c r="E23" s="416"/>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40.xml><?xml version="1.0" encoding="utf-8"?>
<worksheet xmlns="http://schemas.openxmlformats.org/spreadsheetml/2006/main" xmlns:r="http://schemas.openxmlformats.org/officeDocument/2006/relationships">
  <dimension ref="A1:A1"/>
  <sheetViews>
    <sheetView zoomScale="50" zoomScaleNormal="50" zoomScalePageLayoutView="0" workbookViewId="0" topLeftCell="A1">
      <selection activeCell="L27" sqref="A1:L27"/>
    </sheetView>
  </sheetViews>
  <sheetFormatPr defaultColWidth="8.796875" defaultRowHeight="15"/>
  <sheetData/>
  <sheetProtection/>
  <printOptions/>
  <pageMargins left="0.75" right="0.75" top="1" bottom="1" header="0.5" footer="0.5"/>
  <pageSetup horizontalDpi="600" verticalDpi="600" orientation="portrait" scale="35" r:id="rId2"/>
  <drawing r:id="rId1"/>
</worksheet>
</file>

<file path=xl/worksheets/sheet41.xml><?xml version="1.0" encoding="utf-8"?>
<worksheet xmlns="http://schemas.openxmlformats.org/spreadsheetml/2006/main" xmlns:r="http://schemas.openxmlformats.org/officeDocument/2006/relationships">
  <sheetPr>
    <pageSetUpPr fitToPage="1"/>
  </sheetPr>
  <dimension ref="A1:F53"/>
  <sheetViews>
    <sheetView zoomScalePageLayoutView="0" workbookViewId="0" topLeftCell="A28">
      <selection activeCell="F2" sqref="F2"/>
    </sheetView>
  </sheetViews>
  <sheetFormatPr defaultColWidth="8.796875" defaultRowHeight="15"/>
  <cols>
    <col min="1" max="1" width="6.69921875" style="48" customWidth="1"/>
    <col min="2" max="2" width="21.19921875" style="48" customWidth="1"/>
    <col min="3" max="3" width="11.796875" style="48" customWidth="1"/>
    <col min="4" max="4" width="12.796875" style="48" customWidth="1"/>
    <col min="5" max="5" width="11.796875" style="48" customWidth="1"/>
    <col min="6" max="16384" width="8.8984375" style="48" customWidth="1"/>
  </cols>
  <sheetData>
    <row r="1" spans="1:6" ht="15.75">
      <c r="A1" s="205" t="str">
        <f>inputPrYr!C3</f>
        <v>MORRIS COUNTY</v>
      </c>
      <c r="B1" s="69"/>
      <c r="C1" s="69"/>
      <c r="D1" s="69"/>
      <c r="E1" s="69"/>
      <c r="F1" s="69">
        <f>inputPrYr!C5</f>
        <v>2012</v>
      </c>
    </row>
    <row r="2" spans="1:6" ht="15.75">
      <c r="A2" s="69"/>
      <c r="B2" s="69"/>
      <c r="C2" s="69"/>
      <c r="D2" s="69"/>
      <c r="E2" s="69"/>
      <c r="F2" s="69"/>
    </row>
    <row r="3" spans="1:6" ht="15.75">
      <c r="A3" s="69"/>
      <c r="B3" s="684" t="str">
        <f>CONCATENATE("",F1," Neighborhood Revitalization Rebate")</f>
        <v>2012 Neighborhood Revitalization Rebate</v>
      </c>
      <c r="C3" s="719"/>
      <c r="D3" s="719"/>
      <c r="E3" s="719"/>
      <c r="F3" s="69"/>
    </row>
    <row r="4" spans="1:6" ht="15.75">
      <c r="A4" s="69"/>
      <c r="B4" s="69"/>
      <c r="C4" s="69"/>
      <c r="D4" s="69"/>
      <c r="E4" s="69"/>
      <c r="F4" s="69"/>
    </row>
    <row r="5" spans="1:6" ht="51" customHeight="1">
      <c r="A5" s="69"/>
      <c r="B5" s="393" t="str">
        <f>CONCATENATE("Budgeted Funds                        for ",F1,"")</f>
        <v>Budgeted Funds                        for 2012</v>
      </c>
      <c r="C5" s="393" t="str">
        <f>CONCATENATE("",F1-1," Ad Valorem before Rebate**")</f>
        <v>2011 Ad Valorem before Rebate**</v>
      </c>
      <c r="D5" s="394" t="str">
        <f>CONCATENATE("",F1-1," Mil Rate before Rebate")</f>
        <v>2011 Mil Rate before Rebate</v>
      </c>
      <c r="E5" s="395" t="str">
        <f>CONCATENATE("Estimate ",F1," NR Rebate")</f>
        <v>Estimate 2012 NR Rebate</v>
      </c>
      <c r="F5" s="119"/>
    </row>
    <row r="6" spans="1:6" ht="15.75">
      <c r="A6" s="69"/>
      <c r="B6" s="88" t="str">
        <f>inputPrYr!B16</f>
        <v>General</v>
      </c>
      <c r="C6" s="396"/>
      <c r="D6" s="397">
        <f>IF(C6&gt;0,C6/$D$36,"")</f>
      </c>
      <c r="E6" s="278">
        <f aca="true" t="shared" si="0" ref="E6:E30">IF(C6&gt;0,ROUND(D6*$D$40,0),"")</f>
      </c>
      <c r="F6" s="119"/>
    </row>
    <row r="7" spans="1:6" ht="15.75">
      <c r="A7" s="69"/>
      <c r="B7" s="88" t="str">
        <f>inputPrYr!B17</f>
        <v>Debt Service</v>
      </c>
      <c r="C7" s="396"/>
      <c r="D7" s="397">
        <f aca="true" t="shared" si="1" ref="D7:D30">IF(C7&gt;0,C7/$D$36,"")</f>
      </c>
      <c r="E7" s="278">
        <f t="shared" si="0"/>
      </c>
      <c r="F7" s="119"/>
    </row>
    <row r="8" spans="1:6" ht="15.75">
      <c r="A8" s="69"/>
      <c r="B8" s="88" t="str">
        <f>inputPrYr!B18</f>
        <v>Road &amp; Bridge</v>
      </c>
      <c r="C8" s="396"/>
      <c r="D8" s="397">
        <f t="shared" si="1"/>
      </c>
      <c r="E8" s="278">
        <f t="shared" si="0"/>
      </c>
      <c r="F8" s="119"/>
    </row>
    <row r="9" spans="1:6" ht="15.75">
      <c r="A9" s="69"/>
      <c r="B9" s="88" t="str">
        <f>inputPrYr!B19</f>
        <v>Special Bridge</v>
      </c>
      <c r="C9" s="396"/>
      <c r="D9" s="397">
        <f t="shared" si="1"/>
      </c>
      <c r="E9" s="278">
        <f t="shared" si="0"/>
      </c>
      <c r="F9" s="119"/>
    </row>
    <row r="10" spans="1:6" ht="15.75">
      <c r="A10" s="69"/>
      <c r="B10" s="88" t="str">
        <f>inputPrYr!B20</f>
        <v>Reappraisal</v>
      </c>
      <c r="C10" s="396"/>
      <c r="D10" s="397">
        <f t="shared" si="1"/>
      </c>
      <c r="E10" s="278">
        <f t="shared" si="0"/>
      </c>
      <c r="F10" s="119"/>
    </row>
    <row r="11" spans="1:6" ht="15.75">
      <c r="A11" s="69"/>
      <c r="B11" s="88" t="str">
        <f>inputPrYr!B21</f>
        <v>County Health</v>
      </c>
      <c r="C11" s="396"/>
      <c r="D11" s="397">
        <f t="shared" si="1"/>
      </c>
      <c r="E11" s="278">
        <f t="shared" si="0"/>
      </c>
      <c r="F11" s="119"/>
    </row>
    <row r="12" spans="1:6" ht="15.75">
      <c r="A12" s="69"/>
      <c r="B12" s="88" t="str">
        <f>inputPrYr!B22</f>
        <v>Noxious Weed</v>
      </c>
      <c r="C12" s="398"/>
      <c r="D12" s="397">
        <f t="shared" si="1"/>
      </c>
      <c r="E12" s="278">
        <f t="shared" si="0"/>
      </c>
      <c r="F12" s="119"/>
    </row>
    <row r="13" spans="1:6" ht="15.75">
      <c r="A13" s="69"/>
      <c r="B13" s="88" t="str">
        <f>inputPrYr!B23</f>
        <v>Ambulance</v>
      </c>
      <c r="C13" s="398"/>
      <c r="D13" s="397">
        <f t="shared" si="1"/>
      </c>
      <c r="E13" s="278">
        <f t="shared" si="0"/>
      </c>
      <c r="F13" s="119"/>
    </row>
    <row r="14" spans="1:6" ht="15.75">
      <c r="A14" s="69"/>
      <c r="B14" s="88" t="str">
        <f>inputPrYr!B24</f>
        <v>Mental Health</v>
      </c>
      <c r="C14" s="398"/>
      <c r="D14" s="397">
        <f t="shared" si="1"/>
      </c>
      <c r="E14" s="278">
        <f t="shared" si="0"/>
      </c>
      <c r="F14" s="119"/>
    </row>
    <row r="15" spans="1:6" ht="15.75">
      <c r="A15" s="69"/>
      <c r="B15" s="88" t="str">
        <f>inputPrYr!B25</f>
        <v>Hospital Maintenance</v>
      </c>
      <c r="C15" s="398"/>
      <c r="D15" s="397">
        <f t="shared" si="1"/>
      </c>
      <c r="E15" s="278">
        <f t="shared" si="0"/>
      </c>
      <c r="F15" s="119"/>
    </row>
    <row r="16" spans="1:6" ht="15.75">
      <c r="A16" s="69"/>
      <c r="B16" s="88" t="str">
        <f>inputPrYr!B26</f>
        <v>Employee Benefits</v>
      </c>
      <c r="C16" s="398"/>
      <c r="D16" s="397">
        <f t="shared" si="1"/>
      </c>
      <c r="E16" s="278">
        <f t="shared" si="0"/>
      </c>
      <c r="F16" s="119"/>
    </row>
    <row r="17" spans="1:6" ht="15.75">
      <c r="A17" s="69"/>
      <c r="B17" s="88">
        <f>inputPrYr!B27</f>
        <v>0</v>
      </c>
      <c r="C17" s="398"/>
      <c r="D17" s="397">
        <f t="shared" si="1"/>
      </c>
      <c r="E17" s="278">
        <f t="shared" si="0"/>
      </c>
      <c r="F17" s="119"/>
    </row>
    <row r="18" spans="1:6" ht="15.75">
      <c r="A18" s="69"/>
      <c r="B18" s="88">
        <f>inputPrYr!B28</f>
        <v>0</v>
      </c>
      <c r="C18" s="398"/>
      <c r="D18" s="397">
        <f t="shared" si="1"/>
      </c>
      <c r="E18" s="278">
        <f t="shared" si="0"/>
      </c>
      <c r="F18" s="119"/>
    </row>
    <row r="19" spans="1:6" ht="15.75">
      <c r="A19" s="69"/>
      <c r="B19" s="88">
        <f>inputPrYr!B29</f>
        <v>0</v>
      </c>
      <c r="C19" s="398"/>
      <c r="D19" s="397">
        <f t="shared" si="1"/>
      </c>
      <c r="E19" s="278">
        <f t="shared" si="0"/>
      </c>
      <c r="F19" s="119"/>
    </row>
    <row r="20" spans="1:6" ht="15.75">
      <c r="A20" s="69"/>
      <c r="B20" s="88">
        <f>inputPrYr!B30</f>
        <v>0</v>
      </c>
      <c r="C20" s="398"/>
      <c r="D20" s="397">
        <f t="shared" si="1"/>
      </c>
      <c r="E20" s="278">
        <f t="shared" si="0"/>
      </c>
      <c r="F20" s="119"/>
    </row>
    <row r="21" spans="1:6" ht="15.75">
      <c r="A21" s="69"/>
      <c r="B21" s="88">
        <f>inputPrYr!B31</f>
        <v>0</v>
      </c>
      <c r="C21" s="398"/>
      <c r="D21" s="397">
        <f t="shared" si="1"/>
      </c>
      <c r="E21" s="278">
        <f t="shared" si="0"/>
      </c>
      <c r="F21" s="119"/>
    </row>
    <row r="22" spans="1:6" ht="15.75">
      <c r="A22" s="69"/>
      <c r="B22" s="88">
        <f>inputPrYr!B32</f>
        <v>0</v>
      </c>
      <c r="C22" s="398"/>
      <c r="D22" s="397">
        <f t="shared" si="1"/>
      </c>
      <c r="E22" s="278">
        <f t="shared" si="0"/>
      </c>
      <c r="F22" s="119"/>
    </row>
    <row r="23" spans="1:6" ht="15.75">
      <c r="A23" s="69"/>
      <c r="B23" s="88">
        <f>inputPrYr!B33</f>
        <v>0</v>
      </c>
      <c r="C23" s="398"/>
      <c r="D23" s="397">
        <f t="shared" si="1"/>
      </c>
      <c r="E23" s="278">
        <f t="shared" si="0"/>
      </c>
      <c r="F23" s="119"/>
    </row>
    <row r="24" spans="1:6" ht="15.75">
      <c r="A24" s="69"/>
      <c r="B24" s="88">
        <f>inputPrYr!B34</f>
        <v>0</v>
      </c>
      <c r="C24" s="398"/>
      <c r="D24" s="397">
        <f t="shared" si="1"/>
      </c>
      <c r="E24" s="278">
        <f t="shared" si="0"/>
      </c>
      <c r="F24" s="119"/>
    </row>
    <row r="25" spans="1:6" ht="15.75">
      <c r="A25" s="69"/>
      <c r="B25" s="88">
        <f>inputPrYr!B35</f>
        <v>0</v>
      </c>
      <c r="C25" s="398"/>
      <c r="D25" s="397">
        <f t="shared" si="1"/>
      </c>
      <c r="E25" s="278">
        <f t="shared" si="0"/>
      </c>
      <c r="F25" s="119"/>
    </row>
    <row r="26" spans="1:6" ht="15.75">
      <c r="A26" s="69"/>
      <c r="B26" s="88">
        <f>inputPrYr!B36</f>
        <v>0</v>
      </c>
      <c r="C26" s="398"/>
      <c r="D26" s="397">
        <f t="shared" si="1"/>
      </c>
      <c r="E26" s="278">
        <f t="shared" si="0"/>
      </c>
      <c r="F26" s="119"/>
    </row>
    <row r="27" spans="1:6" ht="15.75">
      <c r="A27" s="69"/>
      <c r="B27" s="88">
        <f>inputPrYr!B37</f>
        <v>0</v>
      </c>
      <c r="C27" s="398"/>
      <c r="D27" s="397">
        <f t="shared" si="1"/>
      </c>
      <c r="E27" s="278">
        <f t="shared" si="0"/>
      </c>
      <c r="F27" s="119"/>
    </row>
    <row r="28" spans="1:6" ht="15.75">
      <c r="A28" s="69"/>
      <c r="B28" s="88">
        <f>inputPrYr!B38</f>
        <v>0</v>
      </c>
      <c r="C28" s="398"/>
      <c r="D28" s="397">
        <f t="shared" si="1"/>
      </c>
      <c r="E28" s="278">
        <f t="shared" si="0"/>
      </c>
      <c r="F28" s="119"/>
    </row>
    <row r="29" spans="1:6" ht="15.75">
      <c r="A29" s="69"/>
      <c r="B29" s="88">
        <f>inputPrYr!B39</f>
        <v>0</v>
      </c>
      <c r="C29" s="398"/>
      <c r="D29" s="397">
        <f t="shared" si="1"/>
      </c>
      <c r="E29" s="278">
        <f t="shared" si="0"/>
      </c>
      <c r="F29" s="119"/>
    </row>
    <row r="30" spans="1:6" ht="15.75">
      <c r="A30" s="69"/>
      <c r="B30" s="88">
        <f>inputPrYr!B40</f>
        <v>0</v>
      </c>
      <c r="C30" s="398"/>
      <c r="D30" s="397">
        <f t="shared" si="1"/>
      </c>
      <c r="E30" s="278">
        <f t="shared" si="0"/>
      </c>
      <c r="F30" s="119"/>
    </row>
    <row r="31" spans="1:6" ht="16.5" thickBot="1">
      <c r="A31" s="69"/>
      <c r="B31" s="164" t="s">
        <v>468</v>
      </c>
      <c r="C31" s="399">
        <f>SUM(C6:C30)</f>
        <v>0</v>
      </c>
      <c r="D31" s="400">
        <f>SUM(D6:D30)</f>
        <v>0</v>
      </c>
      <c r="E31" s="399">
        <f>SUM(E6:E30)</f>
        <v>0</v>
      </c>
      <c r="F31" s="119"/>
    </row>
    <row r="32" spans="1:6" ht="16.5" thickTop="1">
      <c r="A32" s="69"/>
      <c r="B32" s="69"/>
      <c r="C32" s="69"/>
      <c r="D32" s="69"/>
      <c r="E32" s="69"/>
      <c r="F32" s="119"/>
    </row>
    <row r="33" spans="1:6" ht="15.75">
      <c r="A33" s="69"/>
      <c r="B33" s="69"/>
      <c r="C33" s="69"/>
      <c r="D33" s="69"/>
      <c r="E33" s="69"/>
      <c r="F33" s="119"/>
    </row>
    <row r="34" spans="1:6" ht="15.75">
      <c r="A34" s="720" t="str">
        <f>CONCATENATE("",F1-1," July 1 Valuation:")</f>
        <v>2011 July 1 Valuation:</v>
      </c>
      <c r="B34" s="699"/>
      <c r="C34" s="720"/>
      <c r="D34" s="237">
        <f>inputOth!E5</f>
        <v>64442823</v>
      </c>
      <c r="E34" s="69"/>
      <c r="F34" s="119"/>
    </row>
    <row r="35" spans="1:6" ht="15.75">
      <c r="A35" s="69"/>
      <c r="B35" s="69"/>
      <c r="C35" s="69"/>
      <c r="D35" s="69"/>
      <c r="E35" s="69"/>
      <c r="F35" s="119"/>
    </row>
    <row r="36" spans="1:6" ht="15.75">
      <c r="A36" s="69"/>
      <c r="B36" s="720" t="s">
        <v>904</v>
      </c>
      <c r="C36" s="720"/>
      <c r="D36" s="401">
        <f>IF(D34&gt;0,(D34*0.001),"")</f>
        <v>64442.823000000004</v>
      </c>
      <c r="E36" s="69"/>
      <c r="F36" s="119"/>
    </row>
    <row r="37" spans="1:6" ht="15.75">
      <c r="A37" s="69"/>
      <c r="B37" s="286"/>
      <c r="C37" s="286"/>
      <c r="D37" s="402"/>
      <c r="E37" s="69"/>
      <c r="F37" s="119"/>
    </row>
    <row r="38" spans="1:6" ht="15.75">
      <c r="A38" s="718" t="s">
        <v>905</v>
      </c>
      <c r="B38" s="682"/>
      <c r="C38" s="682"/>
      <c r="D38" s="403">
        <f>inputOth!E11</f>
        <v>0</v>
      </c>
      <c r="E38" s="128"/>
      <c r="F38" s="128"/>
    </row>
    <row r="39" spans="1:6" ht="15">
      <c r="A39" s="128"/>
      <c r="B39" s="128"/>
      <c r="C39" s="128"/>
      <c r="D39" s="240"/>
      <c r="E39" s="128"/>
      <c r="F39" s="128"/>
    </row>
    <row r="40" spans="1:6" ht="15.75">
      <c r="A40" s="128"/>
      <c r="B40" s="718" t="s">
        <v>906</v>
      </c>
      <c r="C40" s="699"/>
      <c r="D40" s="404">
        <f>IF(D38&gt;0,(D38*0.001),"")</f>
      </c>
      <c r="E40" s="128"/>
      <c r="F40" s="128"/>
    </row>
    <row r="41" spans="1:6" ht="15">
      <c r="A41" s="128"/>
      <c r="B41" s="128"/>
      <c r="C41" s="128"/>
      <c r="D41" s="128"/>
      <c r="E41" s="128"/>
      <c r="F41" s="128"/>
    </row>
    <row r="42" spans="1:6" ht="15">
      <c r="A42" s="128"/>
      <c r="B42" s="128"/>
      <c r="C42" s="128"/>
      <c r="D42" s="128"/>
      <c r="E42" s="128"/>
      <c r="F42" s="128"/>
    </row>
    <row r="43" spans="1:6" ht="15">
      <c r="A43" s="128"/>
      <c r="B43" s="128"/>
      <c r="C43" s="128"/>
      <c r="D43" s="128"/>
      <c r="E43" s="128"/>
      <c r="F43" s="128"/>
    </row>
    <row r="44" spans="1:6" ht="15.75">
      <c r="A44" s="439" t="str">
        <f>CONCATENATE("**This information comes from the ",F1," Budget Summary page.  See instructions tab #11 for completing")</f>
        <v>**This information comes from the 2012 Budget Summary page.  See instructions tab #11 for completing</v>
      </c>
      <c r="B44" s="128"/>
      <c r="C44" s="128"/>
      <c r="D44" s="128"/>
      <c r="E44" s="128"/>
      <c r="F44" s="128"/>
    </row>
    <row r="45" spans="1:6" ht="15.75">
      <c r="A45" s="439" t="s">
        <v>195</v>
      </c>
      <c r="B45" s="128"/>
      <c r="C45" s="128"/>
      <c r="D45" s="128"/>
      <c r="E45" s="128"/>
      <c r="F45" s="128"/>
    </row>
    <row r="46" spans="1:6" ht="15.75">
      <c r="A46" s="439"/>
      <c r="B46" s="128"/>
      <c r="C46" s="128"/>
      <c r="D46" s="128"/>
      <c r="E46" s="128"/>
      <c r="F46" s="128"/>
    </row>
    <row r="47" spans="1:6" ht="15.75">
      <c r="A47" s="439"/>
      <c r="B47" s="128"/>
      <c r="C47" s="128"/>
      <c r="D47" s="128"/>
      <c r="E47" s="128"/>
      <c r="F47" s="128"/>
    </row>
    <row r="48" spans="1:6" ht="15.75">
      <c r="A48" s="439"/>
      <c r="B48" s="128"/>
      <c r="C48" s="128"/>
      <c r="D48" s="128"/>
      <c r="E48" s="128"/>
      <c r="F48" s="128"/>
    </row>
    <row r="49" spans="1:6" ht="15.75">
      <c r="A49" s="439"/>
      <c r="B49" s="128"/>
      <c r="C49" s="128"/>
      <c r="D49" s="128"/>
      <c r="E49" s="128"/>
      <c r="F49" s="128"/>
    </row>
    <row r="50" spans="1:6" ht="15.75">
      <c r="A50" s="439"/>
      <c r="B50" s="128"/>
      <c r="C50" s="128"/>
      <c r="D50" s="128"/>
      <c r="E50" s="128"/>
      <c r="F50" s="128"/>
    </row>
    <row r="51" spans="1:6" ht="15">
      <c r="A51" s="128"/>
      <c r="B51" s="128"/>
      <c r="C51" s="128"/>
      <c r="D51" s="128"/>
      <c r="E51" s="128"/>
      <c r="F51" s="128"/>
    </row>
    <row r="52" spans="1:6" ht="15.75">
      <c r="A52" s="128"/>
      <c r="B52" s="321" t="s">
        <v>477</v>
      </c>
      <c r="C52" s="339">
        <v>19</v>
      </c>
      <c r="D52" s="128"/>
      <c r="E52" s="128"/>
      <c r="F52" s="128"/>
    </row>
    <row r="53" spans="1:6" ht="15.75">
      <c r="A53" s="119"/>
      <c r="B53" s="69"/>
      <c r="C53" s="69"/>
      <c r="D53" s="178"/>
      <c r="E53" s="119"/>
      <c r="F53" s="119"/>
    </row>
  </sheetData>
  <sheetProtection sheet="1"/>
  <mergeCells count="5">
    <mergeCell ref="B40:C40"/>
    <mergeCell ref="B3:E3"/>
    <mergeCell ref="A34:C34"/>
    <mergeCell ref="B36:C36"/>
    <mergeCell ref="A38:C38"/>
  </mergeCells>
  <printOptions/>
  <pageMargins left="0.75" right="0.75" top="1" bottom="1" header="0.5" footer="0.5"/>
  <pageSetup blackAndWhite="1" fitToHeight="1" fitToWidth="1" horizontalDpi="600" verticalDpi="600" orientation="portrait" scale="84" r:id="rId1"/>
  <headerFooter alignWithMargins="0">
    <oddHeader>&amp;RState of Kansas
County</oddHeader>
  </headerFooter>
</worksheet>
</file>

<file path=xl/worksheets/sheet42.xml><?xml version="1.0" encoding="utf-8"?>
<worksheet xmlns="http://schemas.openxmlformats.org/spreadsheetml/2006/main" xmlns:r="http://schemas.openxmlformats.org/officeDocument/2006/relationships">
  <dimension ref="A1:H70"/>
  <sheetViews>
    <sheetView zoomScalePageLayoutView="0" workbookViewId="0" topLeftCell="A1">
      <selection activeCell="H38" sqref="H38"/>
    </sheetView>
  </sheetViews>
  <sheetFormatPr defaultColWidth="9.796875" defaultRowHeight="15"/>
  <cols>
    <col min="1" max="16384" width="9.796875" style="35" customWidth="1"/>
  </cols>
  <sheetData>
    <row r="1" spans="1:8" ht="11.25" customHeight="1">
      <c r="A1" s="19"/>
      <c r="B1" s="33"/>
      <c r="C1" s="33"/>
      <c r="D1" s="33"/>
      <c r="E1" s="33"/>
      <c r="F1" s="33"/>
      <c r="G1" s="20"/>
      <c r="H1" s="34"/>
    </row>
    <row r="2" spans="1:8" ht="15.75" customHeight="1">
      <c r="A2" s="721" t="s">
        <v>582</v>
      </c>
      <c r="B2" s="721"/>
      <c r="C2" s="721"/>
      <c r="D2" s="721"/>
      <c r="E2" s="721"/>
      <c r="F2" s="721"/>
      <c r="G2" s="721"/>
      <c r="H2" s="721"/>
    </row>
    <row r="3" spans="1:8" ht="9" customHeight="1">
      <c r="A3" s="19"/>
      <c r="B3" s="24"/>
      <c r="C3" s="24"/>
      <c r="D3" s="24"/>
      <c r="E3" s="24"/>
      <c r="F3" s="24"/>
      <c r="G3" s="21"/>
      <c r="H3" s="36"/>
    </row>
    <row r="4" spans="1:8" ht="15.75" customHeight="1">
      <c r="A4" s="722" t="s">
        <v>579</v>
      </c>
      <c r="B4" s="722"/>
      <c r="C4" s="722"/>
      <c r="D4" s="722"/>
      <c r="E4" s="722"/>
      <c r="F4" s="722"/>
      <c r="G4" s="722"/>
      <c r="H4" s="722"/>
    </row>
    <row r="5" spans="1:8" ht="9" customHeight="1">
      <c r="A5" s="22"/>
      <c r="B5" s="24"/>
      <c r="C5" s="24"/>
      <c r="D5" s="24"/>
      <c r="E5" s="24"/>
      <c r="F5" s="24"/>
      <c r="G5" s="24"/>
      <c r="H5" s="36"/>
    </row>
    <row r="6" spans="1:8" ht="15.75" customHeight="1">
      <c r="A6" s="23" t="str">
        <f>CONCATENATE("A resolution expressing the property taxation policy of the Board of ",(inputPrYr!C3)," Commissioners")</f>
        <v>A resolution expressing the property taxation policy of the Board of MORRIS COUNTY Commissioners</v>
      </c>
      <c r="B6" s="24"/>
      <c r="C6" s="24"/>
      <c r="D6" s="24"/>
      <c r="E6" s="24"/>
      <c r="F6" s="24"/>
      <c r="G6" s="24"/>
      <c r="H6" s="36"/>
    </row>
    <row r="7" spans="1:8" ht="15.75" customHeight="1">
      <c r="A7" s="23" t="str">
        <f>CONCATENATE("with respect to financing the ",inputPrYr!C5," annual budget for ",(inputPrYr!E3)," .")</f>
        <v>with respect to financing the 2012 annual budget for  .</v>
      </c>
      <c r="B7" s="24"/>
      <c r="C7" s="24"/>
      <c r="D7" s="24"/>
      <c r="E7" s="24"/>
      <c r="F7" s="24"/>
      <c r="G7" s="24"/>
      <c r="H7" s="36"/>
    </row>
    <row r="8" spans="1:8" ht="9" customHeight="1">
      <c r="A8" s="19"/>
      <c r="B8" s="24"/>
      <c r="C8" s="24"/>
      <c r="D8" s="24"/>
      <c r="E8" s="24"/>
      <c r="F8" s="24"/>
      <c r="G8" s="24"/>
      <c r="H8" s="36"/>
    </row>
    <row r="9" spans="1:8" ht="15.75" customHeight="1">
      <c r="A9" s="27" t="str">
        <f>CONCATENATE("Whereas, K.S.A. 79-2925b provides that a resolution be adopted if property taxes levied to finance the ",inputPrYr!C5,"")</f>
        <v>Whereas, K.S.A. 79-2925b provides that a resolution be adopted if property taxes levied to finance the 2012</v>
      </c>
      <c r="B9" s="24"/>
      <c r="C9" s="24"/>
      <c r="D9" s="24"/>
      <c r="E9" s="24"/>
      <c r="F9" s="24"/>
      <c r="G9" s="24"/>
      <c r="H9" s="36"/>
    </row>
    <row r="10" spans="1:8" ht="15.75" customHeight="1">
      <c r="A10" s="724" t="str">
        <f>CONCATENATE("",(inputPrYr!C3)," budget exceed the amount levied to finance the ",inputPrYr!C5-1," ",(inputPrYr!C3)," ",A16,)</f>
        <v>MORRIS COUNTY budget exceed the amount levied to finance the 2011 MORRIS COUNTY budget, except with regard to revenue produced and attributable to the 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v>
      </c>
      <c r="B10" s="724"/>
      <c r="C10" s="724"/>
      <c r="D10" s="724"/>
      <c r="E10" s="724"/>
      <c r="F10" s="724"/>
      <c r="G10" s="724"/>
      <c r="H10" s="724"/>
    </row>
    <row r="11" spans="1:8" ht="15.75" customHeight="1">
      <c r="A11" s="724"/>
      <c r="B11" s="724"/>
      <c r="C11" s="724"/>
      <c r="D11" s="724"/>
      <c r="E11" s="724"/>
      <c r="F11" s="724"/>
      <c r="G11" s="724"/>
      <c r="H11" s="724"/>
    </row>
    <row r="12" spans="1:8" ht="15.75" customHeight="1">
      <c r="A12" s="724"/>
      <c r="B12" s="724"/>
      <c r="C12" s="724"/>
      <c r="D12" s="724"/>
      <c r="E12" s="724"/>
      <c r="F12" s="724"/>
      <c r="G12" s="724"/>
      <c r="H12" s="724"/>
    </row>
    <row r="13" spans="1:8" ht="15.75" customHeight="1">
      <c r="A13" s="724"/>
      <c r="B13" s="724"/>
      <c r="C13" s="724"/>
      <c r="D13" s="724"/>
      <c r="E13" s="724"/>
      <c r="F13" s="724"/>
      <c r="G13" s="724"/>
      <c r="H13" s="724"/>
    </row>
    <row r="14" spans="1:8" ht="15.75" customHeight="1">
      <c r="A14" s="724"/>
      <c r="B14" s="724"/>
      <c r="C14" s="724"/>
      <c r="D14" s="724"/>
      <c r="E14" s="724"/>
      <c r="F14" s="724"/>
      <c r="G14" s="724"/>
      <c r="H14" s="724"/>
    </row>
    <row r="15" spans="1:8" ht="8.25" customHeight="1">
      <c r="A15" s="724"/>
      <c r="B15" s="724"/>
      <c r="C15" s="724"/>
      <c r="D15" s="724"/>
      <c r="E15" s="724"/>
      <c r="F15" s="724"/>
      <c r="G15" s="724"/>
      <c r="H15" s="724"/>
    </row>
    <row r="16" spans="1:8" ht="0.75" customHeight="1" hidden="1">
      <c r="A16" s="37" t="s">
        <v>212</v>
      </c>
      <c r="B16" s="24"/>
      <c r="C16" s="24"/>
      <c r="D16" s="24"/>
      <c r="E16" s="24"/>
      <c r="F16" s="24"/>
      <c r="G16" s="24"/>
      <c r="H16" s="36" t="s">
        <v>478</v>
      </c>
    </row>
    <row r="17" spans="1:8" ht="15.75" customHeight="1">
      <c r="A17" s="724" t="s">
        <v>587</v>
      </c>
      <c r="B17" s="724"/>
      <c r="C17" s="724"/>
      <c r="D17" s="724"/>
      <c r="E17" s="724"/>
      <c r="F17" s="724"/>
      <c r="G17" s="724"/>
      <c r="H17" s="724"/>
    </row>
    <row r="18" spans="1:8" ht="15.75" customHeight="1">
      <c r="A18" s="724"/>
      <c r="B18" s="724"/>
      <c r="C18" s="724"/>
      <c r="D18" s="724"/>
      <c r="E18" s="724"/>
      <c r="F18" s="724"/>
      <c r="G18" s="724"/>
      <c r="H18" s="724"/>
    </row>
    <row r="19" spans="1:8" ht="9" customHeight="1">
      <c r="A19" s="22"/>
      <c r="B19" s="24"/>
      <c r="C19" s="24"/>
      <c r="D19" s="24"/>
      <c r="E19" s="24"/>
      <c r="F19" s="24"/>
      <c r="G19" s="24"/>
      <c r="H19" s="36"/>
    </row>
    <row r="20" spans="1:8" ht="15.75" customHeight="1">
      <c r="A20" s="724" t="str">
        <f>CONCATENATE("Whereas, ",(inputPrYr!C3)," provides the essential services to protect the health, safety, and well being of the citizens of the county; and")</f>
        <v>Whereas, MORRIS COUNTY provides the essential services to protect the health, safety, and well being of the citizens of the county; and</v>
      </c>
      <c r="B20" s="724"/>
      <c r="C20" s="724"/>
      <c r="D20" s="724"/>
      <c r="E20" s="724"/>
      <c r="F20" s="724"/>
      <c r="G20" s="724"/>
      <c r="H20" s="724"/>
    </row>
    <row r="21" spans="1:8" ht="15.75" customHeight="1">
      <c r="A21" s="724"/>
      <c r="B21" s="724"/>
      <c r="C21" s="724"/>
      <c r="D21" s="724"/>
      <c r="E21" s="724"/>
      <c r="F21" s="724"/>
      <c r="G21" s="724"/>
      <c r="H21" s="724"/>
    </row>
    <row r="22" spans="1:8" ht="9" customHeight="1">
      <c r="A22" s="24"/>
      <c r="B22" s="24"/>
      <c r="C22" s="24"/>
      <c r="D22" s="24"/>
      <c r="E22" s="24"/>
      <c r="F22" s="24"/>
      <c r="G22" s="24"/>
      <c r="H22" s="36"/>
    </row>
    <row r="23" spans="1:8" ht="15.75" customHeight="1">
      <c r="A23" s="24" t="s">
        <v>588</v>
      </c>
      <c r="B23" s="24"/>
      <c r="C23" s="24"/>
      <c r="D23" s="24"/>
      <c r="E23" s="24"/>
      <c r="F23" s="24"/>
      <c r="G23" s="24"/>
      <c r="H23" s="36"/>
    </row>
    <row r="24" spans="1:8" ht="9" customHeight="1">
      <c r="A24" s="22"/>
      <c r="B24" s="24"/>
      <c r="C24" s="24"/>
      <c r="D24" s="24"/>
      <c r="E24" s="24"/>
      <c r="F24" s="24"/>
      <c r="G24" s="24"/>
      <c r="H24" s="36"/>
    </row>
    <row r="25" spans="1:8" ht="15.75" customHeight="1">
      <c r="A25" s="724" t="str">
        <f>CONCATENATE("Whereas, the ",inputPrYr!C5-1," Kansas State Legislature failed to fulfill its obligations in regard to the statutory funding of demand transfers and, by significantly ",A28," ",(inputPrYr!C3),B28)</f>
        <v>Whereas, the 2011 Kansas State Legislature failed to fulfill its obligations in regard to the statutory funding of demand transfers and, by significantly limiting state revenue sharing payments to counties, has contributed to higher county property tax levies to finance the 2012 MORRIS COUNTY budget.</v>
      </c>
      <c r="B25" s="724"/>
      <c r="C25" s="724"/>
      <c r="D25" s="724"/>
      <c r="E25" s="724"/>
      <c r="F25" s="724"/>
      <c r="G25" s="724"/>
      <c r="H25" s="724"/>
    </row>
    <row r="26" spans="1:8" ht="15.75" customHeight="1">
      <c r="A26" s="724"/>
      <c r="B26" s="724"/>
      <c r="C26" s="724"/>
      <c r="D26" s="724"/>
      <c r="E26" s="724"/>
      <c r="F26" s="724"/>
      <c r="G26" s="724"/>
      <c r="H26" s="724"/>
    </row>
    <row r="27" spans="1:8" ht="24.75" customHeight="1">
      <c r="A27" s="724"/>
      <c r="B27" s="724"/>
      <c r="C27" s="724"/>
      <c r="D27" s="724"/>
      <c r="E27" s="724"/>
      <c r="F27" s="724"/>
      <c r="G27" s="724"/>
      <c r="H27" s="724"/>
    </row>
    <row r="28" spans="1:8" ht="9" customHeight="1" hidden="1">
      <c r="A28" s="26" t="str">
        <f>CONCATENATE("limiting state revenue sharing payments to counties, has contributed to higher county property tax levies to finance the ",inputPrYr!C5,"")</f>
        <v>limiting state revenue sharing payments to counties, has contributed to higher county property tax levies to finance the 2012</v>
      </c>
      <c r="B28" s="26" t="s">
        <v>213</v>
      </c>
      <c r="C28" s="18"/>
      <c r="D28" s="18"/>
      <c r="E28" s="18"/>
      <c r="F28" s="18"/>
      <c r="G28" s="18"/>
      <c r="H28" s="38"/>
    </row>
    <row r="29" spans="1:8" ht="15.75" customHeight="1">
      <c r="A29" s="724" t="str">
        <f>CONCATENATE("NOW, THEREFORE, BE IT RESOLVED by the Board of ",(inputPrYr!C3)," Commissioners that is our desire to notify the public of the possibility of increased property taxes to finance the ",inputPrYr!C5," ",(inputPrYr!C3)," budget due to the above mentioned constraints, and that all persons are invited and encouraged to attend budget meeting conducted by the Board of ",(inputPrYr!C3)," Commissioners.  The date and time of budget hearings with the Board of ",(inputPrYr!C3),A70,)</f>
        <v>NOW, THEREFORE, BE IT RESOLVED by the Board of MORRIS COUNTY Commissioners that is our desire to notify the public of the possibility of increased property taxes to finance the 2012 MORRIS COUNTY budget due to the above mentioned constraints, and that all persons are invited and encouraged to attend budget meeting conducted by the Board of MORRIS COUNTY Commissioners.  The date and time of budget hearings with the Board of MORRIS COUNTYCommissioners will be published in the (newspaper). Interested persons can also address questions concerning the budget to (office) by calling (number) between the hours of ____a.m. to ____p.m., Monday through Friday, excluding holidays.</v>
      </c>
      <c r="B29" s="724"/>
      <c r="C29" s="724"/>
      <c r="D29" s="724"/>
      <c r="E29" s="724"/>
      <c r="F29" s="724"/>
      <c r="G29" s="724"/>
      <c r="H29" s="724"/>
    </row>
    <row r="30" spans="1:8" ht="15.75" customHeight="1">
      <c r="A30" s="724"/>
      <c r="B30" s="724"/>
      <c r="C30" s="724"/>
      <c r="D30" s="724"/>
      <c r="E30" s="724"/>
      <c r="F30" s="724"/>
      <c r="G30" s="724"/>
      <c r="H30" s="724"/>
    </row>
    <row r="31" spans="1:8" ht="15.75" customHeight="1">
      <c r="A31" s="724"/>
      <c r="B31" s="724"/>
      <c r="C31" s="724"/>
      <c r="D31" s="724"/>
      <c r="E31" s="724"/>
      <c r="F31" s="724"/>
      <c r="G31" s="724"/>
      <c r="H31" s="724"/>
    </row>
    <row r="32" spans="1:8" ht="15.75" customHeight="1">
      <c r="A32" s="724"/>
      <c r="B32" s="724"/>
      <c r="C32" s="724"/>
      <c r="D32" s="724"/>
      <c r="E32" s="724"/>
      <c r="F32" s="724"/>
      <c r="G32" s="724"/>
      <c r="H32" s="724"/>
    </row>
    <row r="33" spans="1:8" ht="15.75" customHeight="1">
      <c r="A33" s="724"/>
      <c r="B33" s="724"/>
      <c r="C33" s="724"/>
      <c r="D33" s="724"/>
      <c r="E33" s="724"/>
      <c r="F33" s="724"/>
      <c r="G33" s="724"/>
      <c r="H33" s="724"/>
    </row>
    <row r="34" spans="1:8" ht="15.75" customHeight="1">
      <c r="A34" s="724"/>
      <c r="B34" s="724"/>
      <c r="C34" s="724"/>
      <c r="D34" s="724"/>
      <c r="E34" s="724"/>
      <c r="F34" s="724"/>
      <c r="G34" s="724"/>
      <c r="H34" s="724"/>
    </row>
    <row r="35" spans="1:8" ht="15.75" customHeight="1">
      <c r="A35" s="724"/>
      <c r="B35" s="724"/>
      <c r="C35" s="724"/>
      <c r="D35" s="724"/>
      <c r="E35" s="724"/>
      <c r="F35" s="724"/>
      <c r="G35" s="724"/>
      <c r="H35" s="724"/>
    </row>
    <row r="36" spans="1:8" ht="15.75" customHeight="1">
      <c r="A36" s="724"/>
      <c r="B36" s="724"/>
      <c r="C36" s="724"/>
      <c r="D36" s="724"/>
      <c r="E36" s="724"/>
      <c r="F36" s="724"/>
      <c r="G36" s="724"/>
      <c r="H36" s="724"/>
    </row>
    <row r="37" spans="1:8" ht="15.75" customHeight="1">
      <c r="A37" s="724"/>
      <c r="B37" s="724"/>
      <c r="C37" s="724"/>
      <c r="D37" s="724"/>
      <c r="E37" s="724"/>
      <c r="F37" s="724"/>
      <c r="G37" s="724"/>
      <c r="H37" s="724"/>
    </row>
    <row r="38" spans="1:8" ht="15.75" customHeight="1">
      <c r="A38" s="25"/>
      <c r="B38" s="18"/>
      <c r="C38" s="18"/>
      <c r="D38" s="18"/>
      <c r="E38" s="18"/>
      <c r="F38" s="18"/>
      <c r="G38" s="18"/>
      <c r="H38" s="38"/>
    </row>
    <row r="39" spans="1:8" ht="15.75" customHeight="1">
      <c r="A39" s="723" t="str">
        <f>CONCATENATE("                                                 Adopted this _________ day of ___________, ",inputPrYr!C5-1," by the Board of ",(inputPrYr!C3)," Commissioners.")</f>
        <v>                                                 Adopted this _________ day of ___________, 2011 by the Board of MORRIS COUNTY Commissioners.</v>
      </c>
      <c r="B39" s="723"/>
      <c r="C39" s="723"/>
      <c r="D39" s="723"/>
      <c r="E39" s="723"/>
      <c r="F39" s="723"/>
      <c r="G39" s="723"/>
      <c r="H39" s="723"/>
    </row>
    <row r="40" spans="1:8" ht="15.75" customHeight="1">
      <c r="A40" s="723"/>
      <c r="B40" s="723"/>
      <c r="C40" s="723"/>
      <c r="D40" s="723"/>
      <c r="E40" s="723"/>
      <c r="F40" s="723"/>
      <c r="G40" s="723"/>
      <c r="H40" s="723"/>
    </row>
    <row r="41" spans="1:8" ht="15.75" customHeight="1">
      <c r="A41" s="18"/>
      <c r="B41" s="18"/>
      <c r="C41" s="18"/>
      <c r="D41" s="18"/>
      <c r="E41" s="725" t="s">
        <v>583</v>
      </c>
      <c r="F41" s="725"/>
      <c r="G41" s="725"/>
      <c r="H41" s="725"/>
    </row>
    <row r="42" spans="1:8" ht="15.75" customHeight="1">
      <c r="A42" s="18"/>
      <c r="B42" s="18"/>
      <c r="C42" s="18"/>
      <c r="D42" s="18"/>
      <c r="E42" s="725"/>
      <c r="F42" s="725"/>
      <c r="G42" s="725"/>
      <c r="H42" s="725"/>
    </row>
    <row r="43" spans="1:8" ht="15.75" customHeight="1">
      <c r="A43" s="18"/>
      <c r="B43" s="18"/>
      <c r="C43" s="18"/>
      <c r="D43" s="18"/>
      <c r="E43" s="725" t="s">
        <v>580</v>
      </c>
      <c r="F43" s="725"/>
      <c r="G43" s="725"/>
      <c r="H43" s="725"/>
    </row>
    <row r="44" spans="1:8" ht="15.75" customHeight="1">
      <c r="A44" s="18"/>
      <c r="B44" s="18"/>
      <c r="C44" s="18"/>
      <c r="D44" s="18"/>
      <c r="E44" s="725"/>
      <c r="F44" s="725"/>
      <c r="G44" s="725"/>
      <c r="H44" s="725"/>
    </row>
    <row r="45" spans="1:8" ht="15.75" customHeight="1">
      <c r="A45" s="18"/>
      <c r="B45" s="18"/>
      <c r="C45" s="18"/>
      <c r="D45" s="18"/>
      <c r="E45" s="725" t="s">
        <v>580</v>
      </c>
      <c r="F45" s="725"/>
      <c r="G45" s="725"/>
      <c r="H45" s="725"/>
    </row>
    <row r="46" spans="1:8" ht="15.75" customHeight="1">
      <c r="A46" s="18"/>
      <c r="B46" s="18"/>
      <c r="C46" s="18"/>
      <c r="D46" s="18"/>
      <c r="E46" s="725"/>
      <c r="F46" s="725"/>
      <c r="G46" s="725"/>
      <c r="H46" s="725"/>
    </row>
    <row r="47" spans="1:8" ht="15.75" customHeight="1">
      <c r="A47" s="18"/>
      <c r="B47" s="18"/>
      <c r="C47" s="18"/>
      <c r="D47" s="18"/>
      <c r="E47" s="725" t="s">
        <v>580</v>
      </c>
      <c r="F47" s="725"/>
      <c r="G47" s="725"/>
      <c r="H47" s="725"/>
    </row>
    <row r="48" spans="1:8" ht="15.75" customHeight="1">
      <c r="A48" s="18"/>
      <c r="B48" s="18"/>
      <c r="C48" s="18"/>
      <c r="D48" s="18"/>
      <c r="E48" s="18"/>
      <c r="F48" s="18"/>
      <c r="G48" s="18"/>
      <c r="H48" s="38"/>
    </row>
    <row r="49" spans="1:8" ht="15.75" customHeight="1">
      <c r="A49" s="18" t="s">
        <v>584</v>
      </c>
      <c r="B49" s="18"/>
      <c r="C49" s="18"/>
      <c r="D49" s="18"/>
      <c r="E49" s="18"/>
      <c r="F49" s="18"/>
      <c r="G49" s="18"/>
      <c r="H49" s="38"/>
    </row>
    <row r="50" spans="1:8" ht="15.75" customHeight="1">
      <c r="A50" s="18"/>
      <c r="B50" s="18"/>
      <c r="C50" s="18"/>
      <c r="D50" s="18"/>
      <c r="E50" s="18"/>
      <c r="F50" s="18"/>
      <c r="G50" s="18"/>
      <c r="H50" s="38"/>
    </row>
    <row r="51" spans="1:8" ht="15.75" customHeight="1">
      <c r="A51" s="17" t="s">
        <v>585</v>
      </c>
      <c r="B51" s="17"/>
      <c r="C51" s="17"/>
      <c r="D51" s="17"/>
      <c r="E51" s="17"/>
      <c r="F51" s="17"/>
      <c r="G51" s="18"/>
      <c r="H51" s="38"/>
    </row>
    <row r="52" spans="1:8" ht="15.75" customHeight="1">
      <c r="A52" s="725" t="s">
        <v>586</v>
      </c>
      <c r="B52" s="725"/>
      <c r="C52" s="725"/>
      <c r="D52" s="17"/>
      <c r="E52" s="17"/>
      <c r="F52" s="17"/>
      <c r="G52" s="18"/>
      <c r="H52" s="38"/>
    </row>
    <row r="53" spans="1:8" ht="15.75" customHeight="1">
      <c r="A53" s="17"/>
      <c r="B53" s="17"/>
      <c r="C53" s="17"/>
      <c r="D53" s="17"/>
      <c r="E53" s="17"/>
      <c r="F53" s="17"/>
      <c r="G53" s="18"/>
      <c r="H53" s="38"/>
    </row>
    <row r="54" spans="1:8" ht="15.75" customHeight="1">
      <c r="A54" s="17"/>
      <c r="B54" s="17"/>
      <c r="C54" s="17"/>
      <c r="D54" s="17"/>
      <c r="E54" s="17"/>
      <c r="F54" s="17"/>
      <c r="G54" s="18"/>
      <c r="H54" s="38"/>
    </row>
    <row r="55" spans="1:8" ht="15.75" customHeight="1">
      <c r="A55" s="17" t="s">
        <v>581</v>
      </c>
      <c r="B55" s="17"/>
      <c r="C55" s="17"/>
      <c r="D55" s="39" t="s">
        <v>477</v>
      </c>
      <c r="E55" s="46"/>
      <c r="F55" s="17"/>
      <c r="G55" s="18"/>
      <c r="H55" s="38"/>
    </row>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c r="A70" s="47" t="s">
        <v>408</v>
      </c>
    </row>
    <row r="71" ht="15" customHeight="1"/>
    <row r="72" ht="15" customHeight="1"/>
  </sheetData>
  <sheetProtection sheet="1" objects="1" scenarios="1"/>
  <mergeCells count="16">
    <mergeCell ref="E47:H47"/>
    <mergeCell ref="A52:C52"/>
    <mergeCell ref="E41:H41"/>
    <mergeCell ref="E42:H42"/>
    <mergeCell ref="E43:H43"/>
    <mergeCell ref="E44:H44"/>
    <mergeCell ref="E45:H45"/>
    <mergeCell ref="E46:H46"/>
    <mergeCell ref="A2:H2"/>
    <mergeCell ref="A4:H4"/>
    <mergeCell ref="A39:H40"/>
    <mergeCell ref="A10:H15"/>
    <mergeCell ref="A29:H37"/>
    <mergeCell ref="A17:H18"/>
    <mergeCell ref="A20:H21"/>
    <mergeCell ref="A25:H27"/>
  </mergeCells>
  <printOptions/>
  <pageMargins left="0.37" right="0.27" top="0.5" bottom="0.51" header="0.5" footer="0.5"/>
  <pageSetup blackAndWhite="1" horizontalDpi="600" verticalDpi="600" orientation="portrait" r:id="rId1"/>
</worksheet>
</file>

<file path=xl/worksheets/sheet43.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A3" sqref="A3"/>
    </sheetView>
  </sheetViews>
  <sheetFormatPr defaultColWidth="8.796875" defaultRowHeight="15"/>
  <cols>
    <col min="1" max="1" width="71.296875" style="0" customWidth="1"/>
  </cols>
  <sheetData>
    <row r="3" spans="1:12" ht="15">
      <c r="A3" s="427" t="s">
        <v>674</v>
      </c>
      <c r="B3" s="427"/>
      <c r="C3" s="427"/>
      <c r="D3" s="427"/>
      <c r="E3" s="427"/>
      <c r="F3" s="427"/>
      <c r="G3" s="427"/>
      <c r="H3" s="427"/>
      <c r="I3" s="427"/>
      <c r="J3" s="427"/>
      <c r="K3" s="427"/>
      <c r="L3" s="427"/>
    </row>
    <row r="5" ht="15">
      <c r="A5" s="426" t="s">
        <v>0</v>
      </c>
    </row>
    <row r="6" ht="15">
      <c r="A6" s="426" t="str">
        <f>CONCATENATE(inputPrYr!C5-2," 'total expenditures' exceed your ",inputPrYr!C5-2," 'budget authority.'")</f>
        <v>2010 'total expenditures' exceed your 2010 'budget authority.'</v>
      </c>
    </row>
    <row r="7" ht="15">
      <c r="A7" s="426"/>
    </row>
    <row r="8" ht="15">
      <c r="A8" s="426" t="s">
        <v>1</v>
      </c>
    </row>
    <row r="9" ht="15">
      <c r="A9" s="426" t="s">
        <v>2</v>
      </c>
    </row>
    <row r="10" ht="15">
      <c r="A10" s="426" t="s">
        <v>3</v>
      </c>
    </row>
    <row r="11" ht="15">
      <c r="A11" s="426"/>
    </row>
    <row r="12" ht="15">
      <c r="A12" s="426"/>
    </row>
    <row r="13" ht="15">
      <c r="A13" s="425" t="s">
        <v>4</v>
      </c>
    </row>
    <row r="15" ht="15">
      <c r="A15" s="426" t="s">
        <v>5</v>
      </c>
    </row>
    <row r="16" ht="15">
      <c r="A16" s="426" t="str">
        <f>CONCATENATE("(i.e. an audit has not been completed, or the ",inputPrYr!C5," adopted")</f>
        <v>(i.e. an audit has not been completed, or the 2012 adopted</v>
      </c>
    </row>
    <row r="17" ht="15">
      <c r="A17" s="426" t="s">
        <v>6</v>
      </c>
    </row>
    <row r="18" ht="15">
      <c r="A18" s="426" t="s">
        <v>7</v>
      </c>
    </row>
    <row r="19" ht="15">
      <c r="A19" s="426" t="s">
        <v>8</v>
      </c>
    </row>
    <row r="21" ht="15">
      <c r="A21" s="425" t="s">
        <v>9</v>
      </c>
    </row>
    <row r="22" ht="15">
      <c r="A22" s="425"/>
    </row>
    <row r="23" ht="15">
      <c r="A23" s="426" t="s">
        <v>10</v>
      </c>
    </row>
    <row r="24" ht="15">
      <c r="A24" s="426" t="s">
        <v>11</v>
      </c>
    </row>
    <row r="25" ht="15">
      <c r="A25" s="426" t="str">
        <f>CONCATENATE("particular fund.  If your ",inputPrYr!C5-2," budget was amended, did you")</f>
        <v>particular fund.  If your 2010 budget was amended, did you</v>
      </c>
    </row>
    <row r="26" ht="15">
      <c r="A26" s="426" t="s">
        <v>12</v>
      </c>
    </row>
    <row r="27" ht="15">
      <c r="A27" s="426"/>
    </row>
    <row r="28" ht="15">
      <c r="A28" s="426" t="str">
        <f>CONCATENATE("Next, look to see if any of your ",inputPrYr!C5-2," expenditures can be")</f>
        <v>Next, look to see if any of your 2010 expenditures can be</v>
      </c>
    </row>
    <row r="29" ht="15">
      <c r="A29" s="426" t="s">
        <v>13</v>
      </c>
    </row>
    <row r="30" ht="15">
      <c r="A30" s="426" t="s">
        <v>14</v>
      </c>
    </row>
    <row r="31" ht="15">
      <c r="A31" s="426" t="s">
        <v>15</v>
      </c>
    </row>
    <row r="32" ht="15">
      <c r="A32" s="426"/>
    </row>
    <row r="33" ht="15">
      <c r="A33" s="426" t="str">
        <f>CONCATENATE("Additionally, do your ",inputPrYr!C5-2," receipts contain a reimbursement")</f>
        <v>Additionally, do your 2010 receipts contain a reimbursement</v>
      </c>
    </row>
    <row r="34" ht="15">
      <c r="A34" s="426" t="s">
        <v>16</v>
      </c>
    </row>
    <row r="35" ht="15">
      <c r="A35" s="426" t="s">
        <v>17</v>
      </c>
    </row>
    <row r="36" ht="15">
      <c r="A36" s="426"/>
    </row>
    <row r="37" ht="15">
      <c r="A37" s="426" t="s">
        <v>18</v>
      </c>
    </row>
    <row r="38" ht="15">
      <c r="A38" s="426" t="s">
        <v>150</v>
      </c>
    </row>
    <row r="39" ht="15">
      <c r="A39" s="426" t="s">
        <v>151</v>
      </c>
    </row>
    <row r="40" ht="15">
      <c r="A40" s="426" t="s">
        <v>152</v>
      </c>
    </row>
    <row r="41" ht="15">
      <c r="A41" s="426" t="s">
        <v>154</v>
      </c>
    </row>
    <row r="42" ht="15">
      <c r="A42" s="426" t="s">
        <v>153</v>
      </c>
    </row>
    <row r="43" ht="15">
      <c r="A43" s="426" t="s">
        <v>19</v>
      </c>
    </row>
    <row r="44" ht="15">
      <c r="A44" s="426" t="s">
        <v>20</v>
      </c>
    </row>
    <row r="45" ht="15">
      <c r="A45" s="426"/>
    </row>
    <row r="46" ht="15">
      <c r="A46" s="426" t="s">
        <v>21</v>
      </c>
    </row>
    <row r="47" ht="15">
      <c r="A47" s="426" t="s">
        <v>22</v>
      </c>
    </row>
    <row r="48" ht="15">
      <c r="A48" s="426" t="s">
        <v>23</v>
      </c>
    </row>
    <row r="49" ht="15">
      <c r="A49" s="426"/>
    </row>
    <row r="50" ht="15">
      <c r="A50" s="426" t="s">
        <v>655</v>
      </c>
    </row>
    <row r="51" ht="15">
      <c r="A51" s="426" t="s">
        <v>656</v>
      </c>
    </row>
    <row r="52" ht="15">
      <c r="A52" s="426" t="s">
        <v>657</v>
      </c>
    </row>
    <row r="53" ht="15">
      <c r="A53" s="426"/>
    </row>
    <row r="54" ht="15">
      <c r="A54" s="425" t="s">
        <v>658</v>
      </c>
    </row>
    <row r="55" ht="15">
      <c r="A55" s="426"/>
    </row>
    <row r="56" ht="15">
      <c r="A56" s="426" t="s">
        <v>659</v>
      </c>
    </row>
    <row r="57" ht="15">
      <c r="A57" s="426" t="s">
        <v>286</v>
      </c>
    </row>
    <row r="58" ht="15">
      <c r="A58" s="426" t="s">
        <v>287</v>
      </c>
    </row>
    <row r="59" ht="15">
      <c r="A59" s="426" t="s">
        <v>288</v>
      </c>
    </row>
    <row r="60" ht="15">
      <c r="A60" s="426" t="s">
        <v>289</v>
      </c>
    </row>
    <row r="61" ht="15">
      <c r="A61" s="426" t="s">
        <v>290</v>
      </c>
    </row>
    <row r="62" ht="15">
      <c r="A62" s="426" t="s">
        <v>291</v>
      </c>
    </row>
    <row r="63" ht="15">
      <c r="A63" s="426" t="s">
        <v>675</v>
      </c>
    </row>
    <row r="64" ht="15">
      <c r="A64" s="426" t="s">
        <v>676</v>
      </c>
    </row>
    <row r="65" ht="15">
      <c r="A65" s="426" t="s">
        <v>677</v>
      </c>
    </row>
    <row r="66" ht="15">
      <c r="A66" s="426" t="s">
        <v>678</v>
      </c>
    </row>
    <row r="67" ht="15">
      <c r="A67" s="426" t="s">
        <v>679</v>
      </c>
    </row>
    <row r="68" ht="15">
      <c r="A68" s="426" t="s">
        <v>680</v>
      </c>
    </row>
    <row r="69" ht="15">
      <c r="A69" s="426"/>
    </row>
    <row r="70" ht="15">
      <c r="A70" s="426" t="s">
        <v>681</v>
      </c>
    </row>
    <row r="71" ht="15">
      <c r="A71" s="426" t="s">
        <v>682</v>
      </c>
    </row>
    <row r="72" ht="15">
      <c r="A72" s="426" t="s">
        <v>683</v>
      </c>
    </row>
    <row r="73" ht="15">
      <c r="A73" s="426"/>
    </row>
    <row r="74" ht="15">
      <c r="A74" s="425" t="str">
        <f>CONCATENATE("What if the ",inputPrYr!C5-2," financial records have been closed?")</f>
        <v>What if the 2010 financial records have been closed?</v>
      </c>
    </row>
    <row r="76" ht="15">
      <c r="A76" s="426" t="s">
        <v>684</v>
      </c>
    </row>
    <row r="77" ht="15">
      <c r="A77" s="426" t="str">
        <f>CONCATENATE("(i.e. an audit for ",inputPrYr!C5-2," has been completed, or the ",inputPrYr!C5)</f>
        <v>(i.e. an audit for 2010 has been completed, or the 2012</v>
      </c>
    </row>
    <row r="78" ht="15">
      <c r="A78" s="426" t="s">
        <v>685</v>
      </c>
    </row>
    <row r="79" ht="15">
      <c r="A79" s="426" t="s">
        <v>686</v>
      </c>
    </row>
    <row r="80" ht="15">
      <c r="A80" s="426"/>
    </row>
    <row r="81" ht="15">
      <c r="A81" s="426" t="s">
        <v>687</v>
      </c>
    </row>
    <row r="82" ht="15">
      <c r="A82" s="426" t="s">
        <v>688</v>
      </c>
    </row>
    <row r="83" ht="15">
      <c r="A83" s="426" t="s">
        <v>689</v>
      </c>
    </row>
    <row r="84" ht="15">
      <c r="A84" s="426"/>
    </row>
    <row r="85" ht="15">
      <c r="A85" s="426" t="s">
        <v>690</v>
      </c>
    </row>
  </sheetData>
  <sheetProtection sheet="1"/>
  <printOptions/>
  <pageMargins left="0.7" right="0.7" top="0.75" bottom="0.75" header="0.3" footer="0.3"/>
  <pageSetup horizontalDpi="600" verticalDpi="600" orientation="portrait" r:id="rId1"/>
</worksheet>
</file>

<file path=xl/worksheets/sheet44.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3" sqref="A3"/>
    </sheetView>
  </sheetViews>
  <sheetFormatPr defaultColWidth="8.796875" defaultRowHeight="15"/>
  <cols>
    <col min="1" max="1" width="71.296875" style="0" customWidth="1"/>
  </cols>
  <sheetData>
    <row r="3" spans="1:10" ht="15">
      <c r="A3" s="427" t="s">
        <v>691</v>
      </c>
      <c r="B3" s="427"/>
      <c r="C3" s="427"/>
      <c r="D3" s="427"/>
      <c r="E3" s="427"/>
      <c r="F3" s="427"/>
      <c r="G3" s="427"/>
      <c r="H3" s="428"/>
      <c r="I3" s="428"/>
      <c r="J3" s="428"/>
    </row>
    <row r="5" ht="15">
      <c r="A5" s="426" t="s">
        <v>692</v>
      </c>
    </row>
    <row r="6" ht="15">
      <c r="A6" t="str">
        <f>CONCATENATE(inputPrYr!C5-2," expenditures show that you finished the year with a ")</f>
        <v>2010 expenditures show that you finished the year with a </v>
      </c>
    </row>
    <row r="7" ht="15">
      <c r="A7" t="s">
        <v>693</v>
      </c>
    </row>
    <row r="9" ht="15">
      <c r="A9" t="s">
        <v>694</v>
      </c>
    </row>
    <row r="10" ht="15">
      <c r="A10" t="s">
        <v>695</v>
      </c>
    </row>
    <row r="11" ht="15">
      <c r="A11" t="s">
        <v>696</v>
      </c>
    </row>
    <row r="13" ht="15">
      <c r="A13" s="425" t="s">
        <v>697</v>
      </c>
    </row>
    <row r="14" ht="15">
      <c r="A14" s="425"/>
    </row>
    <row r="15" ht="15">
      <c r="A15" s="426" t="s">
        <v>698</v>
      </c>
    </row>
    <row r="16" ht="15">
      <c r="A16" s="426" t="s">
        <v>699</v>
      </c>
    </row>
    <row r="17" ht="15">
      <c r="A17" s="426" t="s">
        <v>700</v>
      </c>
    </row>
    <row r="18" ht="15">
      <c r="A18" s="426"/>
    </row>
    <row r="19" ht="15">
      <c r="A19" s="425" t="s">
        <v>701</v>
      </c>
    </row>
    <row r="20" ht="15">
      <c r="A20" s="425"/>
    </row>
    <row r="21" ht="15">
      <c r="A21" s="426" t="s">
        <v>702</v>
      </c>
    </row>
    <row r="22" ht="15">
      <c r="A22" s="426" t="s">
        <v>703</v>
      </c>
    </row>
    <row r="23" ht="15">
      <c r="A23" s="426" t="s">
        <v>377</v>
      </c>
    </row>
    <row r="24" ht="15">
      <c r="A24" s="426"/>
    </row>
    <row r="25" ht="15">
      <c r="A25" s="425" t="s">
        <v>378</v>
      </c>
    </row>
    <row r="26" ht="15">
      <c r="A26" s="425"/>
    </row>
    <row r="27" ht="15">
      <c r="A27" s="426" t="s">
        <v>379</v>
      </c>
    </row>
    <row r="28" ht="15">
      <c r="A28" s="426" t="s">
        <v>380</v>
      </c>
    </row>
    <row r="29" ht="15">
      <c r="A29" s="426" t="s">
        <v>381</v>
      </c>
    </row>
    <row r="30" ht="15">
      <c r="A30" s="426"/>
    </row>
    <row r="31" ht="15">
      <c r="A31" s="425" t="s">
        <v>382</v>
      </c>
    </row>
    <row r="32" ht="15">
      <c r="A32" s="425"/>
    </row>
    <row r="33" spans="1:8" ht="15">
      <c r="A33" s="426" t="str">
        <f>CONCATENATE("If your financial records for ",inputPrYr!C5-2," are not closed")</f>
        <v>If your financial records for 2010 are not closed</v>
      </c>
      <c r="B33" s="426"/>
      <c r="C33" s="426"/>
      <c r="D33" s="426"/>
      <c r="E33" s="426"/>
      <c r="F33" s="426"/>
      <c r="G33" s="426"/>
      <c r="H33" s="426"/>
    </row>
    <row r="34" spans="1:8" ht="15">
      <c r="A34" s="426" t="str">
        <f>CONCATENATE("(i.e. an audit has not been completed, or the ",inputPrYr!C5," adopted ")</f>
        <v>(i.e. an audit has not been completed, or the 2012 adopted </v>
      </c>
      <c r="B34" s="426"/>
      <c r="C34" s="426"/>
      <c r="D34" s="426"/>
      <c r="E34" s="426"/>
      <c r="F34" s="426"/>
      <c r="G34" s="426"/>
      <c r="H34" s="426"/>
    </row>
    <row r="35" spans="1:8" ht="15">
      <c r="A35" s="426" t="s">
        <v>383</v>
      </c>
      <c r="B35" s="426"/>
      <c r="C35" s="426"/>
      <c r="D35" s="426"/>
      <c r="E35" s="426"/>
      <c r="F35" s="426"/>
      <c r="G35" s="426"/>
      <c r="H35" s="426"/>
    </row>
    <row r="36" spans="1:8" ht="15">
      <c r="A36" s="426" t="s">
        <v>384</v>
      </c>
      <c r="B36" s="426"/>
      <c r="C36" s="426"/>
      <c r="D36" s="426"/>
      <c r="E36" s="426"/>
      <c r="F36" s="426"/>
      <c r="G36" s="426"/>
      <c r="H36" s="426"/>
    </row>
    <row r="37" spans="1:8" ht="15">
      <c r="A37" s="426" t="s">
        <v>385</v>
      </c>
      <c r="B37" s="426"/>
      <c r="C37" s="426"/>
      <c r="D37" s="426"/>
      <c r="E37" s="426"/>
      <c r="F37" s="426"/>
      <c r="G37" s="426"/>
      <c r="H37" s="426"/>
    </row>
    <row r="38" spans="1:8" ht="15">
      <c r="A38" s="426" t="s">
        <v>386</v>
      </c>
      <c r="B38" s="426"/>
      <c r="C38" s="426"/>
      <c r="D38" s="426"/>
      <c r="E38" s="426"/>
      <c r="F38" s="426"/>
      <c r="G38" s="426"/>
      <c r="H38" s="426"/>
    </row>
    <row r="39" spans="1:8" ht="15">
      <c r="A39" s="426" t="s">
        <v>387</v>
      </c>
      <c r="B39" s="426"/>
      <c r="C39" s="426"/>
      <c r="D39" s="426"/>
      <c r="E39" s="426"/>
      <c r="F39" s="426"/>
      <c r="G39" s="426"/>
      <c r="H39" s="426"/>
    </row>
    <row r="40" spans="1:8" ht="15">
      <c r="A40" s="426"/>
      <c r="B40" s="426"/>
      <c r="C40" s="426"/>
      <c r="D40" s="426"/>
      <c r="E40" s="426"/>
      <c r="F40" s="426"/>
      <c r="G40" s="426"/>
      <c r="H40" s="426"/>
    </row>
    <row r="41" spans="1:8" ht="15">
      <c r="A41" s="426" t="s">
        <v>388</v>
      </c>
      <c r="B41" s="426"/>
      <c r="C41" s="426"/>
      <c r="D41" s="426"/>
      <c r="E41" s="426"/>
      <c r="F41" s="426"/>
      <c r="G41" s="426"/>
      <c r="H41" s="426"/>
    </row>
    <row r="42" spans="1:8" ht="15">
      <c r="A42" s="426" t="s">
        <v>389</v>
      </c>
      <c r="B42" s="426"/>
      <c r="C42" s="426"/>
      <c r="D42" s="426"/>
      <c r="E42" s="426"/>
      <c r="F42" s="426"/>
      <c r="G42" s="426"/>
      <c r="H42" s="426"/>
    </row>
    <row r="43" spans="1:8" ht="15">
      <c r="A43" s="426" t="s">
        <v>390</v>
      </c>
      <c r="B43" s="426"/>
      <c r="C43" s="426"/>
      <c r="D43" s="426"/>
      <c r="E43" s="426"/>
      <c r="F43" s="426"/>
      <c r="G43" s="426"/>
      <c r="H43" s="426"/>
    </row>
    <row r="44" spans="1:8" ht="15">
      <c r="A44" s="426" t="s">
        <v>391</v>
      </c>
      <c r="B44" s="426"/>
      <c r="C44" s="426"/>
      <c r="D44" s="426"/>
      <c r="E44" s="426"/>
      <c r="F44" s="426"/>
      <c r="G44" s="426"/>
      <c r="H44" s="426"/>
    </row>
    <row r="45" spans="1:8" ht="15">
      <c r="A45" s="426"/>
      <c r="B45" s="426"/>
      <c r="C45" s="426"/>
      <c r="D45" s="426"/>
      <c r="E45" s="426"/>
      <c r="F45" s="426"/>
      <c r="G45" s="426"/>
      <c r="H45" s="426"/>
    </row>
    <row r="46" spans="1:8" ht="15">
      <c r="A46" s="426" t="s">
        <v>392</v>
      </c>
      <c r="B46" s="426"/>
      <c r="C46" s="426"/>
      <c r="D46" s="426"/>
      <c r="E46" s="426"/>
      <c r="F46" s="426"/>
      <c r="G46" s="426"/>
      <c r="H46" s="426"/>
    </row>
    <row r="47" spans="1:8" ht="15">
      <c r="A47" s="426" t="s">
        <v>393</v>
      </c>
      <c r="B47" s="426"/>
      <c r="C47" s="426"/>
      <c r="D47" s="426"/>
      <c r="E47" s="426"/>
      <c r="F47" s="426"/>
      <c r="G47" s="426"/>
      <c r="H47" s="426"/>
    </row>
    <row r="48" spans="1:8" ht="15">
      <c r="A48" s="426" t="s">
        <v>394</v>
      </c>
      <c r="B48" s="426"/>
      <c r="C48" s="426"/>
      <c r="D48" s="426"/>
      <c r="E48" s="426"/>
      <c r="F48" s="426"/>
      <c r="G48" s="426"/>
      <c r="H48" s="426"/>
    </row>
    <row r="49" spans="1:8" ht="15">
      <c r="A49" s="426" t="s">
        <v>395</v>
      </c>
      <c r="B49" s="426"/>
      <c r="C49" s="426"/>
      <c r="D49" s="426"/>
      <c r="E49" s="426"/>
      <c r="F49" s="426"/>
      <c r="G49" s="426"/>
      <c r="H49" s="426"/>
    </row>
    <row r="50" spans="1:8" ht="15">
      <c r="A50" s="426" t="s">
        <v>396</v>
      </c>
      <c r="B50" s="426"/>
      <c r="C50" s="426"/>
      <c r="D50" s="426"/>
      <c r="E50" s="426"/>
      <c r="F50" s="426"/>
      <c r="G50" s="426"/>
      <c r="H50" s="426"/>
    </row>
    <row r="51" spans="1:8" ht="15">
      <c r="A51" s="426"/>
      <c r="B51" s="426"/>
      <c r="C51" s="426"/>
      <c r="D51" s="426"/>
      <c r="E51" s="426"/>
      <c r="F51" s="426"/>
      <c r="G51" s="426"/>
      <c r="H51" s="426"/>
    </row>
    <row r="52" spans="1:8" ht="15">
      <c r="A52" s="425" t="s">
        <v>397</v>
      </c>
      <c r="B52" s="425"/>
      <c r="C52" s="425"/>
      <c r="D52" s="425"/>
      <c r="E52" s="425"/>
      <c r="F52" s="425"/>
      <c r="G52" s="425"/>
      <c r="H52" s="426"/>
    </row>
    <row r="53" spans="1:8" ht="15">
      <c r="A53" s="425" t="s">
        <v>398</v>
      </c>
      <c r="B53" s="425"/>
      <c r="C53" s="425"/>
      <c r="D53" s="425"/>
      <c r="E53" s="425"/>
      <c r="F53" s="425"/>
      <c r="G53" s="425"/>
      <c r="H53" s="426"/>
    </row>
    <row r="54" spans="1:8" ht="15">
      <c r="A54" s="426"/>
      <c r="B54" s="426"/>
      <c r="C54" s="426"/>
      <c r="D54" s="426"/>
      <c r="E54" s="426"/>
      <c r="F54" s="426"/>
      <c r="G54" s="426"/>
      <c r="H54" s="426"/>
    </row>
    <row r="55" spans="1:8" ht="15">
      <c r="A55" s="426" t="s">
        <v>399</v>
      </c>
      <c r="B55" s="426"/>
      <c r="C55" s="426"/>
      <c r="D55" s="426"/>
      <c r="E55" s="426"/>
      <c r="F55" s="426"/>
      <c r="G55" s="426"/>
      <c r="H55" s="426"/>
    </row>
    <row r="56" spans="1:8" ht="15">
      <c r="A56" s="426" t="s">
        <v>758</v>
      </c>
      <c r="B56" s="426"/>
      <c r="C56" s="426"/>
      <c r="D56" s="426"/>
      <c r="E56" s="426"/>
      <c r="F56" s="426"/>
      <c r="G56" s="426"/>
      <c r="H56" s="426"/>
    </row>
    <row r="57" spans="1:8" ht="15">
      <c r="A57" s="426" t="s">
        <v>759</v>
      </c>
      <c r="B57" s="426"/>
      <c r="C57" s="426"/>
      <c r="D57" s="426"/>
      <c r="E57" s="426"/>
      <c r="F57" s="426"/>
      <c r="G57" s="426"/>
      <c r="H57" s="426"/>
    </row>
    <row r="58" spans="1:8" ht="15">
      <c r="A58" s="426" t="s">
        <v>760</v>
      </c>
      <c r="B58" s="426"/>
      <c r="C58" s="426"/>
      <c r="D58" s="426"/>
      <c r="E58" s="426"/>
      <c r="F58" s="426"/>
      <c r="G58" s="426"/>
      <c r="H58" s="426"/>
    </row>
    <row r="59" spans="1:8" ht="15">
      <c r="A59" s="426"/>
      <c r="B59" s="426"/>
      <c r="C59" s="426"/>
      <c r="D59" s="426"/>
      <c r="E59" s="426"/>
      <c r="F59" s="426"/>
      <c r="G59" s="426"/>
      <c r="H59" s="426"/>
    </row>
    <row r="60" spans="1:8" ht="15">
      <c r="A60" s="426" t="s">
        <v>761</v>
      </c>
      <c r="B60" s="426"/>
      <c r="C60" s="426"/>
      <c r="D60" s="426"/>
      <c r="E60" s="426"/>
      <c r="F60" s="426"/>
      <c r="G60" s="426"/>
      <c r="H60" s="426"/>
    </row>
    <row r="61" spans="1:8" ht="15">
      <c r="A61" s="426" t="s">
        <v>762</v>
      </c>
      <c r="B61" s="426"/>
      <c r="C61" s="426"/>
      <c r="D61" s="426"/>
      <c r="E61" s="426"/>
      <c r="F61" s="426"/>
      <c r="G61" s="426"/>
      <c r="H61" s="426"/>
    </row>
    <row r="62" spans="1:8" ht="15">
      <c r="A62" s="426" t="s">
        <v>763</v>
      </c>
      <c r="B62" s="426"/>
      <c r="C62" s="426"/>
      <c r="D62" s="426"/>
      <c r="E62" s="426"/>
      <c r="F62" s="426"/>
      <c r="G62" s="426"/>
      <c r="H62" s="426"/>
    </row>
    <row r="63" spans="1:8" ht="15">
      <c r="A63" s="426" t="s">
        <v>764</v>
      </c>
      <c r="B63" s="426"/>
      <c r="C63" s="426"/>
      <c r="D63" s="426"/>
      <c r="E63" s="426"/>
      <c r="F63" s="426"/>
      <c r="G63" s="426"/>
      <c r="H63" s="426"/>
    </row>
    <row r="64" spans="1:8" ht="15">
      <c r="A64" s="426" t="s">
        <v>765</v>
      </c>
      <c r="B64" s="426"/>
      <c r="C64" s="426"/>
      <c r="D64" s="426"/>
      <c r="E64" s="426"/>
      <c r="F64" s="426"/>
      <c r="G64" s="426"/>
      <c r="H64" s="426"/>
    </row>
    <row r="65" spans="1:8" ht="15">
      <c r="A65" s="426" t="s">
        <v>766</v>
      </c>
      <c r="B65" s="426"/>
      <c r="C65" s="426"/>
      <c r="D65" s="426"/>
      <c r="E65" s="426"/>
      <c r="F65" s="426"/>
      <c r="G65" s="426"/>
      <c r="H65" s="426"/>
    </row>
    <row r="66" spans="1:8" ht="15">
      <c r="A66" s="426"/>
      <c r="B66" s="426"/>
      <c r="C66" s="426"/>
      <c r="D66" s="426"/>
      <c r="E66" s="426"/>
      <c r="F66" s="426"/>
      <c r="G66" s="426"/>
      <c r="H66" s="426"/>
    </row>
    <row r="67" spans="1:8" ht="15">
      <c r="A67" s="426" t="s">
        <v>767</v>
      </c>
      <c r="B67" s="426"/>
      <c r="C67" s="426"/>
      <c r="D67" s="426"/>
      <c r="E67" s="426"/>
      <c r="F67" s="426"/>
      <c r="G67" s="426"/>
      <c r="H67" s="426"/>
    </row>
    <row r="68" spans="1:8" ht="15">
      <c r="A68" s="426" t="s">
        <v>768</v>
      </c>
      <c r="B68" s="426"/>
      <c r="C68" s="426"/>
      <c r="D68" s="426"/>
      <c r="E68" s="426"/>
      <c r="F68" s="426"/>
      <c r="G68" s="426"/>
      <c r="H68" s="426"/>
    </row>
    <row r="69" spans="1:8" ht="15">
      <c r="A69" s="426" t="s">
        <v>769</v>
      </c>
      <c r="B69" s="426"/>
      <c r="C69" s="426"/>
      <c r="D69" s="426"/>
      <c r="E69" s="426"/>
      <c r="F69" s="426"/>
      <c r="G69" s="426"/>
      <c r="H69" s="426"/>
    </row>
    <row r="70" spans="1:8" ht="15">
      <c r="A70" s="426" t="s">
        <v>770</v>
      </c>
      <c r="B70" s="426"/>
      <c r="C70" s="426"/>
      <c r="D70" s="426"/>
      <c r="E70" s="426"/>
      <c r="F70" s="426"/>
      <c r="G70" s="426"/>
      <c r="H70" s="426"/>
    </row>
    <row r="71" spans="1:8" ht="15">
      <c r="A71" s="426" t="s">
        <v>771</v>
      </c>
      <c r="B71" s="426"/>
      <c r="C71" s="426"/>
      <c r="D71" s="426"/>
      <c r="E71" s="426"/>
      <c r="F71" s="426"/>
      <c r="G71" s="426"/>
      <c r="H71" s="426"/>
    </row>
    <row r="72" spans="1:8" ht="15">
      <c r="A72" s="426" t="s">
        <v>772</v>
      </c>
      <c r="B72" s="426"/>
      <c r="C72" s="426"/>
      <c r="D72" s="426"/>
      <c r="E72" s="426"/>
      <c r="F72" s="426"/>
      <c r="G72" s="426"/>
      <c r="H72" s="426"/>
    </row>
    <row r="73" spans="1:8" ht="15">
      <c r="A73" s="426" t="s">
        <v>773</v>
      </c>
      <c r="B73" s="426"/>
      <c r="C73" s="426"/>
      <c r="D73" s="426"/>
      <c r="E73" s="426"/>
      <c r="F73" s="426"/>
      <c r="G73" s="426"/>
      <c r="H73" s="426"/>
    </row>
    <row r="74" spans="1:8" ht="15">
      <c r="A74" s="426"/>
      <c r="B74" s="426"/>
      <c r="C74" s="426"/>
      <c r="D74" s="426"/>
      <c r="E74" s="426"/>
      <c r="F74" s="426"/>
      <c r="G74" s="426"/>
      <c r="H74" s="426"/>
    </row>
    <row r="75" spans="1:8" ht="15">
      <c r="A75" s="426" t="s">
        <v>774</v>
      </c>
      <c r="B75" s="426"/>
      <c r="C75" s="426"/>
      <c r="D75" s="426"/>
      <c r="E75" s="426"/>
      <c r="F75" s="426"/>
      <c r="G75" s="426"/>
      <c r="H75" s="426"/>
    </row>
    <row r="76" spans="1:8" ht="15">
      <c r="A76" s="426" t="s">
        <v>775</v>
      </c>
      <c r="B76" s="426"/>
      <c r="C76" s="426"/>
      <c r="D76" s="426"/>
      <c r="E76" s="426"/>
      <c r="F76" s="426"/>
      <c r="G76" s="426"/>
      <c r="H76" s="426"/>
    </row>
    <row r="77" spans="1:8" ht="15">
      <c r="A77" s="426" t="s">
        <v>776</v>
      </c>
      <c r="B77" s="426"/>
      <c r="C77" s="426"/>
      <c r="D77" s="426"/>
      <c r="E77" s="426"/>
      <c r="F77" s="426"/>
      <c r="G77" s="426"/>
      <c r="H77" s="426"/>
    </row>
    <row r="78" spans="1:8" ht="15">
      <c r="A78" s="426"/>
      <c r="B78" s="426"/>
      <c r="C78" s="426"/>
      <c r="D78" s="426"/>
      <c r="E78" s="426"/>
      <c r="F78" s="426"/>
      <c r="G78" s="426"/>
      <c r="H78" s="426"/>
    </row>
    <row r="79" ht="15">
      <c r="A79" s="426" t="s">
        <v>690</v>
      </c>
    </row>
    <row r="80" ht="15">
      <c r="A80" s="425"/>
    </row>
    <row r="81" ht="15">
      <c r="A81" s="426"/>
    </row>
    <row r="82" ht="15">
      <c r="A82" s="426"/>
    </row>
    <row r="83" ht="15">
      <c r="A83" s="426"/>
    </row>
    <row r="84" ht="15">
      <c r="A84" s="426"/>
    </row>
    <row r="85" ht="15">
      <c r="A85" s="426"/>
    </row>
    <row r="86" ht="15">
      <c r="A86" s="426"/>
    </row>
    <row r="87" ht="15">
      <c r="A87" s="426"/>
    </row>
    <row r="88" ht="15">
      <c r="A88" s="426"/>
    </row>
    <row r="89" ht="15">
      <c r="A89" s="426"/>
    </row>
    <row r="90" ht="15">
      <c r="A90" s="426"/>
    </row>
    <row r="91" ht="15">
      <c r="A91" s="426"/>
    </row>
    <row r="92" ht="15">
      <c r="A92" s="426"/>
    </row>
    <row r="93" ht="15">
      <c r="A93" s="426"/>
    </row>
    <row r="94" ht="15">
      <c r="A94" s="426"/>
    </row>
    <row r="95" ht="15">
      <c r="A95" s="426"/>
    </row>
    <row r="96" ht="15">
      <c r="A96" s="426"/>
    </row>
    <row r="97" ht="15">
      <c r="A97" s="426"/>
    </row>
    <row r="98" ht="15">
      <c r="A98" s="426"/>
    </row>
    <row r="99" ht="15">
      <c r="A99" s="426"/>
    </row>
    <row r="100" ht="15">
      <c r="A100" s="426"/>
    </row>
    <row r="101" ht="15">
      <c r="A101" s="426"/>
    </row>
    <row r="103" ht="15">
      <c r="A103" s="426"/>
    </row>
    <row r="104" ht="15">
      <c r="A104" s="426"/>
    </row>
    <row r="105" ht="15">
      <c r="A105" s="426"/>
    </row>
    <row r="107" ht="15">
      <c r="A107" s="425"/>
    </row>
    <row r="108" ht="15">
      <c r="A108" s="425"/>
    </row>
    <row r="109" ht="15">
      <c r="A109" s="425"/>
    </row>
  </sheetData>
  <sheetProtection sheet="1"/>
  <printOptions/>
  <pageMargins left="0.7" right="0.7" top="0.75" bottom="0.75" header="0.3" footer="0.3"/>
  <pageSetup horizontalDpi="600" verticalDpi="600" orientation="portrait" r:id="rId1"/>
</worksheet>
</file>

<file path=xl/worksheets/sheet45.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A3" sqref="A3"/>
    </sheetView>
  </sheetViews>
  <sheetFormatPr defaultColWidth="8.796875" defaultRowHeight="15"/>
  <cols>
    <col min="1" max="1" width="71.296875" style="0" customWidth="1"/>
  </cols>
  <sheetData>
    <row r="3" spans="1:12" ht="15">
      <c r="A3" s="427" t="s">
        <v>777</v>
      </c>
      <c r="B3" s="427"/>
      <c r="C3" s="427"/>
      <c r="D3" s="427"/>
      <c r="E3" s="427"/>
      <c r="F3" s="427"/>
      <c r="G3" s="427"/>
      <c r="H3" s="427"/>
      <c r="I3" s="427"/>
      <c r="J3" s="427"/>
      <c r="K3" s="427"/>
      <c r="L3" s="427"/>
    </row>
    <row r="4" spans="1:12" ht="15">
      <c r="A4" s="427"/>
      <c r="B4" s="427"/>
      <c r="C4" s="427"/>
      <c r="D4" s="427"/>
      <c r="E4" s="427"/>
      <c r="F4" s="427"/>
      <c r="G4" s="427"/>
      <c r="H4" s="427"/>
      <c r="I4" s="427"/>
      <c r="J4" s="427"/>
      <c r="K4" s="427"/>
      <c r="L4" s="427"/>
    </row>
    <row r="5" spans="1:12" ht="15">
      <c r="A5" s="426" t="s">
        <v>0</v>
      </c>
      <c r="I5" s="427"/>
      <c r="J5" s="427"/>
      <c r="K5" s="427"/>
      <c r="L5" s="427"/>
    </row>
    <row r="6" spans="1:12" ht="15">
      <c r="A6" s="426" t="str">
        <f>CONCATENATE("estimated ",inputPrYr!C5-1," 'total expenditures' exceed your ",inputPrYr!C5-1,"")</f>
        <v>estimated 2011 'total expenditures' exceed your 2011</v>
      </c>
      <c r="I6" s="427"/>
      <c r="J6" s="427"/>
      <c r="K6" s="427"/>
      <c r="L6" s="427"/>
    </row>
    <row r="7" spans="1:12" ht="15">
      <c r="A7" s="429" t="s">
        <v>778</v>
      </c>
      <c r="I7" s="427"/>
      <c r="J7" s="427"/>
      <c r="K7" s="427"/>
      <c r="L7" s="427"/>
    </row>
    <row r="8" spans="1:12" ht="15">
      <c r="A8" s="426"/>
      <c r="I8" s="427"/>
      <c r="J8" s="427"/>
      <c r="K8" s="427"/>
      <c r="L8" s="427"/>
    </row>
    <row r="9" spans="1:12" ht="15">
      <c r="A9" s="426" t="s">
        <v>779</v>
      </c>
      <c r="I9" s="427"/>
      <c r="J9" s="427"/>
      <c r="K9" s="427"/>
      <c r="L9" s="427"/>
    </row>
    <row r="10" spans="1:12" ht="15">
      <c r="A10" s="426" t="s">
        <v>780</v>
      </c>
      <c r="I10" s="427"/>
      <c r="J10" s="427"/>
      <c r="K10" s="427"/>
      <c r="L10" s="427"/>
    </row>
    <row r="11" spans="1:12" ht="15">
      <c r="A11" s="426" t="s">
        <v>781</v>
      </c>
      <c r="I11" s="427"/>
      <c r="J11" s="427"/>
      <c r="K11" s="427"/>
      <c r="L11" s="427"/>
    </row>
    <row r="12" spans="1:12" ht="15">
      <c r="A12" s="426" t="s">
        <v>782</v>
      </c>
      <c r="I12" s="427"/>
      <c r="J12" s="427"/>
      <c r="K12" s="427"/>
      <c r="L12" s="427"/>
    </row>
    <row r="13" spans="1:12" ht="15">
      <c r="A13" s="426" t="s">
        <v>783</v>
      </c>
      <c r="I13" s="427"/>
      <c r="J13" s="427"/>
      <c r="K13" s="427"/>
      <c r="L13" s="427"/>
    </row>
    <row r="14" spans="1:12" ht="15">
      <c r="A14" s="427"/>
      <c r="B14" s="427"/>
      <c r="C14" s="427"/>
      <c r="D14" s="427"/>
      <c r="E14" s="427"/>
      <c r="F14" s="427"/>
      <c r="G14" s="427"/>
      <c r="H14" s="427"/>
      <c r="I14" s="427"/>
      <c r="J14" s="427"/>
      <c r="K14" s="427"/>
      <c r="L14" s="427"/>
    </row>
    <row r="15" ht="15">
      <c r="A15" s="425" t="s">
        <v>784</v>
      </c>
    </row>
    <row r="16" ht="15">
      <c r="A16" s="425" t="s">
        <v>785</v>
      </c>
    </row>
    <row r="17" ht="15">
      <c r="A17" s="425"/>
    </row>
    <row r="18" spans="1:7" ht="15">
      <c r="A18" s="426" t="s">
        <v>786</v>
      </c>
      <c r="B18" s="426"/>
      <c r="C18" s="426"/>
      <c r="D18" s="426"/>
      <c r="E18" s="426"/>
      <c r="F18" s="426"/>
      <c r="G18" s="426"/>
    </row>
    <row r="19" spans="1:7" ht="15">
      <c r="A19" s="426" t="str">
        <f>CONCATENATE("your ",inputPrYr!C5-1," numbers to see what steps might be necessary to")</f>
        <v>your 2011 numbers to see what steps might be necessary to</v>
      </c>
      <c r="B19" s="426"/>
      <c r="C19" s="426"/>
      <c r="D19" s="426"/>
      <c r="E19" s="426"/>
      <c r="F19" s="426"/>
      <c r="G19" s="426"/>
    </row>
    <row r="20" spans="1:7" ht="15">
      <c r="A20" s="426" t="s">
        <v>787</v>
      </c>
      <c r="B20" s="426"/>
      <c r="C20" s="426"/>
      <c r="D20" s="426"/>
      <c r="E20" s="426"/>
      <c r="F20" s="426"/>
      <c r="G20" s="426"/>
    </row>
    <row r="21" spans="1:7" ht="15">
      <c r="A21" s="426" t="s">
        <v>788</v>
      </c>
      <c r="B21" s="426"/>
      <c r="C21" s="426"/>
      <c r="D21" s="426"/>
      <c r="E21" s="426"/>
      <c r="F21" s="426"/>
      <c r="G21" s="426"/>
    </row>
    <row r="22" ht="15">
      <c r="A22" s="426"/>
    </row>
    <row r="23" ht="15">
      <c r="A23" s="425" t="s">
        <v>789</v>
      </c>
    </row>
    <row r="24" ht="15">
      <c r="A24" s="425"/>
    </row>
    <row r="25" ht="15">
      <c r="A25" s="426" t="s">
        <v>790</v>
      </c>
    </row>
    <row r="26" spans="1:6" ht="15">
      <c r="A26" s="426" t="s">
        <v>791</v>
      </c>
      <c r="B26" s="426"/>
      <c r="C26" s="426"/>
      <c r="D26" s="426"/>
      <c r="E26" s="426"/>
      <c r="F26" s="426"/>
    </row>
    <row r="27" spans="1:6" ht="15">
      <c r="A27" s="426" t="s">
        <v>792</v>
      </c>
      <c r="B27" s="426"/>
      <c r="C27" s="426"/>
      <c r="D27" s="426"/>
      <c r="E27" s="426"/>
      <c r="F27" s="426"/>
    </row>
    <row r="28" spans="1:6" ht="15">
      <c r="A28" s="426" t="s">
        <v>793</v>
      </c>
      <c r="B28" s="426"/>
      <c r="C28" s="426"/>
      <c r="D28" s="426"/>
      <c r="E28" s="426"/>
      <c r="F28" s="426"/>
    </row>
    <row r="29" spans="1:6" ht="15">
      <c r="A29" s="426"/>
      <c r="B29" s="426"/>
      <c r="C29" s="426"/>
      <c r="D29" s="426"/>
      <c r="E29" s="426"/>
      <c r="F29" s="426"/>
    </row>
    <row r="30" spans="1:7" ht="15">
      <c r="A30" s="425" t="s">
        <v>794</v>
      </c>
      <c r="B30" s="425"/>
      <c r="C30" s="425"/>
      <c r="D30" s="425"/>
      <c r="E30" s="425"/>
      <c r="F30" s="425"/>
      <c r="G30" s="425"/>
    </row>
    <row r="31" spans="1:7" ht="15">
      <c r="A31" s="425" t="s">
        <v>795</v>
      </c>
      <c r="B31" s="425"/>
      <c r="C31" s="425"/>
      <c r="D31" s="425"/>
      <c r="E31" s="425"/>
      <c r="F31" s="425"/>
      <c r="G31" s="425"/>
    </row>
    <row r="32" spans="1:6" ht="15">
      <c r="A32" s="426"/>
      <c r="B32" s="426"/>
      <c r="C32" s="426"/>
      <c r="D32" s="426"/>
      <c r="E32" s="426"/>
      <c r="F32" s="426"/>
    </row>
    <row r="33" spans="1:6" ht="15">
      <c r="A33" s="433" t="str">
        <f>CONCATENATE("Well, let's look to see if any of your ",inputPrYr!C5-1," expenditures can")</f>
        <v>Well, let's look to see if any of your 2011 expenditures can</v>
      </c>
      <c r="B33" s="426"/>
      <c r="C33" s="426"/>
      <c r="D33" s="426"/>
      <c r="E33" s="426"/>
      <c r="F33" s="426"/>
    </row>
    <row r="34" spans="1:6" ht="15">
      <c r="A34" s="433" t="s">
        <v>796</v>
      </c>
      <c r="B34" s="426"/>
      <c r="C34" s="426"/>
      <c r="D34" s="426"/>
      <c r="E34" s="426"/>
      <c r="F34" s="426"/>
    </row>
    <row r="35" spans="1:6" ht="15">
      <c r="A35" s="433" t="s">
        <v>14</v>
      </c>
      <c r="B35" s="426"/>
      <c r="C35" s="426"/>
      <c r="D35" s="426"/>
      <c r="E35" s="426"/>
      <c r="F35" s="426"/>
    </row>
    <row r="36" spans="1:6" ht="15">
      <c r="A36" s="433" t="s">
        <v>15</v>
      </c>
      <c r="B36" s="426"/>
      <c r="C36" s="426"/>
      <c r="D36" s="426"/>
      <c r="E36" s="426"/>
      <c r="F36" s="426"/>
    </row>
    <row r="37" spans="1:6" ht="15">
      <c r="A37" s="433"/>
      <c r="B37" s="426"/>
      <c r="C37" s="426"/>
      <c r="D37" s="426"/>
      <c r="E37" s="426"/>
      <c r="F37" s="426"/>
    </row>
    <row r="38" spans="1:6" ht="15">
      <c r="A38" s="433" t="str">
        <f>CONCATENATE("Additionally, do your ",inputPrYr!C5-1," receipts contain a reimbursement")</f>
        <v>Additionally, do your 2011 receipts contain a reimbursement</v>
      </c>
      <c r="B38" s="426"/>
      <c r="C38" s="426"/>
      <c r="D38" s="426"/>
      <c r="E38" s="426"/>
      <c r="F38" s="426"/>
    </row>
    <row r="39" spans="1:6" ht="15">
      <c r="A39" s="433" t="s">
        <v>16</v>
      </c>
      <c r="B39" s="426"/>
      <c r="C39" s="426"/>
      <c r="D39" s="426"/>
      <c r="E39" s="426"/>
      <c r="F39" s="426"/>
    </row>
    <row r="40" spans="1:6" ht="15">
      <c r="A40" s="433" t="s">
        <v>17</v>
      </c>
      <c r="B40" s="426"/>
      <c r="C40" s="426"/>
      <c r="D40" s="426"/>
      <c r="E40" s="426"/>
      <c r="F40" s="426"/>
    </row>
    <row r="41" spans="1:6" ht="15">
      <c r="A41" s="433"/>
      <c r="B41" s="426"/>
      <c r="C41" s="426"/>
      <c r="D41" s="426"/>
      <c r="E41" s="426"/>
      <c r="F41" s="426"/>
    </row>
    <row r="42" spans="1:6" ht="15">
      <c r="A42" s="433" t="s">
        <v>18</v>
      </c>
      <c r="B42" s="426"/>
      <c r="C42" s="426"/>
      <c r="D42" s="426"/>
      <c r="E42" s="426"/>
      <c r="F42" s="426"/>
    </row>
    <row r="43" spans="1:6" ht="15">
      <c r="A43" s="433" t="s">
        <v>150</v>
      </c>
      <c r="B43" s="426"/>
      <c r="C43" s="426"/>
      <c r="D43" s="426"/>
      <c r="E43" s="426"/>
      <c r="F43" s="426"/>
    </row>
    <row r="44" spans="1:6" ht="15">
      <c r="A44" s="433" t="s">
        <v>151</v>
      </c>
      <c r="B44" s="426"/>
      <c r="C44" s="426"/>
      <c r="D44" s="426"/>
      <c r="E44" s="426"/>
      <c r="F44" s="426"/>
    </row>
    <row r="45" spans="1:6" ht="15">
      <c r="A45" s="433" t="s">
        <v>156</v>
      </c>
      <c r="B45" s="426"/>
      <c r="C45" s="426"/>
      <c r="D45" s="426"/>
      <c r="E45" s="426"/>
      <c r="F45" s="426"/>
    </row>
    <row r="46" spans="1:6" ht="15">
      <c r="A46" s="433" t="s">
        <v>154</v>
      </c>
      <c r="B46" s="426"/>
      <c r="C46" s="426"/>
      <c r="D46" s="426"/>
      <c r="E46" s="426"/>
      <c r="F46" s="426"/>
    </row>
    <row r="47" spans="1:6" ht="15">
      <c r="A47" s="433" t="s">
        <v>155</v>
      </c>
      <c r="B47" s="426"/>
      <c r="C47" s="426"/>
      <c r="D47" s="426"/>
      <c r="E47" s="426"/>
      <c r="F47" s="426"/>
    </row>
    <row r="48" spans="1:6" ht="15">
      <c r="A48" s="433" t="s">
        <v>797</v>
      </c>
      <c r="B48" s="426"/>
      <c r="C48" s="426"/>
      <c r="D48" s="426"/>
      <c r="E48" s="426"/>
      <c r="F48" s="426"/>
    </row>
    <row r="49" spans="1:6" ht="15">
      <c r="A49" s="433" t="s">
        <v>20</v>
      </c>
      <c r="B49" s="426"/>
      <c r="C49" s="426"/>
      <c r="D49" s="426"/>
      <c r="E49" s="426"/>
      <c r="F49" s="426"/>
    </row>
    <row r="50" spans="1:6" ht="15">
      <c r="A50" s="433"/>
      <c r="B50" s="426"/>
      <c r="C50" s="426"/>
      <c r="D50" s="426"/>
      <c r="E50" s="426"/>
      <c r="F50" s="426"/>
    </row>
    <row r="51" spans="1:6" ht="15">
      <c r="A51" s="433" t="s">
        <v>21</v>
      </c>
      <c r="B51" s="426"/>
      <c r="C51" s="426"/>
      <c r="D51" s="426"/>
      <c r="E51" s="426"/>
      <c r="F51" s="426"/>
    </row>
    <row r="52" spans="1:6" ht="15">
      <c r="A52" s="433" t="s">
        <v>22</v>
      </c>
      <c r="B52" s="426"/>
      <c r="C52" s="426"/>
      <c r="D52" s="426"/>
      <c r="E52" s="426"/>
      <c r="F52" s="426"/>
    </row>
    <row r="53" spans="1:6" ht="15">
      <c r="A53" s="433" t="s">
        <v>23</v>
      </c>
      <c r="B53" s="426"/>
      <c r="C53" s="426"/>
      <c r="D53" s="426"/>
      <c r="E53" s="426"/>
      <c r="F53" s="426"/>
    </row>
    <row r="54" spans="1:6" ht="15">
      <c r="A54" s="433"/>
      <c r="B54" s="426"/>
      <c r="C54" s="426"/>
      <c r="D54" s="426"/>
      <c r="E54" s="426"/>
      <c r="F54" s="426"/>
    </row>
    <row r="55" spans="1:6" ht="15">
      <c r="A55" s="433" t="s">
        <v>798</v>
      </c>
      <c r="B55" s="426"/>
      <c r="C55" s="426"/>
      <c r="D55" s="426"/>
      <c r="E55" s="426"/>
      <c r="F55" s="426"/>
    </row>
    <row r="56" spans="1:6" ht="15">
      <c r="A56" s="433" t="s">
        <v>799</v>
      </c>
      <c r="B56" s="426"/>
      <c r="C56" s="426"/>
      <c r="D56" s="426"/>
      <c r="E56" s="426"/>
      <c r="F56" s="426"/>
    </row>
    <row r="57" spans="1:6" ht="15">
      <c r="A57" s="433" t="s">
        <v>800</v>
      </c>
      <c r="B57" s="426"/>
      <c r="C57" s="426"/>
      <c r="D57" s="426"/>
      <c r="E57" s="426"/>
      <c r="F57" s="426"/>
    </row>
    <row r="58" spans="1:6" ht="15">
      <c r="A58" s="433" t="s">
        <v>801</v>
      </c>
      <c r="B58" s="426"/>
      <c r="C58" s="426"/>
      <c r="D58" s="426"/>
      <c r="E58" s="426"/>
      <c r="F58" s="426"/>
    </row>
    <row r="59" spans="1:6" ht="15">
      <c r="A59" s="433" t="s">
        <v>802</v>
      </c>
      <c r="B59" s="426"/>
      <c r="C59" s="426"/>
      <c r="D59" s="426"/>
      <c r="E59" s="426"/>
      <c r="F59" s="426"/>
    </row>
    <row r="60" spans="1:6" ht="15">
      <c r="A60" s="433"/>
      <c r="B60" s="426"/>
      <c r="C60" s="426"/>
      <c r="D60" s="426"/>
      <c r="E60" s="426"/>
      <c r="F60" s="426"/>
    </row>
    <row r="61" spans="1:6" ht="15">
      <c r="A61" s="434" t="s">
        <v>803</v>
      </c>
      <c r="B61" s="426"/>
      <c r="C61" s="426"/>
      <c r="D61" s="426"/>
      <c r="E61" s="426"/>
      <c r="F61" s="426"/>
    </row>
    <row r="62" spans="1:6" ht="15">
      <c r="A62" s="434" t="s">
        <v>804</v>
      </c>
      <c r="B62" s="426"/>
      <c r="C62" s="426"/>
      <c r="D62" s="426"/>
      <c r="E62" s="426"/>
      <c r="F62" s="426"/>
    </row>
    <row r="63" spans="1:6" ht="15">
      <c r="A63" s="434" t="s">
        <v>805</v>
      </c>
      <c r="B63" s="426"/>
      <c r="C63" s="426"/>
      <c r="D63" s="426"/>
      <c r="E63" s="426"/>
      <c r="F63" s="426"/>
    </row>
    <row r="64" ht="15">
      <c r="A64" s="434" t="s">
        <v>806</v>
      </c>
    </row>
    <row r="65" ht="15">
      <c r="A65" s="434" t="s">
        <v>807</v>
      </c>
    </row>
    <row r="66" ht="15">
      <c r="A66" s="434" t="s">
        <v>808</v>
      </c>
    </row>
    <row r="68" ht="15">
      <c r="A68" s="426" t="s">
        <v>809</v>
      </c>
    </row>
    <row r="69" ht="15">
      <c r="A69" s="426" t="s">
        <v>810</v>
      </c>
    </row>
    <row r="70" ht="15">
      <c r="A70" s="426" t="s">
        <v>811</v>
      </c>
    </row>
    <row r="71" ht="15">
      <c r="A71" s="426" t="s">
        <v>812</v>
      </c>
    </row>
    <row r="72" ht="15">
      <c r="A72" s="426" t="s">
        <v>813</v>
      </c>
    </row>
    <row r="73" ht="15">
      <c r="A73" s="426" t="s">
        <v>814</v>
      </c>
    </row>
    <row r="75" ht="15">
      <c r="A75" s="426" t="s">
        <v>690</v>
      </c>
    </row>
  </sheetData>
  <sheetProtection sheet="1"/>
  <printOptions/>
  <pageMargins left="0.7" right="0.7" top="0.75" bottom="0.75" header="0.3" footer="0.3"/>
  <pageSetup horizontalDpi="600" verticalDpi="600" orientation="portrait" r:id="rId1"/>
</worksheet>
</file>

<file path=xl/worksheets/sheet46.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3" sqref="A3"/>
    </sheetView>
  </sheetViews>
  <sheetFormatPr defaultColWidth="8.796875" defaultRowHeight="15"/>
  <cols>
    <col min="1" max="1" width="71.296875" style="0" customWidth="1"/>
  </cols>
  <sheetData>
    <row r="3" spans="1:7" ht="15">
      <c r="A3" s="427" t="s">
        <v>815</v>
      </c>
      <c r="B3" s="427"/>
      <c r="C3" s="427"/>
      <c r="D3" s="427"/>
      <c r="E3" s="427"/>
      <c r="F3" s="427"/>
      <c r="G3" s="427"/>
    </row>
    <row r="4" spans="1:7" ht="15">
      <c r="A4" s="427"/>
      <c r="B4" s="427"/>
      <c r="C4" s="427"/>
      <c r="D4" s="427"/>
      <c r="E4" s="427"/>
      <c r="F4" s="427"/>
      <c r="G4" s="427"/>
    </row>
    <row r="5" ht="15">
      <c r="A5" s="426" t="s">
        <v>692</v>
      </c>
    </row>
    <row r="6" ht="15">
      <c r="A6" s="426" t="str">
        <f>CONCATENATE(inputPrYr!C5," estimated expenditures show that at the end of this year")</f>
        <v>2012 estimated expenditures show that at the end of this year</v>
      </c>
    </row>
    <row r="7" ht="15">
      <c r="A7" s="426" t="s">
        <v>816</v>
      </c>
    </row>
    <row r="8" ht="15">
      <c r="A8" s="426" t="s">
        <v>817</v>
      </c>
    </row>
    <row r="10" ht="15">
      <c r="A10" t="s">
        <v>694</v>
      </c>
    </row>
    <row r="11" ht="15">
      <c r="A11" t="s">
        <v>695</v>
      </c>
    </row>
    <row r="12" ht="15">
      <c r="A12" t="s">
        <v>696</v>
      </c>
    </row>
    <row r="13" spans="1:7" ht="15">
      <c r="A13" s="427"/>
      <c r="B13" s="427"/>
      <c r="C13" s="427"/>
      <c r="D13" s="427"/>
      <c r="E13" s="427"/>
      <c r="F13" s="427"/>
      <c r="G13" s="427"/>
    </row>
    <row r="14" ht="15">
      <c r="A14" s="425" t="s">
        <v>818</v>
      </c>
    </row>
    <row r="15" ht="15">
      <c r="A15" s="426"/>
    </row>
    <row r="16" ht="15">
      <c r="A16" s="426" t="s">
        <v>819</v>
      </c>
    </row>
    <row r="17" ht="15">
      <c r="A17" s="426" t="s">
        <v>820</v>
      </c>
    </row>
    <row r="18" ht="15">
      <c r="A18" s="426" t="s">
        <v>821</v>
      </c>
    </row>
    <row r="19" ht="15">
      <c r="A19" s="426"/>
    </row>
    <row r="20" ht="15">
      <c r="A20" s="426" t="s">
        <v>822</v>
      </c>
    </row>
    <row r="21" ht="15">
      <c r="A21" s="426" t="s">
        <v>823</v>
      </c>
    </row>
    <row r="22" ht="15">
      <c r="A22" s="426" t="s">
        <v>824</v>
      </c>
    </row>
    <row r="23" ht="15">
      <c r="A23" s="426" t="s">
        <v>825</v>
      </c>
    </row>
    <row r="24" ht="15">
      <c r="A24" s="426"/>
    </row>
    <row r="25" ht="15">
      <c r="A25" s="425" t="s">
        <v>789</v>
      </c>
    </row>
    <row r="26" ht="15">
      <c r="A26" s="425"/>
    </row>
    <row r="27" ht="15">
      <c r="A27" s="426" t="s">
        <v>790</v>
      </c>
    </row>
    <row r="28" spans="1:6" ht="15">
      <c r="A28" s="426" t="s">
        <v>791</v>
      </c>
      <c r="B28" s="426"/>
      <c r="C28" s="426"/>
      <c r="D28" s="426"/>
      <c r="E28" s="426"/>
      <c r="F28" s="426"/>
    </row>
    <row r="29" spans="1:6" ht="15">
      <c r="A29" s="426" t="s">
        <v>792</v>
      </c>
      <c r="B29" s="426"/>
      <c r="C29" s="426"/>
      <c r="D29" s="426"/>
      <c r="E29" s="426"/>
      <c r="F29" s="426"/>
    </row>
    <row r="30" spans="1:6" ht="15">
      <c r="A30" s="426" t="s">
        <v>793</v>
      </c>
      <c r="B30" s="426"/>
      <c r="C30" s="426"/>
      <c r="D30" s="426"/>
      <c r="E30" s="426"/>
      <c r="F30" s="426"/>
    </row>
    <row r="31" ht="15">
      <c r="A31" s="426"/>
    </row>
    <row r="32" spans="1:7" ht="15">
      <c r="A32" s="425" t="s">
        <v>794</v>
      </c>
      <c r="B32" s="425"/>
      <c r="C32" s="425"/>
      <c r="D32" s="425"/>
      <c r="E32" s="425"/>
      <c r="F32" s="425"/>
      <c r="G32" s="425"/>
    </row>
    <row r="33" spans="1:7" ht="15">
      <c r="A33" s="425" t="s">
        <v>795</v>
      </c>
      <c r="B33" s="425"/>
      <c r="C33" s="425"/>
      <c r="D33" s="425"/>
      <c r="E33" s="425"/>
      <c r="F33" s="425"/>
      <c r="G33" s="425"/>
    </row>
    <row r="34" spans="1:7" ht="15">
      <c r="A34" s="425"/>
      <c r="B34" s="425"/>
      <c r="C34" s="425"/>
      <c r="D34" s="425"/>
      <c r="E34" s="425"/>
      <c r="F34" s="425"/>
      <c r="G34" s="425"/>
    </row>
    <row r="35" spans="1:7" ht="15">
      <c r="A35" s="426" t="s">
        <v>826</v>
      </c>
      <c r="B35" s="426"/>
      <c r="C35" s="426"/>
      <c r="D35" s="426"/>
      <c r="E35" s="426"/>
      <c r="F35" s="426"/>
      <c r="G35" s="426"/>
    </row>
    <row r="36" spans="1:7" ht="15">
      <c r="A36" s="426" t="s">
        <v>827</v>
      </c>
      <c r="B36" s="426"/>
      <c r="C36" s="426"/>
      <c r="D36" s="426"/>
      <c r="E36" s="426"/>
      <c r="F36" s="426"/>
      <c r="G36" s="426"/>
    </row>
    <row r="37" spans="1:7" ht="15">
      <c r="A37" s="426" t="s">
        <v>828</v>
      </c>
      <c r="B37" s="426"/>
      <c r="C37" s="426"/>
      <c r="D37" s="426"/>
      <c r="E37" s="426"/>
      <c r="F37" s="426"/>
      <c r="G37" s="426"/>
    </row>
    <row r="38" spans="1:7" ht="15">
      <c r="A38" s="426" t="s">
        <v>829</v>
      </c>
      <c r="B38" s="426"/>
      <c r="C38" s="426"/>
      <c r="D38" s="426"/>
      <c r="E38" s="426"/>
      <c r="F38" s="426"/>
      <c r="G38" s="426"/>
    </row>
    <row r="39" spans="1:7" ht="15">
      <c r="A39" s="426" t="s">
        <v>830</v>
      </c>
      <c r="B39" s="426"/>
      <c r="C39" s="426"/>
      <c r="D39" s="426"/>
      <c r="E39" s="426"/>
      <c r="F39" s="426"/>
      <c r="G39" s="426"/>
    </row>
    <row r="40" spans="1:7" ht="15">
      <c r="A40" s="425"/>
      <c r="B40" s="425"/>
      <c r="C40" s="425"/>
      <c r="D40" s="425"/>
      <c r="E40" s="425"/>
      <c r="F40" s="425"/>
      <c r="G40" s="425"/>
    </row>
    <row r="41" spans="1:6" ht="15">
      <c r="A41" s="433" t="str">
        <f>CONCATENATE("So, let's look to see if any of your ",inputPrYr!C5-1," expenditures can")</f>
        <v>So, let's look to see if any of your 2011 expenditures can</v>
      </c>
      <c r="B41" s="426"/>
      <c r="C41" s="426"/>
      <c r="D41" s="426"/>
      <c r="E41" s="426"/>
      <c r="F41" s="426"/>
    </row>
    <row r="42" spans="1:6" ht="15">
      <c r="A42" s="433" t="s">
        <v>796</v>
      </c>
      <c r="B42" s="426"/>
      <c r="C42" s="426"/>
      <c r="D42" s="426"/>
      <c r="E42" s="426"/>
      <c r="F42" s="426"/>
    </row>
    <row r="43" spans="1:6" ht="15">
      <c r="A43" s="433" t="s">
        <v>14</v>
      </c>
      <c r="B43" s="426"/>
      <c r="C43" s="426"/>
      <c r="D43" s="426"/>
      <c r="E43" s="426"/>
      <c r="F43" s="426"/>
    </row>
    <row r="44" spans="1:6" ht="15">
      <c r="A44" s="433" t="s">
        <v>15</v>
      </c>
      <c r="B44" s="426"/>
      <c r="C44" s="426"/>
      <c r="D44" s="426"/>
      <c r="E44" s="426"/>
      <c r="F44" s="426"/>
    </row>
    <row r="45" ht="15">
      <c r="A45" s="426"/>
    </row>
    <row r="46" spans="1:6" ht="15">
      <c r="A46" s="433" t="str">
        <f>CONCATENATE("Additionally, do your ",inputPrYr!C5-1," receipts contain a reimbursement")</f>
        <v>Additionally, do your 2011 receipts contain a reimbursement</v>
      </c>
      <c r="B46" s="426"/>
      <c r="C46" s="426"/>
      <c r="D46" s="426"/>
      <c r="E46" s="426"/>
      <c r="F46" s="426"/>
    </row>
    <row r="47" spans="1:6" ht="15">
      <c r="A47" s="433" t="s">
        <v>16</v>
      </c>
      <c r="B47" s="426"/>
      <c r="C47" s="426"/>
      <c r="D47" s="426"/>
      <c r="E47" s="426"/>
      <c r="F47" s="426"/>
    </row>
    <row r="48" spans="1:6" ht="15">
      <c r="A48" s="433" t="s">
        <v>17</v>
      </c>
      <c r="B48" s="426"/>
      <c r="C48" s="426"/>
      <c r="D48" s="426"/>
      <c r="E48" s="426"/>
      <c r="F48" s="426"/>
    </row>
    <row r="49" spans="1:7" ht="15">
      <c r="A49" s="426"/>
      <c r="B49" s="426"/>
      <c r="C49" s="426"/>
      <c r="D49" s="426"/>
      <c r="E49" s="426"/>
      <c r="F49" s="426"/>
      <c r="G49" s="426"/>
    </row>
    <row r="50" spans="1:7" ht="15">
      <c r="A50" s="426" t="s">
        <v>392</v>
      </c>
      <c r="B50" s="426"/>
      <c r="C50" s="426"/>
      <c r="D50" s="426"/>
      <c r="E50" s="426"/>
      <c r="F50" s="426"/>
      <c r="G50" s="426"/>
    </row>
    <row r="51" spans="1:7" ht="15">
      <c r="A51" s="426" t="s">
        <v>393</v>
      </c>
      <c r="B51" s="426"/>
      <c r="C51" s="426"/>
      <c r="D51" s="426"/>
      <c r="E51" s="426"/>
      <c r="F51" s="426"/>
      <c r="G51" s="426"/>
    </row>
    <row r="52" spans="1:7" ht="15">
      <c r="A52" s="426" t="s">
        <v>394</v>
      </c>
      <c r="B52" s="426"/>
      <c r="C52" s="426"/>
      <c r="D52" s="426"/>
      <c r="E52" s="426"/>
      <c r="F52" s="426"/>
      <c r="G52" s="426"/>
    </row>
    <row r="53" spans="1:7" ht="15">
      <c r="A53" s="426" t="s">
        <v>395</v>
      </c>
      <c r="B53" s="426"/>
      <c r="C53" s="426"/>
      <c r="D53" s="426"/>
      <c r="E53" s="426"/>
      <c r="F53" s="426"/>
      <c r="G53" s="426"/>
    </row>
    <row r="54" spans="1:7" ht="15">
      <c r="A54" s="426" t="s">
        <v>396</v>
      </c>
      <c r="B54" s="426"/>
      <c r="C54" s="426"/>
      <c r="D54" s="426"/>
      <c r="E54" s="426"/>
      <c r="F54" s="426"/>
      <c r="G54" s="426"/>
    </row>
    <row r="55" spans="1:7" ht="15">
      <c r="A55" s="426"/>
      <c r="B55" s="426"/>
      <c r="C55" s="426"/>
      <c r="D55" s="426"/>
      <c r="E55" s="426"/>
      <c r="F55" s="426"/>
      <c r="G55" s="426"/>
    </row>
    <row r="56" spans="1:6" ht="15">
      <c r="A56" s="433" t="s">
        <v>21</v>
      </c>
      <c r="B56" s="426"/>
      <c r="C56" s="426"/>
      <c r="D56" s="426"/>
      <c r="E56" s="426"/>
      <c r="F56" s="426"/>
    </row>
    <row r="57" spans="1:6" ht="15">
      <c r="A57" s="433" t="s">
        <v>22</v>
      </c>
      <c r="B57" s="426"/>
      <c r="C57" s="426"/>
      <c r="D57" s="426"/>
      <c r="E57" s="426"/>
      <c r="F57" s="426"/>
    </row>
    <row r="58" spans="1:6" ht="15">
      <c r="A58" s="433" t="s">
        <v>23</v>
      </c>
      <c r="B58" s="426"/>
      <c r="C58" s="426"/>
      <c r="D58" s="426"/>
      <c r="E58" s="426"/>
      <c r="F58" s="426"/>
    </row>
    <row r="59" spans="1:6" ht="15">
      <c r="A59" s="433"/>
      <c r="B59" s="426"/>
      <c r="C59" s="426"/>
      <c r="D59" s="426"/>
      <c r="E59" s="426"/>
      <c r="F59" s="426"/>
    </row>
    <row r="60" spans="1:7" ht="15">
      <c r="A60" s="426" t="s">
        <v>831</v>
      </c>
      <c r="B60" s="426"/>
      <c r="C60" s="426"/>
      <c r="D60" s="426"/>
      <c r="E60" s="426"/>
      <c r="F60" s="426"/>
      <c r="G60" s="426"/>
    </row>
    <row r="61" spans="1:7" ht="15">
      <c r="A61" s="426" t="s">
        <v>832</v>
      </c>
      <c r="B61" s="426"/>
      <c r="C61" s="426"/>
      <c r="D61" s="426"/>
      <c r="E61" s="426"/>
      <c r="F61" s="426"/>
      <c r="G61" s="426"/>
    </row>
    <row r="62" spans="1:7" ht="15">
      <c r="A62" s="426" t="s">
        <v>113</v>
      </c>
      <c r="B62" s="426"/>
      <c r="C62" s="426"/>
      <c r="D62" s="426"/>
      <c r="E62" s="426"/>
      <c r="F62" s="426"/>
      <c r="G62" s="426"/>
    </row>
    <row r="63" spans="1:7" ht="15">
      <c r="A63" s="426" t="s">
        <v>114</v>
      </c>
      <c r="B63" s="426"/>
      <c r="C63" s="426"/>
      <c r="D63" s="426"/>
      <c r="E63" s="426"/>
      <c r="F63" s="426"/>
      <c r="G63" s="426"/>
    </row>
    <row r="64" spans="1:7" ht="15">
      <c r="A64" s="426" t="s">
        <v>115</v>
      </c>
      <c r="B64" s="426"/>
      <c r="C64" s="426"/>
      <c r="D64" s="426"/>
      <c r="E64" s="426"/>
      <c r="F64" s="426"/>
      <c r="G64" s="426"/>
    </row>
    <row r="66" spans="1:6" ht="15">
      <c r="A66" s="433" t="s">
        <v>798</v>
      </c>
      <c r="B66" s="426"/>
      <c r="C66" s="426"/>
      <c r="D66" s="426"/>
      <c r="E66" s="426"/>
      <c r="F66" s="426"/>
    </row>
    <row r="67" spans="1:6" ht="15">
      <c r="A67" s="433" t="s">
        <v>799</v>
      </c>
      <c r="B67" s="426"/>
      <c r="C67" s="426"/>
      <c r="D67" s="426"/>
      <c r="E67" s="426"/>
      <c r="F67" s="426"/>
    </row>
    <row r="68" spans="1:6" ht="15">
      <c r="A68" s="433" t="s">
        <v>800</v>
      </c>
      <c r="B68" s="426"/>
      <c r="C68" s="426"/>
      <c r="D68" s="426"/>
      <c r="E68" s="426"/>
      <c r="F68" s="426"/>
    </row>
    <row r="69" spans="1:6" ht="15">
      <c r="A69" s="433" t="s">
        <v>801</v>
      </c>
      <c r="B69" s="426"/>
      <c r="C69" s="426"/>
      <c r="D69" s="426"/>
      <c r="E69" s="426"/>
      <c r="F69" s="426"/>
    </row>
    <row r="70" spans="1:6" ht="15">
      <c r="A70" s="433" t="s">
        <v>802</v>
      </c>
      <c r="B70" s="426"/>
      <c r="C70" s="426"/>
      <c r="D70" s="426"/>
      <c r="E70" s="426"/>
      <c r="F70" s="426"/>
    </row>
    <row r="71" ht="15">
      <c r="A71" s="426"/>
    </row>
    <row r="72" ht="15">
      <c r="A72" s="426" t="s">
        <v>690</v>
      </c>
    </row>
    <row r="73" ht="15">
      <c r="A73" s="426"/>
    </row>
    <row r="74" ht="15">
      <c r="A74" s="426"/>
    </row>
    <row r="75" ht="15">
      <c r="A75" s="426"/>
    </row>
    <row r="78" ht="15">
      <c r="A78" s="425"/>
    </row>
    <row r="80" ht="15">
      <c r="A80" s="426"/>
    </row>
    <row r="81" ht="15">
      <c r="A81" s="426"/>
    </row>
    <row r="82" ht="15">
      <c r="A82" s="426"/>
    </row>
    <row r="83" ht="15">
      <c r="A83" s="426"/>
    </row>
    <row r="84" ht="15">
      <c r="A84" s="426"/>
    </row>
    <row r="85" ht="15">
      <c r="A85" s="426"/>
    </row>
    <row r="86" ht="15">
      <c r="A86" s="426"/>
    </row>
    <row r="87" ht="15">
      <c r="A87" s="426"/>
    </row>
    <row r="88" ht="15">
      <c r="A88" s="426"/>
    </row>
    <row r="89" ht="15">
      <c r="A89" s="426"/>
    </row>
    <row r="90" ht="15">
      <c r="A90" s="426"/>
    </row>
    <row r="92" ht="15">
      <c r="A92" s="426"/>
    </row>
    <row r="93" ht="15">
      <c r="A93" s="426"/>
    </row>
    <row r="94" ht="15">
      <c r="A94" s="426"/>
    </row>
    <row r="95" ht="15">
      <c r="A95" s="426"/>
    </row>
    <row r="96" ht="15">
      <c r="A96" s="426"/>
    </row>
    <row r="97" ht="15">
      <c r="A97" s="426"/>
    </row>
    <row r="98" ht="15">
      <c r="A98" s="426"/>
    </row>
    <row r="99" ht="15">
      <c r="A99" s="426"/>
    </row>
    <row r="100" ht="15">
      <c r="A100" s="426"/>
    </row>
    <row r="101" ht="15">
      <c r="A101" s="426"/>
    </row>
    <row r="102" ht="15">
      <c r="A102" s="426"/>
    </row>
    <row r="103" ht="15">
      <c r="A103" s="426"/>
    </row>
    <row r="104" ht="15">
      <c r="A104" s="426"/>
    </row>
    <row r="105" ht="15">
      <c r="A105" s="426"/>
    </row>
    <row r="106" ht="15">
      <c r="A106" s="426"/>
    </row>
  </sheetData>
  <sheetProtection sheet="1"/>
  <printOptions/>
  <pageMargins left="0.7" right="0.7" top="0.75" bottom="0.75" header="0.3" footer="0.3"/>
  <pageSetup horizontalDpi="600" verticalDpi="600" orientation="portrait" r:id="rId1"/>
</worksheet>
</file>

<file path=xl/worksheets/sheet47.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3" sqref="A3"/>
    </sheetView>
  </sheetViews>
  <sheetFormatPr defaultColWidth="8.796875" defaultRowHeight="15"/>
  <cols>
    <col min="1" max="1" width="71.296875" style="0" customWidth="1"/>
  </cols>
  <sheetData>
    <row r="3" spans="1:7" ht="15">
      <c r="A3" s="427" t="s">
        <v>116</v>
      </c>
      <c r="B3" s="427"/>
      <c r="C3" s="427"/>
      <c r="D3" s="427"/>
      <c r="E3" s="427"/>
      <c r="F3" s="427"/>
      <c r="G3" s="427"/>
    </row>
    <row r="4" spans="1:7" ht="15">
      <c r="A4" s="427" t="s">
        <v>117</v>
      </c>
      <c r="B4" s="427"/>
      <c r="C4" s="427"/>
      <c r="D4" s="427"/>
      <c r="E4" s="427"/>
      <c r="F4" s="427"/>
      <c r="G4" s="427"/>
    </row>
    <row r="5" spans="1:7" ht="15">
      <c r="A5" s="427"/>
      <c r="B5" s="427"/>
      <c r="C5" s="427"/>
      <c r="D5" s="427"/>
      <c r="E5" s="427"/>
      <c r="F5" s="427"/>
      <c r="G5" s="427"/>
    </row>
    <row r="6" spans="1:7" ht="15">
      <c r="A6" s="427"/>
      <c r="B6" s="427"/>
      <c r="C6" s="427"/>
      <c r="D6" s="427"/>
      <c r="E6" s="427"/>
      <c r="F6" s="427"/>
      <c r="G6" s="427"/>
    </row>
    <row r="7" ht="15">
      <c r="A7" s="426" t="s">
        <v>0</v>
      </c>
    </row>
    <row r="8" ht="15">
      <c r="A8" s="426" t="str">
        <f>CONCATENATE("estimated ",inputPrYr!C5," 'total expenditures' exceed your ",inputPrYr!C5,"")</f>
        <v>estimated 2012 'total expenditures' exceed your 2012</v>
      </c>
    </row>
    <row r="9" ht="15">
      <c r="A9" s="429" t="s">
        <v>118</v>
      </c>
    </row>
    <row r="10" ht="15">
      <c r="A10" s="426"/>
    </row>
    <row r="11" ht="15">
      <c r="A11" s="426" t="s">
        <v>119</v>
      </c>
    </row>
    <row r="12" ht="15">
      <c r="A12" s="426" t="s">
        <v>120</v>
      </c>
    </row>
    <row r="13" ht="15">
      <c r="A13" s="426" t="s">
        <v>121</v>
      </c>
    </row>
    <row r="14" ht="15">
      <c r="A14" s="426"/>
    </row>
    <row r="15" ht="15">
      <c r="A15" s="425" t="s">
        <v>122</v>
      </c>
    </row>
    <row r="16" spans="1:7" ht="15">
      <c r="A16" s="427"/>
      <c r="B16" s="427"/>
      <c r="C16" s="427"/>
      <c r="D16" s="427"/>
      <c r="E16" s="427"/>
      <c r="F16" s="427"/>
      <c r="G16" s="427"/>
    </row>
    <row r="17" spans="1:8" ht="15">
      <c r="A17" s="430" t="s">
        <v>123</v>
      </c>
      <c r="B17" s="414"/>
      <c r="C17" s="414"/>
      <c r="D17" s="414"/>
      <c r="E17" s="414"/>
      <c r="F17" s="414"/>
      <c r="G17" s="414"/>
      <c r="H17" s="414"/>
    </row>
    <row r="18" spans="1:7" ht="15">
      <c r="A18" s="426" t="s">
        <v>124</v>
      </c>
      <c r="B18" s="431"/>
      <c r="C18" s="431"/>
      <c r="D18" s="431"/>
      <c r="E18" s="431"/>
      <c r="F18" s="431"/>
      <c r="G18" s="431"/>
    </row>
    <row r="19" ht="15">
      <c r="A19" s="426" t="s">
        <v>125</v>
      </c>
    </row>
    <row r="20" ht="15">
      <c r="A20" s="426" t="s">
        <v>126</v>
      </c>
    </row>
    <row r="22" ht="15">
      <c r="A22" s="425" t="s">
        <v>127</v>
      </c>
    </row>
    <row r="24" ht="15">
      <c r="A24" s="426" t="s">
        <v>128</v>
      </c>
    </row>
    <row r="25" ht="15">
      <c r="A25" s="426" t="s">
        <v>129</v>
      </c>
    </row>
    <row r="26" ht="15">
      <c r="A26" s="426" t="s">
        <v>130</v>
      </c>
    </row>
    <row r="28" ht="15">
      <c r="A28" s="425" t="s">
        <v>131</v>
      </c>
    </row>
    <row r="30" ht="15">
      <c r="A30" t="s">
        <v>132</v>
      </c>
    </row>
    <row r="31" ht="15">
      <c r="A31" t="s">
        <v>133</v>
      </c>
    </row>
    <row r="32" ht="15">
      <c r="A32" t="s">
        <v>134</v>
      </c>
    </row>
    <row r="33" ht="15">
      <c r="A33" s="426" t="s">
        <v>135</v>
      </c>
    </row>
    <row r="35" ht="15">
      <c r="A35" t="s">
        <v>136</v>
      </c>
    </row>
    <row r="36" ht="15">
      <c r="A36" t="s">
        <v>137</v>
      </c>
    </row>
    <row r="37" ht="15">
      <c r="A37" t="s">
        <v>138</v>
      </c>
    </row>
    <row r="38" ht="15">
      <c r="A38" t="s">
        <v>139</v>
      </c>
    </row>
    <row r="40" ht="15">
      <c r="A40" t="s">
        <v>140</v>
      </c>
    </row>
    <row r="41" ht="15">
      <c r="A41" t="s">
        <v>141</v>
      </c>
    </row>
    <row r="42" ht="15">
      <c r="A42" t="s">
        <v>142</v>
      </c>
    </row>
    <row r="43" ht="15">
      <c r="A43" t="s">
        <v>143</v>
      </c>
    </row>
    <row r="44" ht="15">
      <c r="A44" t="s">
        <v>144</v>
      </c>
    </row>
    <row r="45" ht="15">
      <c r="A45" t="s">
        <v>145</v>
      </c>
    </row>
    <row r="47" ht="15">
      <c r="A47" t="s">
        <v>146</v>
      </c>
    </row>
    <row r="48" ht="15">
      <c r="A48" t="s">
        <v>147</v>
      </c>
    </row>
    <row r="49" ht="15">
      <c r="A49" s="426" t="s">
        <v>148</v>
      </c>
    </row>
    <row r="50" ht="15">
      <c r="A50" s="426" t="s">
        <v>149</v>
      </c>
    </row>
    <row r="52" ht="15">
      <c r="A52" t="s">
        <v>690</v>
      </c>
    </row>
  </sheetData>
  <sheetProtection sheet="1"/>
  <printOptions/>
  <pageMargins left="0.7" right="0.7" top="0.75" bottom="0.75" header="0.3" footer="0.3"/>
  <pageSetup horizontalDpi="600" verticalDpi="600" orientation="portrait" r:id="rId1"/>
</worksheet>
</file>

<file path=xl/worksheets/sheet48.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
  <cols>
    <col min="1" max="1" width="7.59765625" style="488" customWidth="1"/>
    <col min="2" max="2" width="11.19921875" style="579" customWidth="1"/>
    <col min="3" max="3" width="7.3984375" style="579" customWidth="1"/>
    <col min="4" max="4" width="8.8984375" style="579" customWidth="1"/>
    <col min="5" max="5" width="1.59765625" style="579" customWidth="1"/>
    <col min="6" max="6" width="14.296875" style="579" customWidth="1"/>
    <col min="7" max="7" width="2.59765625" style="579" customWidth="1"/>
    <col min="8" max="8" width="9.796875" style="579" customWidth="1"/>
    <col min="9" max="9" width="2" style="579" customWidth="1"/>
    <col min="10" max="10" width="8.59765625" style="579" customWidth="1"/>
    <col min="11" max="11" width="11.69921875" style="579" customWidth="1"/>
    <col min="12" max="12" width="7.59765625" style="488" customWidth="1"/>
    <col min="13" max="14" width="8.8984375" style="488" customWidth="1"/>
    <col min="15" max="15" width="9.8984375" style="488" bestFit="1" customWidth="1"/>
    <col min="16" max="16384" width="8.8984375" style="488" customWidth="1"/>
  </cols>
  <sheetData>
    <row r="1" spans="1:12" ht="14.25">
      <c r="A1" s="578"/>
      <c r="B1" s="578"/>
      <c r="C1" s="578"/>
      <c r="D1" s="578"/>
      <c r="E1" s="578"/>
      <c r="F1" s="578"/>
      <c r="G1" s="578"/>
      <c r="H1" s="578"/>
      <c r="I1" s="578"/>
      <c r="J1" s="578"/>
      <c r="K1" s="578"/>
      <c r="L1" s="578"/>
    </row>
    <row r="2" spans="1:12" ht="14.25">
      <c r="A2" s="578"/>
      <c r="B2" s="578"/>
      <c r="C2" s="578"/>
      <c r="D2" s="578"/>
      <c r="E2" s="578"/>
      <c r="F2" s="578"/>
      <c r="G2" s="578"/>
      <c r="H2" s="578"/>
      <c r="I2" s="578"/>
      <c r="J2" s="578"/>
      <c r="K2" s="578"/>
      <c r="L2" s="578"/>
    </row>
    <row r="3" spans="1:12" ht="14.25">
      <c r="A3" s="578"/>
      <c r="B3" s="578"/>
      <c r="C3" s="578"/>
      <c r="D3" s="578"/>
      <c r="E3" s="578"/>
      <c r="F3" s="578"/>
      <c r="G3" s="578"/>
      <c r="H3" s="578"/>
      <c r="I3" s="578"/>
      <c r="J3" s="578"/>
      <c r="K3" s="578"/>
      <c r="L3" s="578"/>
    </row>
    <row r="4" spans="1:12" ht="14.25">
      <c r="A4" s="578"/>
      <c r="L4" s="578"/>
    </row>
    <row r="5" spans="1:12" ht="15" customHeight="1">
      <c r="A5" s="578"/>
      <c r="L5" s="578"/>
    </row>
    <row r="6" spans="1:12" ht="33" customHeight="1">
      <c r="A6" s="578"/>
      <c r="B6" s="738" t="s">
        <v>737</v>
      </c>
      <c r="C6" s="735"/>
      <c r="D6" s="735"/>
      <c r="E6" s="735"/>
      <c r="F6" s="735"/>
      <c r="G6" s="735"/>
      <c r="H6" s="735"/>
      <c r="I6" s="735"/>
      <c r="J6" s="735"/>
      <c r="K6" s="735"/>
      <c r="L6" s="580"/>
    </row>
    <row r="7" spans="1:12" ht="40.5" customHeight="1">
      <c r="A7" s="578"/>
      <c r="B7" s="751" t="s">
        <v>738</v>
      </c>
      <c r="C7" s="752"/>
      <c r="D7" s="752"/>
      <c r="E7" s="752"/>
      <c r="F7" s="752"/>
      <c r="G7" s="752"/>
      <c r="H7" s="752"/>
      <c r="I7" s="752"/>
      <c r="J7" s="752"/>
      <c r="K7" s="752"/>
      <c r="L7" s="578"/>
    </row>
    <row r="8" spans="1:12" ht="14.25">
      <c r="A8" s="578"/>
      <c r="B8" s="747" t="s">
        <v>739</v>
      </c>
      <c r="C8" s="747"/>
      <c r="D8" s="747"/>
      <c r="E8" s="747"/>
      <c r="F8" s="747"/>
      <c r="G8" s="747"/>
      <c r="H8" s="747"/>
      <c r="I8" s="747"/>
      <c r="J8" s="747"/>
      <c r="K8" s="747"/>
      <c r="L8" s="578"/>
    </row>
    <row r="9" spans="1:12" ht="14.25">
      <c r="A9" s="578"/>
      <c r="L9" s="578"/>
    </row>
    <row r="10" spans="1:12" ht="14.25">
      <c r="A10" s="578"/>
      <c r="B10" s="747" t="s">
        <v>740</v>
      </c>
      <c r="C10" s="747"/>
      <c r="D10" s="747"/>
      <c r="E10" s="747"/>
      <c r="F10" s="747"/>
      <c r="G10" s="747"/>
      <c r="H10" s="747"/>
      <c r="I10" s="747"/>
      <c r="J10" s="747"/>
      <c r="K10" s="747"/>
      <c r="L10" s="578"/>
    </row>
    <row r="11" spans="1:12" ht="14.25">
      <c r="A11" s="578"/>
      <c r="B11" s="559"/>
      <c r="C11" s="559"/>
      <c r="D11" s="559"/>
      <c r="E11" s="559"/>
      <c r="F11" s="559"/>
      <c r="G11" s="559"/>
      <c r="H11" s="559"/>
      <c r="I11" s="559"/>
      <c r="J11" s="559"/>
      <c r="K11" s="559"/>
      <c r="L11" s="578"/>
    </row>
    <row r="12" spans="1:12" ht="32.25" customHeight="1">
      <c r="A12" s="578"/>
      <c r="B12" s="741" t="s">
        <v>741</v>
      </c>
      <c r="C12" s="741"/>
      <c r="D12" s="741"/>
      <c r="E12" s="741"/>
      <c r="F12" s="741"/>
      <c r="G12" s="741"/>
      <c r="H12" s="741"/>
      <c r="I12" s="741"/>
      <c r="J12" s="741"/>
      <c r="K12" s="741"/>
      <c r="L12" s="578"/>
    </row>
    <row r="13" spans="1:12" ht="14.25">
      <c r="A13" s="578"/>
      <c r="L13" s="578"/>
    </row>
    <row r="14" spans="1:12" ht="14.25">
      <c r="A14" s="578"/>
      <c r="B14" s="560" t="s">
        <v>742</v>
      </c>
      <c r="L14" s="578"/>
    </row>
    <row r="15" spans="1:12" ht="14.25">
      <c r="A15" s="578"/>
      <c r="L15" s="578"/>
    </row>
    <row r="16" spans="1:12" ht="14.25">
      <c r="A16" s="578"/>
      <c r="B16" s="579" t="s">
        <v>743</v>
      </c>
      <c r="L16" s="578"/>
    </row>
    <row r="17" spans="1:12" ht="14.25">
      <c r="A17" s="578"/>
      <c r="B17" s="579" t="s">
        <v>744</v>
      </c>
      <c r="L17" s="578"/>
    </row>
    <row r="18" spans="1:12" ht="14.25">
      <c r="A18" s="578"/>
      <c r="L18" s="578"/>
    </row>
    <row r="19" spans="1:12" ht="14.25">
      <c r="A19" s="578"/>
      <c r="B19" s="560" t="s">
        <v>745</v>
      </c>
      <c r="L19" s="578"/>
    </row>
    <row r="20" spans="1:12" ht="14.25">
      <c r="A20" s="578"/>
      <c r="B20" s="560"/>
      <c r="L20" s="578"/>
    </row>
    <row r="21" spans="1:12" ht="14.25">
      <c r="A21" s="578"/>
      <c r="B21" s="579" t="s">
        <v>746</v>
      </c>
      <c r="L21" s="578"/>
    </row>
    <row r="22" spans="1:12" ht="14.25">
      <c r="A22" s="578"/>
      <c r="L22" s="578"/>
    </row>
    <row r="23" spans="1:12" ht="14.25">
      <c r="A23" s="578"/>
      <c r="B23" s="579" t="s">
        <v>747</v>
      </c>
      <c r="E23" s="579" t="s">
        <v>748</v>
      </c>
      <c r="F23" s="737">
        <v>133685008</v>
      </c>
      <c r="G23" s="737"/>
      <c r="L23" s="578"/>
    </row>
    <row r="24" spans="1:12" ht="14.25">
      <c r="A24" s="578"/>
      <c r="L24" s="578"/>
    </row>
    <row r="25" spans="1:12" ht="14.25">
      <c r="A25" s="578"/>
      <c r="C25" s="755">
        <f>F23</f>
        <v>133685008</v>
      </c>
      <c r="D25" s="755"/>
      <c r="E25" s="579" t="s">
        <v>749</v>
      </c>
      <c r="F25" s="581">
        <v>1000</v>
      </c>
      <c r="G25" s="581" t="s">
        <v>748</v>
      </c>
      <c r="H25" s="582">
        <f>F23/F25</f>
        <v>133685.008</v>
      </c>
      <c r="L25" s="578"/>
    </row>
    <row r="26" spans="1:12" ht="15" thickBot="1">
      <c r="A26" s="578"/>
      <c r="L26" s="578"/>
    </row>
    <row r="27" spans="1:12" ht="14.25">
      <c r="A27" s="578"/>
      <c r="B27" s="561" t="s">
        <v>742</v>
      </c>
      <c r="C27" s="583"/>
      <c r="D27" s="583"/>
      <c r="E27" s="583"/>
      <c r="F27" s="583"/>
      <c r="G27" s="583"/>
      <c r="H27" s="583"/>
      <c r="I27" s="583"/>
      <c r="J27" s="583"/>
      <c r="K27" s="584"/>
      <c r="L27" s="578"/>
    </row>
    <row r="28" spans="1:12" ht="14.25">
      <c r="A28" s="578"/>
      <c r="B28" s="585">
        <f>F23</f>
        <v>133685008</v>
      </c>
      <c r="C28" s="586" t="s">
        <v>750</v>
      </c>
      <c r="D28" s="586"/>
      <c r="E28" s="586" t="s">
        <v>749</v>
      </c>
      <c r="F28" s="587">
        <v>1000</v>
      </c>
      <c r="G28" s="587" t="s">
        <v>748</v>
      </c>
      <c r="H28" s="588">
        <f>B28/F28</f>
        <v>133685.008</v>
      </c>
      <c r="I28" s="586" t="s">
        <v>751</v>
      </c>
      <c r="J28" s="586"/>
      <c r="K28" s="589"/>
      <c r="L28" s="578"/>
    </row>
    <row r="29" spans="1:12" ht="15" thickBot="1">
      <c r="A29" s="578"/>
      <c r="B29" s="590"/>
      <c r="C29" s="591"/>
      <c r="D29" s="591"/>
      <c r="E29" s="591"/>
      <c r="F29" s="591"/>
      <c r="G29" s="591"/>
      <c r="H29" s="591"/>
      <c r="I29" s="591"/>
      <c r="J29" s="591"/>
      <c r="K29" s="592"/>
      <c r="L29" s="578"/>
    </row>
    <row r="30" spans="1:12" ht="40.5" customHeight="1">
      <c r="A30" s="578"/>
      <c r="B30" s="732" t="s">
        <v>738</v>
      </c>
      <c r="C30" s="732"/>
      <c r="D30" s="732"/>
      <c r="E30" s="732"/>
      <c r="F30" s="732"/>
      <c r="G30" s="732"/>
      <c r="H30" s="732"/>
      <c r="I30" s="732"/>
      <c r="J30" s="732"/>
      <c r="K30" s="732"/>
      <c r="L30" s="578"/>
    </row>
    <row r="31" spans="1:12" ht="14.25">
      <c r="A31" s="578"/>
      <c r="B31" s="747" t="s">
        <v>752</v>
      </c>
      <c r="C31" s="747"/>
      <c r="D31" s="747"/>
      <c r="E31" s="747"/>
      <c r="F31" s="747"/>
      <c r="G31" s="747"/>
      <c r="H31" s="747"/>
      <c r="I31" s="747"/>
      <c r="J31" s="747"/>
      <c r="K31" s="747"/>
      <c r="L31" s="578"/>
    </row>
    <row r="32" spans="1:12" ht="14.25">
      <c r="A32" s="578"/>
      <c r="L32" s="578"/>
    </row>
    <row r="33" spans="1:12" ht="14.25">
      <c r="A33" s="578"/>
      <c r="B33" s="747" t="s">
        <v>753</v>
      </c>
      <c r="C33" s="747"/>
      <c r="D33" s="747"/>
      <c r="E33" s="747"/>
      <c r="F33" s="747"/>
      <c r="G33" s="747"/>
      <c r="H33" s="747"/>
      <c r="I33" s="747"/>
      <c r="J33" s="747"/>
      <c r="K33" s="747"/>
      <c r="L33" s="578"/>
    </row>
    <row r="34" spans="1:12" ht="14.25">
      <c r="A34" s="578"/>
      <c r="L34" s="578"/>
    </row>
    <row r="35" spans="1:12" ht="89.25" customHeight="1">
      <c r="A35" s="578"/>
      <c r="B35" s="741" t="s">
        <v>754</v>
      </c>
      <c r="C35" s="744"/>
      <c r="D35" s="744"/>
      <c r="E35" s="744"/>
      <c r="F35" s="744"/>
      <c r="G35" s="744"/>
      <c r="H35" s="744"/>
      <c r="I35" s="744"/>
      <c r="J35" s="744"/>
      <c r="K35" s="744"/>
      <c r="L35" s="578"/>
    </row>
    <row r="36" spans="1:12" ht="14.25">
      <c r="A36" s="578"/>
      <c r="L36" s="578"/>
    </row>
    <row r="37" spans="1:12" ht="14.25">
      <c r="A37" s="578"/>
      <c r="B37" s="560" t="s">
        <v>755</v>
      </c>
      <c r="L37" s="578"/>
    </row>
    <row r="38" spans="1:12" ht="14.25">
      <c r="A38" s="578"/>
      <c r="L38" s="578"/>
    </row>
    <row r="39" spans="1:12" ht="14.25">
      <c r="A39" s="578"/>
      <c r="B39" s="579" t="s">
        <v>756</v>
      </c>
      <c r="L39" s="578"/>
    </row>
    <row r="40" spans="1:12" ht="14.25">
      <c r="A40" s="578"/>
      <c r="L40" s="578"/>
    </row>
    <row r="41" spans="1:12" ht="14.25">
      <c r="A41" s="578"/>
      <c r="C41" s="748">
        <v>3120000</v>
      </c>
      <c r="D41" s="748"/>
      <c r="E41" s="579" t="s">
        <v>749</v>
      </c>
      <c r="F41" s="581">
        <v>1000</v>
      </c>
      <c r="G41" s="581" t="s">
        <v>748</v>
      </c>
      <c r="H41" s="593">
        <f>C41/F41</f>
        <v>3120</v>
      </c>
      <c r="L41" s="578"/>
    </row>
    <row r="42" spans="1:12" ht="14.25">
      <c r="A42" s="578"/>
      <c r="L42" s="578"/>
    </row>
    <row r="43" spans="1:12" ht="14.25">
      <c r="A43" s="578"/>
      <c r="B43" s="579" t="s">
        <v>757</v>
      </c>
      <c r="L43" s="578"/>
    </row>
    <row r="44" spans="1:12" ht="14.25">
      <c r="A44" s="578"/>
      <c r="L44" s="578"/>
    </row>
    <row r="45" spans="1:12" ht="14.25">
      <c r="A45" s="578"/>
      <c r="B45" s="579" t="s">
        <v>69</v>
      </c>
      <c r="L45" s="578"/>
    </row>
    <row r="46" spans="1:12" ht="15" thickBot="1">
      <c r="A46" s="578"/>
      <c r="L46" s="578"/>
    </row>
    <row r="47" spans="1:12" ht="14.25">
      <c r="A47" s="578"/>
      <c r="B47" s="594" t="s">
        <v>742</v>
      </c>
      <c r="C47" s="583"/>
      <c r="D47" s="583"/>
      <c r="E47" s="583"/>
      <c r="F47" s="583"/>
      <c r="G47" s="583"/>
      <c r="H47" s="583"/>
      <c r="I47" s="583"/>
      <c r="J47" s="583"/>
      <c r="K47" s="584"/>
      <c r="L47" s="578"/>
    </row>
    <row r="48" spans="1:12" ht="14.25">
      <c r="A48" s="578"/>
      <c r="B48" s="737">
        <v>133685008</v>
      </c>
      <c r="C48" s="737"/>
      <c r="D48" s="586" t="s">
        <v>70</v>
      </c>
      <c r="E48" s="586" t="s">
        <v>749</v>
      </c>
      <c r="F48" s="587">
        <v>1000</v>
      </c>
      <c r="G48" s="587" t="s">
        <v>748</v>
      </c>
      <c r="H48" s="588">
        <f>B48/F48</f>
        <v>133685.008</v>
      </c>
      <c r="I48" s="586" t="s">
        <v>71</v>
      </c>
      <c r="J48" s="586"/>
      <c r="K48" s="589"/>
      <c r="L48" s="578"/>
    </row>
    <row r="49" spans="1:12" ht="14.25">
      <c r="A49" s="578"/>
      <c r="B49" s="595"/>
      <c r="C49" s="586"/>
      <c r="D49" s="586"/>
      <c r="E49" s="586"/>
      <c r="F49" s="586"/>
      <c r="G49" s="586"/>
      <c r="H49" s="586"/>
      <c r="I49" s="586"/>
      <c r="J49" s="586"/>
      <c r="K49" s="589"/>
      <c r="L49" s="578"/>
    </row>
    <row r="50" spans="1:12" ht="14.25">
      <c r="A50" s="578"/>
      <c r="B50" s="596">
        <v>7067793</v>
      </c>
      <c r="C50" s="586" t="s">
        <v>72</v>
      </c>
      <c r="D50" s="586"/>
      <c r="E50" s="586" t="s">
        <v>749</v>
      </c>
      <c r="F50" s="588">
        <f>H48</f>
        <v>133685.008</v>
      </c>
      <c r="G50" s="749" t="s">
        <v>73</v>
      </c>
      <c r="H50" s="750"/>
      <c r="I50" s="587" t="s">
        <v>748</v>
      </c>
      <c r="J50" s="597">
        <f>B50/F50</f>
        <v>52.8690023342034</v>
      </c>
      <c r="K50" s="589"/>
      <c r="L50" s="578"/>
    </row>
    <row r="51" spans="1:15" ht="15" thickBot="1">
      <c r="A51" s="578"/>
      <c r="B51" s="590"/>
      <c r="C51" s="591"/>
      <c r="D51" s="591"/>
      <c r="E51" s="591"/>
      <c r="F51" s="591"/>
      <c r="G51" s="591"/>
      <c r="H51" s="591"/>
      <c r="I51" s="753" t="s">
        <v>74</v>
      </c>
      <c r="J51" s="753"/>
      <c r="K51" s="754"/>
      <c r="L51" s="578"/>
      <c r="O51" s="598"/>
    </row>
    <row r="52" spans="1:12" ht="40.5" customHeight="1">
      <c r="A52" s="578"/>
      <c r="B52" s="732" t="s">
        <v>738</v>
      </c>
      <c r="C52" s="732"/>
      <c r="D52" s="732"/>
      <c r="E52" s="732"/>
      <c r="F52" s="732"/>
      <c r="G52" s="732"/>
      <c r="H52" s="732"/>
      <c r="I52" s="732"/>
      <c r="J52" s="732"/>
      <c r="K52" s="732"/>
      <c r="L52" s="578"/>
    </row>
    <row r="53" spans="1:12" ht="14.25">
      <c r="A53" s="578"/>
      <c r="B53" s="747" t="s">
        <v>75</v>
      </c>
      <c r="C53" s="747"/>
      <c r="D53" s="747"/>
      <c r="E53" s="747"/>
      <c r="F53" s="747"/>
      <c r="G53" s="747"/>
      <c r="H53" s="747"/>
      <c r="I53" s="747"/>
      <c r="J53" s="747"/>
      <c r="K53" s="747"/>
      <c r="L53" s="578"/>
    </row>
    <row r="54" spans="1:12" ht="14.25">
      <c r="A54" s="578"/>
      <c r="B54" s="559"/>
      <c r="C54" s="559"/>
      <c r="D54" s="559"/>
      <c r="E54" s="559"/>
      <c r="F54" s="559"/>
      <c r="G54" s="559"/>
      <c r="H54" s="559"/>
      <c r="I54" s="559"/>
      <c r="J54" s="559"/>
      <c r="K54" s="559"/>
      <c r="L54" s="578"/>
    </row>
    <row r="55" spans="1:12" ht="14.25">
      <c r="A55" s="578"/>
      <c r="B55" s="738" t="s">
        <v>76</v>
      </c>
      <c r="C55" s="738"/>
      <c r="D55" s="738"/>
      <c r="E55" s="738"/>
      <c r="F55" s="738"/>
      <c r="G55" s="738"/>
      <c r="H55" s="738"/>
      <c r="I55" s="738"/>
      <c r="J55" s="738"/>
      <c r="K55" s="738"/>
      <c r="L55" s="578"/>
    </row>
    <row r="56" spans="1:12" ht="15" customHeight="1">
      <c r="A56" s="578"/>
      <c r="L56" s="578"/>
    </row>
    <row r="57" spans="1:24" ht="74.25" customHeight="1">
      <c r="A57" s="578"/>
      <c r="B57" s="741" t="s">
        <v>77</v>
      </c>
      <c r="C57" s="744"/>
      <c r="D57" s="744"/>
      <c r="E57" s="744"/>
      <c r="F57" s="744"/>
      <c r="G57" s="744"/>
      <c r="H57" s="744"/>
      <c r="I57" s="744"/>
      <c r="J57" s="744"/>
      <c r="K57" s="744"/>
      <c r="L57" s="578"/>
      <c r="M57" s="562"/>
      <c r="N57" s="489"/>
      <c r="O57" s="489"/>
      <c r="P57" s="489"/>
      <c r="Q57" s="489"/>
      <c r="R57" s="489"/>
      <c r="S57" s="489"/>
      <c r="T57" s="489"/>
      <c r="U57" s="489"/>
      <c r="V57" s="489"/>
      <c r="W57" s="489"/>
      <c r="X57" s="489"/>
    </row>
    <row r="58" spans="1:24" ht="15" customHeight="1">
      <c r="A58" s="578"/>
      <c r="B58" s="741"/>
      <c r="C58" s="744"/>
      <c r="D58" s="744"/>
      <c r="E58" s="744"/>
      <c r="F58" s="744"/>
      <c r="G58" s="744"/>
      <c r="H58" s="744"/>
      <c r="I58" s="744"/>
      <c r="J58" s="744"/>
      <c r="K58" s="744"/>
      <c r="L58" s="578"/>
      <c r="M58" s="562"/>
      <c r="N58" s="489"/>
      <c r="O58" s="489"/>
      <c r="P58" s="489"/>
      <c r="Q58" s="489"/>
      <c r="R58" s="489"/>
      <c r="S58" s="489"/>
      <c r="T58" s="489"/>
      <c r="U58" s="489"/>
      <c r="V58" s="489"/>
      <c r="W58" s="489"/>
      <c r="X58" s="489"/>
    </row>
    <row r="59" spans="1:24" ht="14.25">
      <c r="A59" s="578"/>
      <c r="B59" s="560" t="s">
        <v>755</v>
      </c>
      <c r="L59" s="578"/>
      <c r="M59" s="489"/>
      <c r="N59" s="489"/>
      <c r="O59" s="489"/>
      <c r="P59" s="489"/>
      <c r="Q59" s="489"/>
      <c r="R59" s="489"/>
      <c r="S59" s="489"/>
      <c r="T59" s="489"/>
      <c r="U59" s="489"/>
      <c r="V59" s="489"/>
      <c r="W59" s="489"/>
      <c r="X59" s="489"/>
    </row>
    <row r="60" spans="1:24" ht="14.25">
      <c r="A60" s="578"/>
      <c r="L60" s="578"/>
      <c r="M60" s="489"/>
      <c r="N60" s="489"/>
      <c r="O60" s="489"/>
      <c r="P60" s="489"/>
      <c r="Q60" s="489"/>
      <c r="R60" s="489"/>
      <c r="S60" s="489"/>
      <c r="T60" s="489"/>
      <c r="U60" s="489"/>
      <c r="V60" s="489"/>
      <c r="W60" s="489"/>
      <c r="X60" s="489"/>
    </row>
    <row r="61" spans="1:24" ht="14.25">
      <c r="A61" s="578"/>
      <c r="B61" s="579" t="s">
        <v>78</v>
      </c>
      <c r="L61" s="578"/>
      <c r="M61" s="489"/>
      <c r="N61" s="489"/>
      <c r="O61" s="489"/>
      <c r="P61" s="489"/>
      <c r="Q61" s="489"/>
      <c r="R61" s="489"/>
      <c r="S61" s="489"/>
      <c r="T61" s="489"/>
      <c r="U61" s="489"/>
      <c r="V61" s="489"/>
      <c r="W61" s="489"/>
      <c r="X61" s="489"/>
    </row>
    <row r="62" spans="1:24" ht="14.25">
      <c r="A62" s="578"/>
      <c r="B62" s="579" t="s">
        <v>79</v>
      </c>
      <c r="L62" s="578"/>
      <c r="M62" s="489"/>
      <c r="N62" s="489"/>
      <c r="O62" s="489"/>
      <c r="P62" s="489"/>
      <c r="Q62" s="489"/>
      <c r="R62" s="489"/>
      <c r="S62" s="489"/>
      <c r="T62" s="489"/>
      <c r="U62" s="489"/>
      <c r="V62" s="489"/>
      <c r="W62" s="489"/>
      <c r="X62" s="489"/>
    </row>
    <row r="63" spans="1:24" ht="14.25">
      <c r="A63" s="578"/>
      <c r="B63" s="579" t="s">
        <v>80</v>
      </c>
      <c r="L63" s="578"/>
      <c r="M63" s="489"/>
      <c r="N63" s="489"/>
      <c r="O63" s="489"/>
      <c r="P63" s="489"/>
      <c r="Q63" s="489"/>
      <c r="R63" s="489"/>
      <c r="S63" s="489"/>
      <c r="T63" s="489"/>
      <c r="U63" s="489"/>
      <c r="V63" s="489"/>
      <c r="W63" s="489"/>
      <c r="X63" s="489"/>
    </row>
    <row r="64" spans="1:24" ht="14.25">
      <c r="A64" s="578"/>
      <c r="L64" s="578"/>
      <c r="M64" s="489"/>
      <c r="N64" s="489"/>
      <c r="O64" s="489"/>
      <c r="P64" s="489"/>
      <c r="Q64" s="489"/>
      <c r="R64" s="489"/>
      <c r="S64" s="489"/>
      <c r="T64" s="489"/>
      <c r="U64" s="489"/>
      <c r="V64" s="489"/>
      <c r="W64" s="489"/>
      <c r="X64" s="489"/>
    </row>
    <row r="65" spans="1:24" ht="14.25">
      <c r="A65" s="578"/>
      <c r="B65" s="579" t="s">
        <v>81</v>
      </c>
      <c r="L65" s="578"/>
      <c r="M65" s="489"/>
      <c r="N65" s="489"/>
      <c r="O65" s="489"/>
      <c r="P65" s="489"/>
      <c r="Q65" s="489"/>
      <c r="R65" s="489"/>
      <c r="S65" s="489"/>
      <c r="T65" s="489"/>
      <c r="U65" s="489"/>
      <c r="V65" s="489"/>
      <c r="W65" s="489"/>
      <c r="X65" s="489"/>
    </row>
    <row r="66" spans="1:24" ht="14.25">
      <c r="A66" s="578"/>
      <c r="B66" s="579" t="s">
        <v>82</v>
      </c>
      <c r="L66" s="578"/>
      <c r="M66" s="489"/>
      <c r="N66" s="489"/>
      <c r="O66" s="489"/>
      <c r="P66" s="489"/>
      <c r="Q66" s="489"/>
      <c r="R66" s="489"/>
      <c r="S66" s="489"/>
      <c r="T66" s="489"/>
      <c r="U66" s="489"/>
      <c r="V66" s="489"/>
      <c r="W66" s="489"/>
      <c r="X66" s="489"/>
    </row>
    <row r="67" spans="1:24" ht="14.25">
      <c r="A67" s="578"/>
      <c r="L67" s="578"/>
      <c r="M67" s="489"/>
      <c r="N67" s="489"/>
      <c r="O67" s="489"/>
      <c r="P67" s="489"/>
      <c r="Q67" s="489"/>
      <c r="R67" s="489"/>
      <c r="S67" s="489"/>
      <c r="T67" s="489"/>
      <c r="U67" s="489"/>
      <c r="V67" s="489"/>
      <c r="W67" s="489"/>
      <c r="X67" s="489"/>
    </row>
    <row r="68" spans="1:24" ht="14.25">
      <c r="A68" s="578"/>
      <c r="B68" s="579" t="s">
        <v>83</v>
      </c>
      <c r="L68" s="578"/>
      <c r="M68" s="563"/>
      <c r="N68" s="490"/>
      <c r="O68" s="490"/>
      <c r="P68" s="490"/>
      <c r="Q68" s="490"/>
      <c r="R68" s="490"/>
      <c r="S68" s="490"/>
      <c r="T68" s="490"/>
      <c r="U68" s="490"/>
      <c r="V68" s="490"/>
      <c r="W68" s="490"/>
      <c r="X68" s="489"/>
    </row>
    <row r="69" spans="1:24" ht="14.25">
      <c r="A69" s="578"/>
      <c r="B69" s="579" t="s">
        <v>84</v>
      </c>
      <c r="L69" s="578"/>
      <c r="M69" s="489"/>
      <c r="N69" s="489"/>
      <c r="O69" s="489"/>
      <c r="P69" s="489"/>
      <c r="Q69" s="489"/>
      <c r="R69" s="489"/>
      <c r="S69" s="489"/>
      <c r="T69" s="489"/>
      <c r="U69" s="489"/>
      <c r="V69" s="489"/>
      <c r="W69" s="489"/>
      <c r="X69" s="489"/>
    </row>
    <row r="70" spans="1:24" ht="14.25">
      <c r="A70" s="578"/>
      <c r="B70" s="579" t="s">
        <v>85</v>
      </c>
      <c r="L70" s="578"/>
      <c r="M70" s="489"/>
      <c r="N70" s="489"/>
      <c r="O70" s="489"/>
      <c r="P70" s="489"/>
      <c r="Q70" s="489"/>
      <c r="R70" s="489"/>
      <c r="S70" s="489"/>
      <c r="T70" s="489"/>
      <c r="U70" s="489"/>
      <c r="V70" s="489"/>
      <c r="W70" s="489"/>
      <c r="X70" s="489"/>
    </row>
    <row r="71" spans="1:12" ht="15" thickBot="1">
      <c r="A71" s="578"/>
      <c r="B71" s="586"/>
      <c r="C71" s="586"/>
      <c r="D71" s="586"/>
      <c r="E71" s="586"/>
      <c r="F71" s="586"/>
      <c r="G71" s="586"/>
      <c r="H71" s="586"/>
      <c r="I71" s="586"/>
      <c r="J71" s="586"/>
      <c r="K71" s="586"/>
      <c r="L71" s="578"/>
    </row>
    <row r="72" spans="1:12" ht="14.25">
      <c r="A72" s="578"/>
      <c r="B72" s="561" t="s">
        <v>742</v>
      </c>
      <c r="C72" s="583"/>
      <c r="D72" s="583"/>
      <c r="E72" s="583"/>
      <c r="F72" s="583"/>
      <c r="G72" s="583"/>
      <c r="H72" s="583"/>
      <c r="I72" s="583"/>
      <c r="J72" s="583"/>
      <c r="K72" s="584"/>
      <c r="L72" s="599"/>
    </row>
    <row r="73" spans="1:12" ht="14.25">
      <c r="A73" s="578"/>
      <c r="B73" s="595"/>
      <c r="C73" s="586" t="s">
        <v>750</v>
      </c>
      <c r="D73" s="586"/>
      <c r="E73" s="586"/>
      <c r="F73" s="586"/>
      <c r="G73" s="586"/>
      <c r="H73" s="586"/>
      <c r="I73" s="586"/>
      <c r="J73" s="586"/>
      <c r="K73" s="589"/>
      <c r="L73" s="599"/>
    </row>
    <row r="74" spans="1:12" ht="14.25">
      <c r="A74" s="578"/>
      <c r="B74" s="595" t="s">
        <v>86</v>
      </c>
      <c r="C74" s="737">
        <v>133685008</v>
      </c>
      <c r="D74" s="737"/>
      <c r="E74" s="587" t="s">
        <v>749</v>
      </c>
      <c r="F74" s="587">
        <v>1000</v>
      </c>
      <c r="G74" s="587" t="s">
        <v>748</v>
      </c>
      <c r="H74" s="600">
        <f>C74/F74</f>
        <v>133685.008</v>
      </c>
      <c r="I74" s="586" t="s">
        <v>87</v>
      </c>
      <c r="J74" s="586"/>
      <c r="K74" s="589"/>
      <c r="L74" s="599"/>
    </row>
    <row r="75" spans="1:12" ht="14.25">
      <c r="A75" s="578"/>
      <c r="B75" s="595"/>
      <c r="C75" s="586"/>
      <c r="D75" s="586"/>
      <c r="E75" s="587"/>
      <c r="F75" s="586"/>
      <c r="G75" s="586"/>
      <c r="H75" s="586"/>
      <c r="I75" s="586"/>
      <c r="J75" s="586"/>
      <c r="K75" s="589"/>
      <c r="L75" s="599"/>
    </row>
    <row r="76" spans="1:12" ht="14.25">
      <c r="A76" s="578"/>
      <c r="B76" s="595"/>
      <c r="C76" s="586" t="s">
        <v>88</v>
      </c>
      <c r="D76" s="586"/>
      <c r="E76" s="587"/>
      <c r="F76" s="586" t="s">
        <v>87</v>
      </c>
      <c r="G76" s="586"/>
      <c r="H76" s="586"/>
      <c r="I76" s="586"/>
      <c r="J76" s="586"/>
      <c r="K76" s="589"/>
      <c r="L76" s="599"/>
    </row>
    <row r="77" spans="1:12" ht="14.25">
      <c r="A77" s="578"/>
      <c r="B77" s="595" t="s">
        <v>91</v>
      </c>
      <c r="C77" s="737">
        <v>5000</v>
      </c>
      <c r="D77" s="737"/>
      <c r="E77" s="587" t="s">
        <v>749</v>
      </c>
      <c r="F77" s="600">
        <f>H74</f>
        <v>133685.008</v>
      </c>
      <c r="G77" s="587" t="s">
        <v>748</v>
      </c>
      <c r="H77" s="597">
        <f>C77/F77</f>
        <v>0.03740135169083432</v>
      </c>
      <c r="I77" s="586" t="s">
        <v>89</v>
      </c>
      <c r="J77" s="586"/>
      <c r="K77" s="589"/>
      <c r="L77" s="599"/>
    </row>
    <row r="78" spans="1:12" ht="14.25">
      <c r="A78" s="578"/>
      <c r="B78" s="595"/>
      <c r="C78" s="586"/>
      <c r="D78" s="586"/>
      <c r="E78" s="587"/>
      <c r="F78" s="586"/>
      <c r="G78" s="586"/>
      <c r="H78" s="586"/>
      <c r="I78" s="586"/>
      <c r="J78" s="586"/>
      <c r="K78" s="589"/>
      <c r="L78" s="599"/>
    </row>
    <row r="79" spans="1:12" ht="14.25">
      <c r="A79" s="578"/>
      <c r="B79" s="601"/>
      <c r="C79" s="602" t="s">
        <v>90</v>
      </c>
      <c r="D79" s="602"/>
      <c r="E79" s="603"/>
      <c r="F79" s="602"/>
      <c r="G79" s="602"/>
      <c r="H79" s="602"/>
      <c r="I79" s="602"/>
      <c r="J79" s="602"/>
      <c r="K79" s="604"/>
      <c r="L79" s="599"/>
    </row>
    <row r="80" spans="1:12" ht="14.25">
      <c r="A80" s="578"/>
      <c r="B80" s="595" t="s">
        <v>638</v>
      </c>
      <c r="C80" s="737">
        <v>100000</v>
      </c>
      <c r="D80" s="737"/>
      <c r="E80" s="587" t="s">
        <v>462</v>
      </c>
      <c r="F80" s="587">
        <v>0.115</v>
      </c>
      <c r="G80" s="587" t="s">
        <v>748</v>
      </c>
      <c r="H80" s="600">
        <f>C80*F80</f>
        <v>11500</v>
      </c>
      <c r="I80" s="586" t="s">
        <v>92</v>
      </c>
      <c r="J80" s="586"/>
      <c r="K80" s="589"/>
      <c r="L80" s="599"/>
    </row>
    <row r="81" spans="1:12" ht="14.25">
      <c r="A81" s="578"/>
      <c r="B81" s="595"/>
      <c r="C81" s="586"/>
      <c r="D81" s="586"/>
      <c r="E81" s="587"/>
      <c r="F81" s="586"/>
      <c r="G81" s="586"/>
      <c r="H81" s="586"/>
      <c r="I81" s="586"/>
      <c r="J81" s="586"/>
      <c r="K81" s="589"/>
      <c r="L81" s="599"/>
    </row>
    <row r="82" spans="1:12" ht="14.25">
      <c r="A82" s="578"/>
      <c r="B82" s="601"/>
      <c r="C82" s="602" t="s">
        <v>93</v>
      </c>
      <c r="D82" s="602"/>
      <c r="E82" s="603"/>
      <c r="F82" s="602" t="s">
        <v>89</v>
      </c>
      <c r="G82" s="602"/>
      <c r="H82" s="602"/>
      <c r="I82" s="602"/>
      <c r="J82" s="602" t="s">
        <v>94</v>
      </c>
      <c r="K82" s="604"/>
      <c r="L82" s="599"/>
    </row>
    <row r="83" spans="1:12" ht="14.25">
      <c r="A83" s="578"/>
      <c r="B83" s="595" t="s">
        <v>639</v>
      </c>
      <c r="C83" s="745">
        <f>H80</f>
        <v>11500</v>
      </c>
      <c r="D83" s="745"/>
      <c r="E83" s="587" t="s">
        <v>462</v>
      </c>
      <c r="F83" s="597">
        <f>H77</f>
        <v>0.03740135169083432</v>
      </c>
      <c r="G83" s="587" t="s">
        <v>749</v>
      </c>
      <c r="H83" s="587">
        <v>1000</v>
      </c>
      <c r="I83" s="587" t="s">
        <v>748</v>
      </c>
      <c r="J83" s="605">
        <f>C83*F83/H83</f>
        <v>0.43011554444459466</v>
      </c>
      <c r="K83" s="589"/>
      <c r="L83" s="599"/>
    </row>
    <row r="84" spans="1:12" ht="15" thickBot="1">
      <c r="A84" s="578"/>
      <c r="B84" s="590"/>
      <c r="C84" s="606"/>
      <c r="D84" s="606"/>
      <c r="E84" s="607"/>
      <c r="F84" s="608"/>
      <c r="G84" s="607"/>
      <c r="H84" s="607"/>
      <c r="I84" s="607"/>
      <c r="J84" s="609"/>
      <c r="K84" s="592"/>
      <c r="L84" s="599"/>
    </row>
    <row r="85" spans="1:12" ht="40.5" customHeight="1">
      <c r="A85" s="578"/>
      <c r="B85" s="732" t="s">
        <v>738</v>
      </c>
      <c r="C85" s="732"/>
      <c r="D85" s="732"/>
      <c r="E85" s="732"/>
      <c r="F85" s="732"/>
      <c r="G85" s="732"/>
      <c r="H85" s="732"/>
      <c r="I85" s="732"/>
      <c r="J85" s="732"/>
      <c r="K85" s="732"/>
      <c r="L85" s="578"/>
    </row>
    <row r="86" spans="1:12" ht="14.25">
      <c r="A86" s="578"/>
      <c r="B86" s="738" t="s">
        <v>95</v>
      </c>
      <c r="C86" s="738"/>
      <c r="D86" s="738"/>
      <c r="E86" s="738"/>
      <c r="F86" s="738"/>
      <c r="G86" s="738"/>
      <c r="H86" s="738"/>
      <c r="I86" s="738"/>
      <c r="J86" s="738"/>
      <c r="K86" s="738"/>
      <c r="L86" s="578"/>
    </row>
    <row r="87" spans="1:12" ht="14.25">
      <c r="A87" s="578"/>
      <c r="B87" s="610"/>
      <c r="C87" s="610"/>
      <c r="D87" s="610"/>
      <c r="E87" s="610"/>
      <c r="F87" s="610"/>
      <c r="G87" s="610"/>
      <c r="H87" s="610"/>
      <c r="I87" s="610"/>
      <c r="J87" s="610"/>
      <c r="K87" s="610"/>
      <c r="L87" s="578"/>
    </row>
    <row r="88" spans="1:12" ht="14.25">
      <c r="A88" s="578"/>
      <c r="B88" s="738" t="s">
        <v>96</v>
      </c>
      <c r="C88" s="738"/>
      <c r="D88" s="738"/>
      <c r="E88" s="738"/>
      <c r="F88" s="738"/>
      <c r="G88" s="738"/>
      <c r="H88" s="738"/>
      <c r="I88" s="738"/>
      <c r="J88" s="738"/>
      <c r="K88" s="738"/>
      <c r="L88" s="578"/>
    </row>
    <row r="89" spans="1:12" ht="14.25">
      <c r="A89" s="578"/>
      <c r="B89" s="564"/>
      <c r="C89" s="564"/>
      <c r="D89" s="564"/>
      <c r="E89" s="564"/>
      <c r="F89" s="564"/>
      <c r="G89" s="564"/>
      <c r="H89" s="564"/>
      <c r="I89" s="564"/>
      <c r="J89" s="564"/>
      <c r="K89" s="564"/>
      <c r="L89" s="578"/>
    </row>
    <row r="90" spans="1:12" ht="45" customHeight="1">
      <c r="A90" s="578"/>
      <c r="B90" s="741" t="s">
        <v>97</v>
      </c>
      <c r="C90" s="741"/>
      <c r="D90" s="741"/>
      <c r="E90" s="741"/>
      <c r="F90" s="741"/>
      <c r="G90" s="741"/>
      <c r="H90" s="741"/>
      <c r="I90" s="741"/>
      <c r="J90" s="741"/>
      <c r="K90" s="741"/>
      <c r="L90" s="578"/>
    </row>
    <row r="91" spans="1:12" ht="15" customHeight="1" thickBot="1">
      <c r="A91" s="578"/>
      <c r="L91" s="578"/>
    </row>
    <row r="92" spans="1:12" ht="15" customHeight="1">
      <c r="A92" s="578"/>
      <c r="B92" s="565" t="s">
        <v>742</v>
      </c>
      <c r="C92" s="611"/>
      <c r="D92" s="611"/>
      <c r="E92" s="611"/>
      <c r="F92" s="611"/>
      <c r="G92" s="611"/>
      <c r="H92" s="611"/>
      <c r="I92" s="611"/>
      <c r="J92" s="611"/>
      <c r="K92" s="612"/>
      <c r="L92" s="578"/>
    </row>
    <row r="93" spans="1:12" ht="15" customHeight="1">
      <c r="A93" s="578"/>
      <c r="B93" s="613"/>
      <c r="C93" s="614" t="s">
        <v>750</v>
      </c>
      <c r="D93" s="614"/>
      <c r="E93" s="614"/>
      <c r="F93" s="614"/>
      <c r="G93" s="614"/>
      <c r="H93" s="614"/>
      <c r="I93" s="614"/>
      <c r="J93" s="614"/>
      <c r="K93" s="615"/>
      <c r="L93" s="578"/>
    </row>
    <row r="94" spans="1:12" ht="15" customHeight="1">
      <c r="A94" s="578"/>
      <c r="B94" s="613" t="s">
        <v>86</v>
      </c>
      <c r="C94" s="737">
        <v>133685008</v>
      </c>
      <c r="D94" s="737"/>
      <c r="E94" s="587" t="s">
        <v>749</v>
      </c>
      <c r="F94" s="587">
        <v>1000</v>
      </c>
      <c r="G94" s="587" t="s">
        <v>748</v>
      </c>
      <c r="H94" s="600">
        <f>C94/F94</f>
        <v>133685.008</v>
      </c>
      <c r="I94" s="614" t="s">
        <v>87</v>
      </c>
      <c r="J94" s="614"/>
      <c r="K94" s="615"/>
      <c r="L94" s="578"/>
    </row>
    <row r="95" spans="1:12" ht="15" customHeight="1">
      <c r="A95" s="578"/>
      <c r="B95" s="613"/>
      <c r="C95" s="614"/>
      <c r="D95" s="614"/>
      <c r="E95" s="587"/>
      <c r="F95" s="614"/>
      <c r="G95" s="614"/>
      <c r="H95" s="614"/>
      <c r="I95" s="614"/>
      <c r="J95" s="614"/>
      <c r="K95" s="615"/>
      <c r="L95" s="578"/>
    </row>
    <row r="96" spans="1:12" ht="15" customHeight="1">
      <c r="A96" s="578"/>
      <c r="B96" s="613"/>
      <c r="C96" s="614" t="s">
        <v>88</v>
      </c>
      <c r="D96" s="614"/>
      <c r="E96" s="587"/>
      <c r="F96" s="614" t="s">
        <v>87</v>
      </c>
      <c r="G96" s="614"/>
      <c r="H96" s="614"/>
      <c r="I96" s="614"/>
      <c r="J96" s="614"/>
      <c r="K96" s="615"/>
      <c r="L96" s="578"/>
    </row>
    <row r="97" spans="1:12" ht="15" customHeight="1">
      <c r="A97" s="578"/>
      <c r="B97" s="613" t="s">
        <v>91</v>
      </c>
      <c r="C97" s="737">
        <v>50000</v>
      </c>
      <c r="D97" s="737"/>
      <c r="E97" s="587" t="s">
        <v>749</v>
      </c>
      <c r="F97" s="600">
        <f>H94</f>
        <v>133685.008</v>
      </c>
      <c r="G97" s="587" t="s">
        <v>748</v>
      </c>
      <c r="H97" s="597">
        <f>C97/F97</f>
        <v>0.3740135169083432</v>
      </c>
      <c r="I97" s="614" t="s">
        <v>89</v>
      </c>
      <c r="J97" s="614"/>
      <c r="K97" s="615"/>
      <c r="L97" s="578"/>
    </row>
    <row r="98" spans="1:12" ht="15" customHeight="1">
      <c r="A98" s="578"/>
      <c r="B98" s="613"/>
      <c r="C98" s="614"/>
      <c r="D98" s="614"/>
      <c r="E98" s="587"/>
      <c r="F98" s="614"/>
      <c r="G98" s="614"/>
      <c r="H98" s="614"/>
      <c r="I98" s="614"/>
      <c r="J98" s="614"/>
      <c r="K98" s="615"/>
      <c r="L98" s="578"/>
    </row>
    <row r="99" spans="1:12" ht="15" customHeight="1">
      <c r="A99" s="578"/>
      <c r="B99" s="616"/>
      <c r="C99" s="617" t="s">
        <v>98</v>
      </c>
      <c r="D99" s="617"/>
      <c r="E99" s="603"/>
      <c r="F99" s="617"/>
      <c r="G99" s="617"/>
      <c r="H99" s="617"/>
      <c r="I99" s="617"/>
      <c r="J99" s="617"/>
      <c r="K99" s="618"/>
      <c r="L99" s="578"/>
    </row>
    <row r="100" spans="1:12" ht="15" customHeight="1">
      <c r="A100" s="578"/>
      <c r="B100" s="613" t="s">
        <v>638</v>
      </c>
      <c r="C100" s="737">
        <v>2500000</v>
      </c>
      <c r="D100" s="737"/>
      <c r="E100" s="587" t="s">
        <v>462</v>
      </c>
      <c r="F100" s="619">
        <v>0.3</v>
      </c>
      <c r="G100" s="587" t="s">
        <v>748</v>
      </c>
      <c r="H100" s="600">
        <f>C100*F100</f>
        <v>750000</v>
      </c>
      <c r="I100" s="614" t="s">
        <v>92</v>
      </c>
      <c r="J100" s="614"/>
      <c r="K100" s="615"/>
      <c r="L100" s="578"/>
    </row>
    <row r="101" spans="1:12" ht="15" customHeight="1">
      <c r="A101" s="578"/>
      <c r="B101" s="613"/>
      <c r="C101" s="614"/>
      <c r="D101" s="614"/>
      <c r="E101" s="587"/>
      <c r="F101" s="614"/>
      <c r="G101" s="614"/>
      <c r="H101" s="614"/>
      <c r="I101" s="614"/>
      <c r="J101" s="614"/>
      <c r="K101" s="615"/>
      <c r="L101" s="578"/>
    </row>
    <row r="102" spans="1:12" ht="15" customHeight="1">
      <c r="A102" s="578"/>
      <c r="B102" s="616"/>
      <c r="C102" s="617" t="s">
        <v>93</v>
      </c>
      <c r="D102" s="617"/>
      <c r="E102" s="603"/>
      <c r="F102" s="617" t="s">
        <v>89</v>
      </c>
      <c r="G102" s="617"/>
      <c r="H102" s="617"/>
      <c r="I102" s="617"/>
      <c r="J102" s="617" t="s">
        <v>94</v>
      </c>
      <c r="K102" s="618"/>
      <c r="L102" s="578"/>
    </row>
    <row r="103" spans="1:12" ht="15" customHeight="1">
      <c r="A103" s="578"/>
      <c r="B103" s="613" t="s">
        <v>639</v>
      </c>
      <c r="C103" s="745">
        <f>H100</f>
        <v>750000</v>
      </c>
      <c r="D103" s="745"/>
      <c r="E103" s="587" t="s">
        <v>462</v>
      </c>
      <c r="F103" s="597">
        <f>H97</f>
        <v>0.3740135169083432</v>
      </c>
      <c r="G103" s="587" t="s">
        <v>749</v>
      </c>
      <c r="H103" s="587">
        <v>1000</v>
      </c>
      <c r="I103" s="587" t="s">
        <v>748</v>
      </c>
      <c r="J103" s="605">
        <f>C103*F103/H103</f>
        <v>280.51013768125745</v>
      </c>
      <c r="K103" s="615"/>
      <c r="L103" s="578"/>
    </row>
    <row r="104" spans="1:12" ht="15" customHeight="1" thickBot="1">
      <c r="A104" s="578"/>
      <c r="B104" s="620"/>
      <c r="C104" s="606"/>
      <c r="D104" s="606"/>
      <c r="E104" s="607"/>
      <c r="F104" s="608"/>
      <c r="G104" s="607"/>
      <c r="H104" s="607"/>
      <c r="I104" s="607"/>
      <c r="J104" s="609"/>
      <c r="K104" s="621"/>
      <c r="L104" s="578"/>
    </row>
    <row r="105" spans="1:12" ht="40.5" customHeight="1">
      <c r="A105" s="578"/>
      <c r="B105" s="732" t="s">
        <v>738</v>
      </c>
      <c r="C105" s="733"/>
      <c r="D105" s="733"/>
      <c r="E105" s="733"/>
      <c r="F105" s="733"/>
      <c r="G105" s="733"/>
      <c r="H105" s="733"/>
      <c r="I105" s="733"/>
      <c r="J105" s="733"/>
      <c r="K105" s="733"/>
      <c r="L105" s="578"/>
    </row>
    <row r="106" spans="1:12" ht="15" customHeight="1">
      <c r="A106" s="578"/>
      <c r="B106" s="734" t="s">
        <v>99</v>
      </c>
      <c r="C106" s="735"/>
      <c r="D106" s="735"/>
      <c r="E106" s="735"/>
      <c r="F106" s="735"/>
      <c r="G106" s="735"/>
      <c r="H106" s="735"/>
      <c r="I106" s="735"/>
      <c r="J106" s="735"/>
      <c r="K106" s="735"/>
      <c r="L106" s="578"/>
    </row>
    <row r="107" spans="1:12" ht="15" customHeight="1">
      <c r="A107" s="578"/>
      <c r="B107" s="614"/>
      <c r="C107" s="622"/>
      <c r="D107" s="622"/>
      <c r="E107" s="587"/>
      <c r="F107" s="597"/>
      <c r="G107" s="587"/>
      <c r="H107" s="587"/>
      <c r="I107" s="587"/>
      <c r="J107" s="605"/>
      <c r="K107" s="614"/>
      <c r="L107" s="578"/>
    </row>
    <row r="108" spans="1:12" ht="15" customHeight="1">
      <c r="A108" s="578"/>
      <c r="B108" s="734" t="s">
        <v>100</v>
      </c>
      <c r="C108" s="736"/>
      <c r="D108" s="736"/>
      <c r="E108" s="736"/>
      <c r="F108" s="736"/>
      <c r="G108" s="736"/>
      <c r="H108" s="736"/>
      <c r="I108" s="736"/>
      <c r="J108" s="736"/>
      <c r="K108" s="736"/>
      <c r="L108" s="578"/>
    </row>
    <row r="109" spans="1:12" ht="15" customHeight="1">
      <c r="A109" s="578"/>
      <c r="B109" s="614"/>
      <c r="C109" s="622"/>
      <c r="D109" s="622"/>
      <c r="E109" s="587"/>
      <c r="F109" s="597"/>
      <c r="G109" s="587"/>
      <c r="H109" s="587"/>
      <c r="I109" s="587"/>
      <c r="J109" s="605"/>
      <c r="K109" s="614"/>
      <c r="L109" s="578"/>
    </row>
    <row r="110" spans="1:12" ht="59.25" customHeight="1">
      <c r="A110" s="578"/>
      <c r="B110" s="746" t="s">
        <v>101</v>
      </c>
      <c r="C110" s="744"/>
      <c r="D110" s="744"/>
      <c r="E110" s="744"/>
      <c r="F110" s="744"/>
      <c r="G110" s="744"/>
      <c r="H110" s="744"/>
      <c r="I110" s="744"/>
      <c r="J110" s="744"/>
      <c r="K110" s="744"/>
      <c r="L110" s="578"/>
    </row>
    <row r="111" spans="1:12" ht="15" thickBot="1">
      <c r="A111" s="578"/>
      <c r="B111" s="559"/>
      <c r="C111" s="559"/>
      <c r="D111" s="559"/>
      <c r="E111" s="559"/>
      <c r="F111" s="559"/>
      <c r="G111" s="559"/>
      <c r="H111" s="559"/>
      <c r="I111" s="559"/>
      <c r="J111" s="559"/>
      <c r="K111" s="559"/>
      <c r="L111" s="623"/>
    </row>
    <row r="112" spans="1:12" ht="14.25">
      <c r="A112" s="578"/>
      <c r="B112" s="561" t="s">
        <v>742</v>
      </c>
      <c r="C112" s="583"/>
      <c r="D112" s="583"/>
      <c r="E112" s="583"/>
      <c r="F112" s="583"/>
      <c r="G112" s="583"/>
      <c r="H112" s="583"/>
      <c r="I112" s="583"/>
      <c r="J112" s="583"/>
      <c r="K112" s="584"/>
      <c r="L112" s="578"/>
    </row>
    <row r="113" spans="1:12" ht="14.25">
      <c r="A113" s="578"/>
      <c r="B113" s="595"/>
      <c r="C113" s="586" t="s">
        <v>750</v>
      </c>
      <c r="D113" s="586"/>
      <c r="E113" s="586"/>
      <c r="F113" s="586"/>
      <c r="G113" s="586"/>
      <c r="H113" s="586"/>
      <c r="I113" s="586"/>
      <c r="J113" s="586"/>
      <c r="K113" s="589"/>
      <c r="L113" s="578"/>
    </row>
    <row r="114" spans="1:12" ht="14.25">
      <c r="A114" s="578"/>
      <c r="B114" s="595" t="s">
        <v>86</v>
      </c>
      <c r="C114" s="737">
        <v>133685008</v>
      </c>
      <c r="D114" s="737"/>
      <c r="E114" s="587" t="s">
        <v>749</v>
      </c>
      <c r="F114" s="587">
        <v>1000</v>
      </c>
      <c r="G114" s="587" t="s">
        <v>748</v>
      </c>
      <c r="H114" s="600">
        <f>C114/F114</f>
        <v>133685.008</v>
      </c>
      <c r="I114" s="586" t="s">
        <v>87</v>
      </c>
      <c r="J114" s="586"/>
      <c r="K114" s="589"/>
      <c r="L114" s="578"/>
    </row>
    <row r="115" spans="1:12" ht="14.25">
      <c r="A115" s="578"/>
      <c r="B115" s="595"/>
      <c r="C115" s="586"/>
      <c r="D115" s="586"/>
      <c r="E115" s="587"/>
      <c r="F115" s="586"/>
      <c r="G115" s="586"/>
      <c r="H115" s="586"/>
      <c r="I115" s="586"/>
      <c r="J115" s="586"/>
      <c r="K115" s="589"/>
      <c r="L115" s="578"/>
    </row>
    <row r="116" spans="1:12" ht="14.25">
      <c r="A116" s="578"/>
      <c r="B116" s="595"/>
      <c r="C116" s="586" t="s">
        <v>88</v>
      </c>
      <c r="D116" s="586"/>
      <c r="E116" s="587"/>
      <c r="F116" s="586" t="s">
        <v>87</v>
      </c>
      <c r="G116" s="586"/>
      <c r="H116" s="586"/>
      <c r="I116" s="586"/>
      <c r="J116" s="586"/>
      <c r="K116" s="589"/>
      <c r="L116" s="578"/>
    </row>
    <row r="117" spans="1:12" ht="14.25">
      <c r="A117" s="578"/>
      <c r="B117" s="595" t="s">
        <v>91</v>
      </c>
      <c r="C117" s="737">
        <v>50000</v>
      </c>
      <c r="D117" s="737"/>
      <c r="E117" s="587" t="s">
        <v>749</v>
      </c>
      <c r="F117" s="600">
        <f>H114</f>
        <v>133685.008</v>
      </c>
      <c r="G117" s="587" t="s">
        <v>748</v>
      </c>
      <c r="H117" s="597">
        <f>C117/F117</f>
        <v>0.3740135169083432</v>
      </c>
      <c r="I117" s="586" t="s">
        <v>89</v>
      </c>
      <c r="J117" s="586"/>
      <c r="K117" s="589"/>
      <c r="L117" s="578"/>
    </row>
    <row r="118" spans="1:12" ht="14.25">
      <c r="A118" s="578"/>
      <c r="B118" s="595"/>
      <c r="C118" s="586"/>
      <c r="D118" s="586"/>
      <c r="E118" s="587"/>
      <c r="F118" s="586"/>
      <c r="G118" s="586"/>
      <c r="H118" s="586"/>
      <c r="I118" s="586"/>
      <c r="J118" s="586"/>
      <c r="K118" s="589"/>
      <c r="L118" s="578"/>
    </row>
    <row r="119" spans="1:12" ht="14.25">
      <c r="A119" s="578"/>
      <c r="B119" s="601"/>
      <c r="C119" s="602" t="s">
        <v>98</v>
      </c>
      <c r="D119" s="602"/>
      <c r="E119" s="603"/>
      <c r="F119" s="602"/>
      <c r="G119" s="602"/>
      <c r="H119" s="602"/>
      <c r="I119" s="602"/>
      <c r="J119" s="602"/>
      <c r="K119" s="604"/>
      <c r="L119" s="578"/>
    </row>
    <row r="120" spans="1:12" ht="14.25">
      <c r="A120" s="578"/>
      <c r="B120" s="595" t="s">
        <v>638</v>
      </c>
      <c r="C120" s="737">
        <v>2500000</v>
      </c>
      <c r="D120" s="737"/>
      <c r="E120" s="587" t="s">
        <v>462</v>
      </c>
      <c r="F120" s="619">
        <v>0.25</v>
      </c>
      <c r="G120" s="587" t="s">
        <v>748</v>
      </c>
      <c r="H120" s="600">
        <f>C120*F120</f>
        <v>625000</v>
      </c>
      <c r="I120" s="586" t="s">
        <v>92</v>
      </c>
      <c r="J120" s="586"/>
      <c r="K120" s="589"/>
      <c r="L120" s="578"/>
    </row>
    <row r="121" spans="1:12" ht="14.25">
      <c r="A121" s="578"/>
      <c r="B121" s="595"/>
      <c r="C121" s="586"/>
      <c r="D121" s="586"/>
      <c r="E121" s="587"/>
      <c r="F121" s="586"/>
      <c r="G121" s="586"/>
      <c r="H121" s="586"/>
      <c r="I121" s="586"/>
      <c r="J121" s="586"/>
      <c r="K121" s="589"/>
      <c r="L121" s="578"/>
    </row>
    <row r="122" spans="1:12" ht="14.25">
      <c r="A122" s="578"/>
      <c r="B122" s="601"/>
      <c r="C122" s="602" t="s">
        <v>93</v>
      </c>
      <c r="D122" s="602"/>
      <c r="E122" s="603"/>
      <c r="F122" s="602" t="s">
        <v>89</v>
      </c>
      <c r="G122" s="602"/>
      <c r="H122" s="602"/>
      <c r="I122" s="602"/>
      <c r="J122" s="602" t="s">
        <v>94</v>
      </c>
      <c r="K122" s="604"/>
      <c r="L122" s="578"/>
    </row>
    <row r="123" spans="1:12" ht="14.25">
      <c r="A123" s="578"/>
      <c r="B123" s="595" t="s">
        <v>639</v>
      </c>
      <c r="C123" s="745">
        <f>H120</f>
        <v>625000</v>
      </c>
      <c r="D123" s="745"/>
      <c r="E123" s="587" t="s">
        <v>462</v>
      </c>
      <c r="F123" s="597">
        <f>H117</f>
        <v>0.3740135169083432</v>
      </c>
      <c r="G123" s="587" t="s">
        <v>749</v>
      </c>
      <c r="H123" s="587">
        <v>1000</v>
      </c>
      <c r="I123" s="587" t="s">
        <v>748</v>
      </c>
      <c r="J123" s="605">
        <f>C123*F123/H123</f>
        <v>233.7584480677145</v>
      </c>
      <c r="K123" s="589"/>
      <c r="L123" s="578"/>
    </row>
    <row r="124" spans="1:12" ht="15" thickBot="1">
      <c r="A124" s="578"/>
      <c r="B124" s="590"/>
      <c r="C124" s="606"/>
      <c r="D124" s="606"/>
      <c r="E124" s="607"/>
      <c r="F124" s="608"/>
      <c r="G124" s="607"/>
      <c r="H124" s="607"/>
      <c r="I124" s="607"/>
      <c r="J124" s="609"/>
      <c r="K124" s="592"/>
      <c r="L124" s="578"/>
    </row>
    <row r="125" spans="1:12" ht="40.5" customHeight="1">
      <c r="A125" s="578"/>
      <c r="B125" s="732" t="s">
        <v>738</v>
      </c>
      <c r="C125" s="732"/>
      <c r="D125" s="732"/>
      <c r="E125" s="732"/>
      <c r="F125" s="732"/>
      <c r="G125" s="732"/>
      <c r="H125" s="732"/>
      <c r="I125" s="732"/>
      <c r="J125" s="732"/>
      <c r="K125" s="732"/>
      <c r="L125" s="623"/>
    </row>
    <row r="126" spans="1:12" ht="14.25">
      <c r="A126" s="578"/>
      <c r="B126" s="738" t="s">
        <v>102</v>
      </c>
      <c r="C126" s="738"/>
      <c r="D126" s="738"/>
      <c r="E126" s="738"/>
      <c r="F126" s="738"/>
      <c r="G126" s="738"/>
      <c r="H126" s="738"/>
      <c r="I126" s="738"/>
      <c r="J126" s="738"/>
      <c r="K126" s="738"/>
      <c r="L126" s="623"/>
    </row>
    <row r="127" spans="1:12" ht="14.25">
      <c r="A127" s="578"/>
      <c r="B127" s="559"/>
      <c r="C127" s="559"/>
      <c r="D127" s="559"/>
      <c r="E127" s="559"/>
      <c r="F127" s="559"/>
      <c r="G127" s="559"/>
      <c r="H127" s="559"/>
      <c r="I127" s="559"/>
      <c r="J127" s="559"/>
      <c r="K127" s="559"/>
      <c r="L127" s="623"/>
    </row>
    <row r="128" spans="1:12" ht="14.25">
      <c r="A128" s="578"/>
      <c r="B128" s="738" t="s">
        <v>103</v>
      </c>
      <c r="C128" s="738"/>
      <c r="D128" s="738"/>
      <c r="E128" s="738"/>
      <c r="F128" s="738"/>
      <c r="G128" s="738"/>
      <c r="H128" s="738"/>
      <c r="I128" s="738"/>
      <c r="J128" s="738"/>
      <c r="K128" s="738"/>
      <c r="L128" s="623"/>
    </row>
    <row r="129" spans="1:12" ht="14.25">
      <c r="A129" s="578"/>
      <c r="B129" s="564"/>
      <c r="C129" s="564"/>
      <c r="D129" s="564"/>
      <c r="E129" s="564"/>
      <c r="F129" s="564"/>
      <c r="G129" s="564"/>
      <c r="H129" s="564"/>
      <c r="I129" s="564"/>
      <c r="J129" s="564"/>
      <c r="K129" s="564"/>
      <c r="L129" s="623"/>
    </row>
    <row r="130" spans="1:12" ht="74.25" customHeight="1">
      <c r="A130" s="578"/>
      <c r="B130" s="741" t="s">
        <v>640</v>
      </c>
      <c r="C130" s="741"/>
      <c r="D130" s="741"/>
      <c r="E130" s="741"/>
      <c r="F130" s="741"/>
      <c r="G130" s="741"/>
      <c r="H130" s="741"/>
      <c r="I130" s="741"/>
      <c r="J130" s="741"/>
      <c r="K130" s="741"/>
      <c r="L130" s="623"/>
    </row>
    <row r="131" spans="1:12" ht="15" thickBot="1">
      <c r="A131" s="578"/>
      <c r="L131" s="578"/>
    </row>
    <row r="132" spans="1:12" ht="14.25">
      <c r="A132" s="578"/>
      <c r="B132" s="561" t="s">
        <v>742</v>
      </c>
      <c r="C132" s="583"/>
      <c r="D132" s="583"/>
      <c r="E132" s="583"/>
      <c r="F132" s="583"/>
      <c r="G132" s="583"/>
      <c r="H132" s="583"/>
      <c r="I132" s="583"/>
      <c r="J132" s="583"/>
      <c r="K132" s="584"/>
      <c r="L132" s="578"/>
    </row>
    <row r="133" spans="1:12" ht="14.25">
      <c r="A133" s="578"/>
      <c r="B133" s="595"/>
      <c r="C133" s="742" t="s">
        <v>104</v>
      </c>
      <c r="D133" s="742"/>
      <c r="E133" s="586"/>
      <c r="F133" s="587" t="s">
        <v>105</v>
      </c>
      <c r="G133" s="586"/>
      <c r="H133" s="742" t="s">
        <v>92</v>
      </c>
      <c r="I133" s="742"/>
      <c r="J133" s="586"/>
      <c r="K133" s="589"/>
      <c r="L133" s="578"/>
    </row>
    <row r="134" spans="1:12" ht="14.25">
      <c r="A134" s="578"/>
      <c r="B134" s="595" t="s">
        <v>86</v>
      </c>
      <c r="C134" s="737">
        <v>100000</v>
      </c>
      <c r="D134" s="737"/>
      <c r="E134" s="587" t="s">
        <v>462</v>
      </c>
      <c r="F134" s="587">
        <v>0.115</v>
      </c>
      <c r="G134" s="587" t="s">
        <v>748</v>
      </c>
      <c r="H134" s="729">
        <f>C134*F134</f>
        <v>11500</v>
      </c>
      <c r="I134" s="729"/>
      <c r="J134" s="586"/>
      <c r="K134" s="589"/>
      <c r="L134" s="578"/>
    </row>
    <row r="135" spans="1:12" ht="14.25">
      <c r="A135" s="578"/>
      <c r="B135" s="595"/>
      <c r="C135" s="586"/>
      <c r="D135" s="586"/>
      <c r="E135" s="586"/>
      <c r="F135" s="586"/>
      <c r="G135" s="586"/>
      <c r="H135" s="586"/>
      <c r="I135" s="586"/>
      <c r="J135" s="586"/>
      <c r="K135" s="589"/>
      <c r="L135" s="578"/>
    </row>
    <row r="136" spans="1:12" ht="14.25">
      <c r="A136" s="578"/>
      <c r="B136" s="601"/>
      <c r="C136" s="743" t="s">
        <v>92</v>
      </c>
      <c r="D136" s="743"/>
      <c r="E136" s="602"/>
      <c r="F136" s="603" t="s">
        <v>106</v>
      </c>
      <c r="G136" s="603"/>
      <c r="H136" s="602"/>
      <c r="I136" s="602"/>
      <c r="J136" s="602" t="s">
        <v>107</v>
      </c>
      <c r="K136" s="604"/>
      <c r="L136" s="578"/>
    </row>
    <row r="137" spans="1:12" ht="14.25">
      <c r="A137" s="578"/>
      <c r="B137" s="595" t="s">
        <v>91</v>
      </c>
      <c r="C137" s="729">
        <f>H134</f>
        <v>11500</v>
      </c>
      <c r="D137" s="729"/>
      <c r="E137" s="587" t="s">
        <v>462</v>
      </c>
      <c r="F137" s="624">
        <v>52.869</v>
      </c>
      <c r="G137" s="587" t="s">
        <v>749</v>
      </c>
      <c r="H137" s="587">
        <v>1000</v>
      </c>
      <c r="I137" s="587" t="s">
        <v>748</v>
      </c>
      <c r="J137" s="625">
        <f>C137*F137/H137</f>
        <v>607.9935</v>
      </c>
      <c r="K137" s="589"/>
      <c r="L137" s="578"/>
    </row>
    <row r="138" spans="1:12" ht="15" thickBot="1">
      <c r="A138" s="578"/>
      <c r="B138" s="590"/>
      <c r="C138" s="626"/>
      <c r="D138" s="626"/>
      <c r="E138" s="607"/>
      <c r="F138" s="627"/>
      <c r="G138" s="607"/>
      <c r="H138" s="607"/>
      <c r="I138" s="607"/>
      <c r="J138" s="628"/>
      <c r="K138" s="592"/>
      <c r="L138" s="578"/>
    </row>
    <row r="139" spans="1:12" ht="40.5" customHeight="1">
      <c r="A139" s="578"/>
      <c r="B139" s="566" t="s">
        <v>738</v>
      </c>
      <c r="C139" s="567"/>
      <c r="D139" s="567"/>
      <c r="E139" s="568"/>
      <c r="F139" s="569"/>
      <c r="G139" s="568"/>
      <c r="H139" s="568"/>
      <c r="I139" s="568"/>
      <c r="J139" s="570"/>
      <c r="K139" s="571"/>
      <c r="L139" s="578"/>
    </row>
    <row r="140" spans="1:12" ht="14.25">
      <c r="A140" s="578"/>
      <c r="B140" s="572" t="s">
        <v>641</v>
      </c>
      <c r="C140" s="573"/>
      <c r="D140" s="573"/>
      <c r="E140" s="574"/>
      <c r="F140" s="575"/>
      <c r="G140" s="574"/>
      <c r="H140" s="574"/>
      <c r="I140" s="574"/>
      <c r="J140" s="576"/>
      <c r="K140" s="577"/>
      <c r="L140" s="578"/>
    </row>
    <row r="141" spans="1:12" ht="14.25">
      <c r="A141" s="578"/>
      <c r="B141" s="595"/>
      <c r="C141" s="600"/>
      <c r="D141" s="600"/>
      <c r="E141" s="587"/>
      <c r="F141" s="629"/>
      <c r="G141" s="587"/>
      <c r="H141" s="587"/>
      <c r="I141" s="587"/>
      <c r="J141" s="625"/>
      <c r="K141" s="589"/>
      <c r="L141" s="578"/>
    </row>
    <row r="142" spans="1:12" ht="14.25">
      <c r="A142" s="578"/>
      <c r="B142" s="572" t="s">
        <v>642</v>
      </c>
      <c r="C142" s="573"/>
      <c r="D142" s="573"/>
      <c r="E142" s="574"/>
      <c r="F142" s="575"/>
      <c r="G142" s="574"/>
      <c r="H142" s="574"/>
      <c r="I142" s="574"/>
      <c r="J142" s="576"/>
      <c r="K142" s="577"/>
      <c r="L142" s="578"/>
    </row>
    <row r="143" spans="1:12" ht="14.25">
      <c r="A143" s="578"/>
      <c r="B143" s="595"/>
      <c r="C143" s="600"/>
      <c r="D143" s="600"/>
      <c r="E143" s="587"/>
      <c r="F143" s="629"/>
      <c r="G143" s="587"/>
      <c r="H143" s="587"/>
      <c r="I143" s="587"/>
      <c r="J143" s="625"/>
      <c r="K143" s="589"/>
      <c r="L143" s="578"/>
    </row>
    <row r="144" spans="1:12" ht="76.5" customHeight="1">
      <c r="A144" s="578"/>
      <c r="B144" s="726" t="s">
        <v>643</v>
      </c>
      <c r="C144" s="727"/>
      <c r="D144" s="727"/>
      <c r="E144" s="727"/>
      <c r="F144" s="727"/>
      <c r="G144" s="727"/>
      <c r="H144" s="727"/>
      <c r="I144" s="727"/>
      <c r="J144" s="727"/>
      <c r="K144" s="728"/>
      <c r="L144" s="578"/>
    </row>
    <row r="145" spans="1:12" ht="15" thickBot="1">
      <c r="A145" s="578"/>
      <c r="B145" s="595"/>
      <c r="C145" s="600"/>
      <c r="D145" s="600"/>
      <c r="E145" s="587"/>
      <c r="F145" s="629"/>
      <c r="G145" s="587"/>
      <c r="H145" s="587"/>
      <c r="I145" s="587"/>
      <c r="J145" s="625"/>
      <c r="K145" s="589"/>
      <c r="L145" s="578"/>
    </row>
    <row r="146" spans="1:12" ht="14.25">
      <c r="A146" s="578"/>
      <c r="B146" s="561" t="s">
        <v>742</v>
      </c>
      <c r="C146" s="630"/>
      <c r="D146" s="630"/>
      <c r="E146" s="631"/>
      <c r="F146" s="632"/>
      <c r="G146" s="631"/>
      <c r="H146" s="631"/>
      <c r="I146" s="631"/>
      <c r="J146" s="633"/>
      <c r="K146" s="584"/>
      <c r="L146" s="578"/>
    </row>
    <row r="147" spans="1:12" ht="14.25">
      <c r="A147" s="578"/>
      <c r="B147" s="595"/>
      <c r="C147" s="729" t="s">
        <v>644</v>
      </c>
      <c r="D147" s="729"/>
      <c r="E147" s="587"/>
      <c r="F147" s="629" t="s">
        <v>645</v>
      </c>
      <c r="G147" s="587"/>
      <c r="H147" s="587"/>
      <c r="I147" s="587"/>
      <c r="J147" s="730" t="s">
        <v>646</v>
      </c>
      <c r="K147" s="731"/>
      <c r="L147" s="578"/>
    </row>
    <row r="148" spans="1:12" ht="14.25">
      <c r="A148" s="578"/>
      <c r="B148" s="595"/>
      <c r="C148" s="739">
        <v>52.869</v>
      </c>
      <c r="D148" s="739"/>
      <c r="E148" s="587" t="s">
        <v>462</v>
      </c>
      <c r="F148" s="634">
        <v>133685008</v>
      </c>
      <c r="G148" s="635" t="s">
        <v>749</v>
      </c>
      <c r="H148" s="587">
        <v>1000</v>
      </c>
      <c r="I148" s="587" t="s">
        <v>748</v>
      </c>
      <c r="J148" s="729">
        <f>C148*(F148/1000)</f>
        <v>7067792.687952</v>
      </c>
      <c r="K148" s="740"/>
      <c r="L148" s="578"/>
    </row>
    <row r="149" spans="1:12" ht="15" thickBot="1">
      <c r="A149" s="578"/>
      <c r="B149" s="590"/>
      <c r="C149" s="626"/>
      <c r="D149" s="626"/>
      <c r="E149" s="607"/>
      <c r="F149" s="627"/>
      <c r="G149" s="607"/>
      <c r="H149" s="607"/>
      <c r="I149" s="607"/>
      <c r="J149" s="628"/>
      <c r="K149" s="592"/>
      <c r="L149" s="578"/>
    </row>
    <row r="150" spans="1:12" ht="15" thickBot="1">
      <c r="A150" s="578"/>
      <c r="B150" s="590"/>
      <c r="C150" s="591"/>
      <c r="D150" s="591"/>
      <c r="E150" s="591"/>
      <c r="F150" s="591"/>
      <c r="G150" s="591"/>
      <c r="H150" s="591"/>
      <c r="I150" s="591"/>
      <c r="J150" s="591"/>
      <c r="K150" s="592"/>
      <c r="L150" s="578"/>
    </row>
    <row r="151" spans="1:12" ht="14.25">
      <c r="A151" s="578"/>
      <c r="B151" s="578"/>
      <c r="C151" s="578"/>
      <c r="D151" s="578"/>
      <c r="E151" s="578"/>
      <c r="F151" s="578"/>
      <c r="G151" s="578"/>
      <c r="H151" s="578"/>
      <c r="I151" s="578"/>
      <c r="J151" s="578"/>
      <c r="K151" s="578"/>
      <c r="L151" s="578"/>
    </row>
    <row r="152" spans="1:12" ht="14.25">
      <c r="A152" s="578"/>
      <c r="B152" s="578"/>
      <c r="C152" s="578"/>
      <c r="D152" s="578"/>
      <c r="E152" s="578"/>
      <c r="F152" s="578"/>
      <c r="G152" s="578"/>
      <c r="H152" s="578"/>
      <c r="I152" s="578"/>
      <c r="J152" s="578"/>
      <c r="K152" s="578"/>
      <c r="L152" s="578"/>
    </row>
    <row r="153" spans="1:12" ht="14.25">
      <c r="A153" s="578"/>
      <c r="B153" s="578"/>
      <c r="C153" s="578"/>
      <c r="D153" s="578"/>
      <c r="E153" s="578"/>
      <c r="F153" s="578"/>
      <c r="G153" s="578"/>
      <c r="H153" s="578"/>
      <c r="I153" s="578"/>
      <c r="J153" s="578"/>
      <c r="K153" s="578"/>
      <c r="L153" s="578"/>
    </row>
    <row r="154" spans="1:12" ht="14.25">
      <c r="A154" s="636"/>
      <c r="B154" s="636"/>
      <c r="C154" s="636"/>
      <c r="D154" s="636"/>
      <c r="E154" s="636"/>
      <c r="F154" s="636"/>
      <c r="G154" s="636"/>
      <c r="H154" s="636"/>
      <c r="I154" s="636"/>
      <c r="J154" s="636"/>
      <c r="K154" s="636"/>
      <c r="L154" s="636"/>
    </row>
    <row r="155" spans="1:12" ht="14.25">
      <c r="A155" s="636"/>
      <c r="B155" s="636"/>
      <c r="C155" s="636"/>
      <c r="D155" s="636"/>
      <c r="E155" s="636"/>
      <c r="F155" s="636"/>
      <c r="G155" s="636"/>
      <c r="H155" s="636"/>
      <c r="I155" s="636"/>
      <c r="J155" s="636"/>
      <c r="K155" s="636"/>
      <c r="L155" s="636"/>
    </row>
    <row r="156" spans="1:12" ht="14.25">
      <c r="A156" s="636"/>
      <c r="B156" s="636"/>
      <c r="C156" s="636"/>
      <c r="D156" s="636"/>
      <c r="E156" s="636"/>
      <c r="F156" s="636"/>
      <c r="G156" s="636"/>
      <c r="H156" s="636"/>
      <c r="I156" s="636"/>
      <c r="J156" s="636"/>
      <c r="K156" s="636"/>
      <c r="L156" s="636"/>
    </row>
    <row r="157" spans="1:12" ht="14.25">
      <c r="A157" s="636"/>
      <c r="B157" s="636"/>
      <c r="C157" s="636"/>
      <c r="D157" s="636"/>
      <c r="E157" s="636"/>
      <c r="F157" s="636"/>
      <c r="G157" s="636"/>
      <c r="H157" s="636"/>
      <c r="I157" s="636"/>
      <c r="J157" s="636"/>
      <c r="K157" s="636"/>
      <c r="L157" s="636"/>
    </row>
    <row r="158" spans="1:12" ht="14.25">
      <c r="A158" s="636"/>
      <c r="B158" s="636"/>
      <c r="C158" s="636"/>
      <c r="D158" s="636"/>
      <c r="E158" s="636"/>
      <c r="F158" s="636"/>
      <c r="G158" s="636"/>
      <c r="H158" s="636"/>
      <c r="I158" s="636"/>
      <c r="J158" s="636"/>
      <c r="K158" s="636"/>
      <c r="L158" s="636"/>
    </row>
    <row r="159" spans="1:12" ht="14.25">
      <c r="A159" s="636"/>
      <c r="B159" s="636"/>
      <c r="C159" s="636"/>
      <c r="D159" s="636"/>
      <c r="E159" s="636"/>
      <c r="F159" s="636"/>
      <c r="G159" s="636"/>
      <c r="H159" s="636"/>
      <c r="I159" s="636"/>
      <c r="J159" s="636"/>
      <c r="K159" s="636"/>
      <c r="L159" s="636"/>
    </row>
    <row r="160" spans="1:12" ht="14.25">
      <c r="A160" s="636"/>
      <c r="B160" s="636"/>
      <c r="C160" s="636"/>
      <c r="D160" s="636"/>
      <c r="E160" s="636"/>
      <c r="F160" s="636"/>
      <c r="G160" s="636"/>
      <c r="H160" s="636"/>
      <c r="I160" s="636"/>
      <c r="J160" s="636"/>
      <c r="K160" s="636"/>
      <c r="L160" s="636"/>
    </row>
    <row r="161" spans="1:12" ht="14.25">
      <c r="A161" s="636"/>
      <c r="B161" s="636"/>
      <c r="C161" s="636"/>
      <c r="D161" s="636"/>
      <c r="E161" s="636"/>
      <c r="F161" s="636"/>
      <c r="G161" s="636"/>
      <c r="H161" s="636"/>
      <c r="I161" s="636"/>
      <c r="J161" s="636"/>
      <c r="K161" s="636"/>
      <c r="L161" s="636"/>
    </row>
    <row r="162" spans="1:12" ht="14.25">
      <c r="A162" s="636"/>
      <c r="B162" s="636"/>
      <c r="C162" s="636"/>
      <c r="D162" s="636"/>
      <c r="E162" s="636"/>
      <c r="F162" s="636"/>
      <c r="G162" s="636"/>
      <c r="H162" s="636"/>
      <c r="I162" s="636"/>
      <c r="J162" s="636"/>
      <c r="K162" s="636"/>
      <c r="L162" s="636"/>
    </row>
    <row r="163" spans="1:12" ht="14.25">
      <c r="A163" s="636"/>
      <c r="B163" s="636"/>
      <c r="C163" s="636"/>
      <c r="D163" s="636"/>
      <c r="E163" s="636"/>
      <c r="F163" s="636"/>
      <c r="G163" s="636"/>
      <c r="H163" s="636"/>
      <c r="I163" s="636"/>
      <c r="J163" s="636"/>
      <c r="K163" s="636"/>
      <c r="L163" s="636"/>
    </row>
    <row r="164" spans="1:12" ht="14.25">
      <c r="A164" s="636"/>
      <c r="B164" s="636"/>
      <c r="C164" s="636"/>
      <c r="D164" s="636"/>
      <c r="E164" s="636"/>
      <c r="F164" s="636"/>
      <c r="G164" s="636"/>
      <c r="H164" s="636"/>
      <c r="I164" s="636"/>
      <c r="J164" s="636"/>
      <c r="K164" s="636"/>
      <c r="L164" s="636"/>
    </row>
    <row r="165" spans="1:12" ht="14.25">
      <c r="A165" s="636"/>
      <c r="B165" s="636"/>
      <c r="C165" s="636"/>
      <c r="D165" s="636"/>
      <c r="E165" s="636"/>
      <c r="F165" s="636"/>
      <c r="G165" s="636"/>
      <c r="H165" s="636"/>
      <c r="I165" s="636"/>
      <c r="J165" s="636"/>
      <c r="K165" s="636"/>
      <c r="L165" s="636"/>
    </row>
    <row r="166" spans="1:12" ht="14.25">
      <c r="A166" s="636"/>
      <c r="B166" s="636"/>
      <c r="C166" s="636"/>
      <c r="D166" s="636"/>
      <c r="E166" s="636"/>
      <c r="F166" s="636"/>
      <c r="G166" s="636"/>
      <c r="H166" s="636"/>
      <c r="I166" s="636"/>
      <c r="J166" s="636"/>
      <c r="K166" s="636"/>
      <c r="L166" s="636"/>
    </row>
    <row r="167" spans="1:12" ht="14.25">
      <c r="A167" s="636"/>
      <c r="B167" s="636"/>
      <c r="C167" s="636"/>
      <c r="D167" s="636"/>
      <c r="E167" s="636"/>
      <c r="F167" s="636"/>
      <c r="G167" s="636"/>
      <c r="H167" s="636"/>
      <c r="I167" s="636"/>
      <c r="J167" s="636"/>
      <c r="K167" s="636"/>
      <c r="L167" s="636"/>
    </row>
    <row r="168" spans="1:12" ht="14.25">
      <c r="A168" s="636"/>
      <c r="B168" s="636"/>
      <c r="C168" s="636"/>
      <c r="D168" s="636"/>
      <c r="E168" s="636"/>
      <c r="F168" s="636"/>
      <c r="G168" s="636"/>
      <c r="H168" s="636"/>
      <c r="I168" s="636"/>
      <c r="J168" s="636"/>
      <c r="K168" s="636"/>
      <c r="L168" s="636"/>
    </row>
    <row r="169" spans="1:12" ht="14.25">
      <c r="A169" s="636"/>
      <c r="B169" s="636"/>
      <c r="C169" s="636"/>
      <c r="D169" s="636"/>
      <c r="E169" s="636"/>
      <c r="F169" s="636"/>
      <c r="G169" s="636"/>
      <c r="H169" s="636"/>
      <c r="I169" s="636"/>
      <c r="J169" s="636"/>
      <c r="K169" s="636"/>
      <c r="L169" s="636"/>
    </row>
    <row r="170" spans="1:12" ht="14.25">
      <c r="A170" s="636"/>
      <c r="B170" s="636"/>
      <c r="C170" s="636"/>
      <c r="D170" s="636"/>
      <c r="E170" s="636"/>
      <c r="F170" s="636"/>
      <c r="G170" s="636"/>
      <c r="H170" s="636"/>
      <c r="I170" s="636"/>
      <c r="J170" s="636"/>
      <c r="K170" s="636"/>
      <c r="L170" s="636"/>
    </row>
    <row r="171" spans="1:12" ht="14.25">
      <c r="A171" s="636"/>
      <c r="B171" s="636"/>
      <c r="C171" s="636"/>
      <c r="D171" s="636"/>
      <c r="E171" s="636"/>
      <c r="F171" s="636"/>
      <c r="G171" s="636"/>
      <c r="H171" s="636"/>
      <c r="I171" s="636"/>
      <c r="J171" s="636"/>
      <c r="K171" s="636"/>
      <c r="L171" s="636"/>
    </row>
    <row r="172" spans="1:12" ht="14.25">
      <c r="A172" s="636"/>
      <c r="B172" s="636"/>
      <c r="C172" s="636"/>
      <c r="D172" s="636"/>
      <c r="E172" s="636"/>
      <c r="F172" s="636"/>
      <c r="G172" s="636"/>
      <c r="H172" s="636"/>
      <c r="I172" s="636"/>
      <c r="J172" s="636"/>
      <c r="K172" s="636"/>
      <c r="L172" s="636"/>
    </row>
    <row r="173" spans="1:12" ht="14.25">
      <c r="A173" s="636"/>
      <c r="B173" s="636"/>
      <c r="C173" s="636"/>
      <c r="D173" s="636"/>
      <c r="E173" s="636"/>
      <c r="F173" s="636"/>
      <c r="G173" s="636"/>
      <c r="H173" s="636"/>
      <c r="I173" s="636"/>
      <c r="J173" s="636"/>
      <c r="K173" s="636"/>
      <c r="L173" s="636"/>
    </row>
    <row r="174" spans="1:12" ht="14.25">
      <c r="A174" s="636"/>
      <c r="B174" s="636"/>
      <c r="C174" s="636"/>
      <c r="D174" s="636"/>
      <c r="E174" s="636"/>
      <c r="F174" s="636"/>
      <c r="G174" s="636"/>
      <c r="H174" s="636"/>
      <c r="I174" s="636"/>
      <c r="J174" s="636"/>
      <c r="K174" s="636"/>
      <c r="L174" s="636"/>
    </row>
    <row r="175" spans="1:12" ht="14.25">
      <c r="A175" s="636"/>
      <c r="B175" s="636"/>
      <c r="C175" s="636"/>
      <c r="D175" s="636"/>
      <c r="E175" s="636"/>
      <c r="F175" s="636"/>
      <c r="G175" s="636"/>
      <c r="H175" s="636"/>
      <c r="I175" s="636"/>
      <c r="J175" s="636"/>
      <c r="K175" s="636"/>
      <c r="L175" s="636"/>
    </row>
    <row r="176" spans="1:12" ht="14.25">
      <c r="A176" s="636"/>
      <c r="B176" s="636"/>
      <c r="C176" s="636"/>
      <c r="D176" s="636"/>
      <c r="E176" s="636"/>
      <c r="F176" s="636"/>
      <c r="G176" s="636"/>
      <c r="H176" s="636"/>
      <c r="I176" s="636"/>
      <c r="J176" s="636"/>
      <c r="K176" s="636"/>
      <c r="L176" s="636"/>
    </row>
    <row r="177" spans="1:12" ht="14.25">
      <c r="A177" s="636"/>
      <c r="B177" s="636"/>
      <c r="C177" s="636"/>
      <c r="D177" s="636"/>
      <c r="E177" s="636"/>
      <c r="F177" s="636"/>
      <c r="G177" s="636"/>
      <c r="H177" s="636"/>
      <c r="I177" s="636"/>
      <c r="J177" s="636"/>
      <c r="K177" s="636"/>
      <c r="L177" s="636"/>
    </row>
    <row r="178" spans="1:12" ht="14.25">
      <c r="A178" s="636"/>
      <c r="B178" s="636"/>
      <c r="C178" s="636"/>
      <c r="D178" s="636"/>
      <c r="E178" s="636"/>
      <c r="F178" s="636"/>
      <c r="G178" s="636"/>
      <c r="H178" s="636"/>
      <c r="I178" s="636"/>
      <c r="J178" s="636"/>
      <c r="K178" s="636"/>
      <c r="L178" s="636"/>
    </row>
    <row r="179" spans="1:12" ht="14.25">
      <c r="A179" s="636"/>
      <c r="B179" s="636"/>
      <c r="C179" s="636"/>
      <c r="D179" s="636"/>
      <c r="E179" s="636"/>
      <c r="F179" s="636"/>
      <c r="G179" s="636"/>
      <c r="H179" s="636"/>
      <c r="I179" s="636"/>
      <c r="J179" s="636"/>
      <c r="K179" s="636"/>
      <c r="L179" s="636"/>
    </row>
    <row r="180" spans="1:12" ht="14.25">
      <c r="A180" s="636"/>
      <c r="B180" s="636"/>
      <c r="C180" s="636"/>
      <c r="D180" s="636"/>
      <c r="E180" s="636"/>
      <c r="F180" s="636"/>
      <c r="G180" s="636"/>
      <c r="H180" s="636"/>
      <c r="I180" s="636"/>
      <c r="J180" s="636"/>
      <c r="K180" s="636"/>
      <c r="L180" s="636"/>
    </row>
    <row r="181" spans="1:12" ht="14.25">
      <c r="A181" s="636"/>
      <c r="B181" s="636"/>
      <c r="C181" s="636"/>
      <c r="D181" s="636"/>
      <c r="E181" s="636"/>
      <c r="F181" s="636"/>
      <c r="G181" s="636"/>
      <c r="H181" s="636"/>
      <c r="I181" s="636"/>
      <c r="J181" s="636"/>
      <c r="K181" s="636"/>
      <c r="L181" s="636"/>
    </row>
    <row r="182" spans="1:12" ht="14.25">
      <c r="A182" s="636"/>
      <c r="B182" s="636"/>
      <c r="C182" s="636"/>
      <c r="D182" s="636"/>
      <c r="E182" s="636"/>
      <c r="F182" s="636"/>
      <c r="G182" s="636"/>
      <c r="H182" s="636"/>
      <c r="I182" s="636"/>
      <c r="J182" s="636"/>
      <c r="K182" s="636"/>
      <c r="L182" s="636"/>
    </row>
    <row r="183" spans="1:12" ht="14.25">
      <c r="A183" s="636"/>
      <c r="B183" s="636"/>
      <c r="C183" s="636"/>
      <c r="D183" s="636"/>
      <c r="E183" s="636"/>
      <c r="F183" s="636"/>
      <c r="G183" s="636"/>
      <c r="H183" s="636"/>
      <c r="I183" s="636"/>
      <c r="J183" s="636"/>
      <c r="K183" s="636"/>
      <c r="L183" s="636"/>
    </row>
    <row r="184" spans="1:12" ht="14.25">
      <c r="A184" s="636"/>
      <c r="B184" s="636"/>
      <c r="C184" s="636"/>
      <c r="D184" s="636"/>
      <c r="E184" s="636"/>
      <c r="F184" s="636"/>
      <c r="G184" s="636"/>
      <c r="H184" s="636"/>
      <c r="I184" s="636"/>
      <c r="J184" s="636"/>
      <c r="K184" s="636"/>
      <c r="L184" s="636"/>
    </row>
    <row r="185" spans="1:12" ht="14.25">
      <c r="A185" s="636"/>
      <c r="B185" s="636"/>
      <c r="C185" s="636"/>
      <c r="D185" s="636"/>
      <c r="E185" s="636"/>
      <c r="F185" s="636"/>
      <c r="G185" s="636"/>
      <c r="H185" s="636"/>
      <c r="I185" s="636"/>
      <c r="J185" s="636"/>
      <c r="K185" s="636"/>
      <c r="L185" s="636"/>
    </row>
    <row r="186" spans="1:12" ht="14.25">
      <c r="A186" s="636"/>
      <c r="B186" s="636"/>
      <c r="C186" s="636"/>
      <c r="D186" s="636"/>
      <c r="E186" s="636"/>
      <c r="F186" s="636"/>
      <c r="G186" s="636"/>
      <c r="H186" s="636"/>
      <c r="I186" s="636"/>
      <c r="J186" s="636"/>
      <c r="K186" s="636"/>
      <c r="L186" s="636"/>
    </row>
    <row r="187" spans="1:12" ht="14.25">
      <c r="A187" s="636"/>
      <c r="B187" s="636"/>
      <c r="C187" s="636"/>
      <c r="D187" s="636"/>
      <c r="E187" s="636"/>
      <c r="F187" s="636"/>
      <c r="G187" s="636"/>
      <c r="H187" s="636"/>
      <c r="I187" s="636"/>
      <c r="J187" s="636"/>
      <c r="K187" s="636"/>
      <c r="L187" s="636"/>
    </row>
    <row r="188" spans="1:12" ht="14.25">
      <c r="A188" s="636"/>
      <c r="B188" s="636"/>
      <c r="C188" s="636"/>
      <c r="D188" s="636"/>
      <c r="E188" s="636"/>
      <c r="F188" s="636"/>
      <c r="G188" s="636"/>
      <c r="H188" s="636"/>
      <c r="I188" s="636"/>
      <c r="J188" s="636"/>
      <c r="K188" s="636"/>
      <c r="L188" s="636"/>
    </row>
    <row r="189" spans="1:12" ht="14.25">
      <c r="A189" s="636"/>
      <c r="B189" s="636"/>
      <c r="C189" s="636"/>
      <c r="D189" s="636"/>
      <c r="E189" s="636"/>
      <c r="F189" s="636"/>
      <c r="G189" s="636"/>
      <c r="H189" s="636"/>
      <c r="I189" s="636"/>
      <c r="J189" s="636"/>
      <c r="K189" s="636"/>
      <c r="L189" s="636"/>
    </row>
    <row r="190" spans="1:12" ht="14.25">
      <c r="A190" s="636"/>
      <c r="B190" s="636"/>
      <c r="C190" s="636"/>
      <c r="D190" s="636"/>
      <c r="E190" s="636"/>
      <c r="F190" s="636"/>
      <c r="G190" s="636"/>
      <c r="H190" s="636"/>
      <c r="I190" s="636"/>
      <c r="J190" s="636"/>
      <c r="K190" s="636"/>
      <c r="L190" s="636"/>
    </row>
    <row r="191" spans="1:12" ht="14.25">
      <c r="A191" s="636"/>
      <c r="B191" s="636"/>
      <c r="C191" s="636"/>
      <c r="D191" s="636"/>
      <c r="E191" s="636"/>
      <c r="F191" s="636"/>
      <c r="G191" s="636"/>
      <c r="H191" s="636"/>
      <c r="I191" s="636"/>
      <c r="J191" s="636"/>
      <c r="K191" s="636"/>
      <c r="L191" s="636"/>
    </row>
    <row r="192" spans="1:12" ht="14.25">
      <c r="A192" s="636"/>
      <c r="B192" s="636"/>
      <c r="C192" s="636"/>
      <c r="D192" s="636"/>
      <c r="E192" s="636"/>
      <c r="F192" s="636"/>
      <c r="G192" s="636"/>
      <c r="H192" s="636"/>
      <c r="I192" s="636"/>
      <c r="J192" s="636"/>
      <c r="K192" s="636"/>
      <c r="L192" s="636"/>
    </row>
    <row r="193" spans="1:12" ht="14.25">
      <c r="A193" s="636"/>
      <c r="B193" s="636"/>
      <c r="C193" s="636"/>
      <c r="D193" s="636"/>
      <c r="E193" s="636"/>
      <c r="F193" s="636"/>
      <c r="G193" s="636"/>
      <c r="H193" s="636"/>
      <c r="I193" s="636"/>
      <c r="J193" s="636"/>
      <c r="K193" s="636"/>
      <c r="L193" s="636"/>
    </row>
    <row r="194" spans="1:12" ht="14.25">
      <c r="A194" s="636"/>
      <c r="B194" s="636"/>
      <c r="C194" s="636"/>
      <c r="D194" s="636"/>
      <c r="E194" s="636"/>
      <c r="F194" s="636"/>
      <c r="G194" s="636"/>
      <c r="H194" s="636"/>
      <c r="I194" s="636"/>
      <c r="J194" s="636"/>
      <c r="K194" s="636"/>
      <c r="L194" s="636"/>
    </row>
    <row r="195" spans="1:12" ht="14.25">
      <c r="A195" s="636"/>
      <c r="B195" s="636"/>
      <c r="C195" s="636"/>
      <c r="D195" s="636"/>
      <c r="E195" s="636"/>
      <c r="F195" s="636"/>
      <c r="G195" s="636"/>
      <c r="H195" s="636"/>
      <c r="I195" s="636"/>
      <c r="J195" s="636"/>
      <c r="K195" s="636"/>
      <c r="L195" s="636"/>
    </row>
    <row r="196" spans="1:12" ht="14.25">
      <c r="A196" s="636"/>
      <c r="B196" s="636"/>
      <c r="C196" s="636"/>
      <c r="D196" s="636"/>
      <c r="E196" s="636"/>
      <c r="F196" s="636"/>
      <c r="G196" s="636"/>
      <c r="H196" s="636"/>
      <c r="I196" s="636"/>
      <c r="J196" s="636"/>
      <c r="K196" s="636"/>
      <c r="L196" s="636"/>
    </row>
    <row r="197" spans="1:12" ht="14.25">
      <c r="A197" s="636"/>
      <c r="B197" s="636"/>
      <c r="C197" s="636"/>
      <c r="D197" s="636"/>
      <c r="E197" s="636"/>
      <c r="F197" s="636"/>
      <c r="G197" s="636"/>
      <c r="H197" s="636"/>
      <c r="I197" s="636"/>
      <c r="J197" s="636"/>
      <c r="K197" s="636"/>
      <c r="L197" s="636"/>
    </row>
    <row r="198" spans="1:12" ht="14.25">
      <c r="A198" s="636"/>
      <c r="B198" s="636"/>
      <c r="C198" s="636"/>
      <c r="D198" s="636"/>
      <c r="E198" s="636"/>
      <c r="F198" s="636"/>
      <c r="G198" s="636"/>
      <c r="H198" s="636"/>
      <c r="I198" s="636"/>
      <c r="J198" s="636"/>
      <c r="K198" s="636"/>
      <c r="L198" s="636"/>
    </row>
    <row r="199" spans="1:12" ht="14.25">
      <c r="A199" s="636"/>
      <c r="B199" s="636"/>
      <c r="C199" s="636"/>
      <c r="D199" s="636"/>
      <c r="E199" s="636"/>
      <c r="F199" s="636"/>
      <c r="G199" s="636"/>
      <c r="H199" s="636"/>
      <c r="I199" s="636"/>
      <c r="J199" s="636"/>
      <c r="K199" s="636"/>
      <c r="L199" s="636"/>
    </row>
    <row r="200" spans="1:12" ht="14.25">
      <c r="A200" s="636"/>
      <c r="B200" s="636"/>
      <c r="C200" s="636"/>
      <c r="D200" s="636"/>
      <c r="E200" s="636"/>
      <c r="F200" s="636"/>
      <c r="G200" s="636"/>
      <c r="H200" s="636"/>
      <c r="I200" s="636"/>
      <c r="J200" s="636"/>
      <c r="K200" s="636"/>
      <c r="L200" s="636"/>
    </row>
    <row r="201" spans="1:12" ht="14.25">
      <c r="A201" s="636"/>
      <c r="B201" s="636"/>
      <c r="C201" s="636"/>
      <c r="D201" s="636"/>
      <c r="E201" s="636"/>
      <c r="F201" s="636"/>
      <c r="G201" s="636"/>
      <c r="H201" s="636"/>
      <c r="I201" s="636"/>
      <c r="J201" s="636"/>
      <c r="K201" s="636"/>
      <c r="L201" s="636"/>
    </row>
    <row r="202" spans="1:12" ht="14.25">
      <c r="A202" s="636"/>
      <c r="B202" s="636"/>
      <c r="C202" s="636"/>
      <c r="D202" s="636"/>
      <c r="E202" s="636"/>
      <c r="F202" s="636"/>
      <c r="G202" s="636"/>
      <c r="H202" s="636"/>
      <c r="I202" s="636"/>
      <c r="J202" s="636"/>
      <c r="K202" s="636"/>
      <c r="L202" s="636"/>
    </row>
    <row r="203" spans="1:12" ht="14.25">
      <c r="A203" s="636"/>
      <c r="B203" s="636"/>
      <c r="C203" s="636"/>
      <c r="D203" s="636"/>
      <c r="E203" s="636"/>
      <c r="F203" s="636"/>
      <c r="G203" s="636"/>
      <c r="H203" s="636"/>
      <c r="I203" s="636"/>
      <c r="J203" s="636"/>
      <c r="K203" s="636"/>
      <c r="L203" s="636"/>
    </row>
    <row r="204" spans="1:12" ht="14.25">
      <c r="A204" s="636"/>
      <c r="B204" s="636"/>
      <c r="C204" s="636"/>
      <c r="D204" s="636"/>
      <c r="E204" s="636"/>
      <c r="F204" s="636"/>
      <c r="G204" s="636"/>
      <c r="H204" s="636"/>
      <c r="I204" s="636"/>
      <c r="J204" s="636"/>
      <c r="K204" s="636"/>
      <c r="L204" s="636"/>
    </row>
    <row r="205" spans="1:12" ht="14.25">
      <c r="A205" s="636"/>
      <c r="B205" s="636"/>
      <c r="C205" s="636"/>
      <c r="D205" s="636"/>
      <c r="E205" s="636"/>
      <c r="F205" s="636"/>
      <c r="G205" s="636"/>
      <c r="H205" s="636"/>
      <c r="I205" s="636"/>
      <c r="J205" s="636"/>
      <c r="K205" s="636"/>
      <c r="L205" s="636"/>
    </row>
    <row r="206" spans="1:12" ht="14.25">
      <c r="A206" s="636"/>
      <c r="B206" s="636"/>
      <c r="C206" s="636"/>
      <c r="D206" s="636"/>
      <c r="E206" s="636"/>
      <c r="F206" s="636"/>
      <c r="G206" s="636"/>
      <c r="H206" s="636"/>
      <c r="I206" s="636"/>
      <c r="J206" s="636"/>
      <c r="K206" s="636"/>
      <c r="L206" s="636"/>
    </row>
    <row r="207" spans="1:12" ht="14.25">
      <c r="A207" s="636"/>
      <c r="B207" s="636"/>
      <c r="C207" s="636"/>
      <c r="D207" s="636"/>
      <c r="E207" s="636"/>
      <c r="F207" s="636"/>
      <c r="G207" s="636"/>
      <c r="H207" s="636"/>
      <c r="I207" s="636"/>
      <c r="J207" s="636"/>
      <c r="K207" s="636"/>
      <c r="L207" s="636"/>
    </row>
    <row r="208" spans="1:12" ht="14.25">
      <c r="A208" s="636"/>
      <c r="B208" s="636"/>
      <c r="C208" s="636"/>
      <c r="D208" s="636"/>
      <c r="E208" s="636"/>
      <c r="F208" s="636"/>
      <c r="G208" s="636"/>
      <c r="H208" s="636"/>
      <c r="I208" s="636"/>
      <c r="J208" s="636"/>
      <c r="K208" s="636"/>
      <c r="L208" s="636"/>
    </row>
    <row r="209" spans="1:12" ht="14.25">
      <c r="A209" s="636"/>
      <c r="B209" s="636"/>
      <c r="C209" s="636"/>
      <c r="D209" s="636"/>
      <c r="E209" s="636"/>
      <c r="F209" s="636"/>
      <c r="G209" s="636"/>
      <c r="H209" s="636"/>
      <c r="I209" s="636"/>
      <c r="J209" s="636"/>
      <c r="K209" s="636"/>
      <c r="L209" s="636"/>
    </row>
    <row r="210" spans="1:12" ht="14.25">
      <c r="A210" s="636"/>
      <c r="B210" s="636"/>
      <c r="C210" s="636"/>
      <c r="D210" s="636"/>
      <c r="E210" s="636"/>
      <c r="F210" s="636"/>
      <c r="G210" s="636"/>
      <c r="H210" s="636"/>
      <c r="I210" s="636"/>
      <c r="J210" s="636"/>
      <c r="K210" s="636"/>
      <c r="L210" s="636"/>
    </row>
    <row r="211" spans="1:12" ht="14.25">
      <c r="A211" s="636"/>
      <c r="B211" s="636"/>
      <c r="C211" s="636"/>
      <c r="D211" s="636"/>
      <c r="E211" s="636"/>
      <c r="F211" s="636"/>
      <c r="G211" s="636"/>
      <c r="H211" s="636"/>
      <c r="I211" s="636"/>
      <c r="J211" s="636"/>
      <c r="K211" s="636"/>
      <c r="L211" s="636"/>
    </row>
    <row r="212" spans="1:12" ht="14.25">
      <c r="A212" s="636"/>
      <c r="B212" s="636"/>
      <c r="C212" s="636"/>
      <c r="D212" s="636"/>
      <c r="E212" s="636"/>
      <c r="F212" s="636"/>
      <c r="G212" s="636"/>
      <c r="H212" s="636"/>
      <c r="I212" s="636"/>
      <c r="J212" s="636"/>
      <c r="K212" s="636"/>
      <c r="L212" s="636"/>
    </row>
    <row r="213" spans="1:12" ht="14.25">
      <c r="A213" s="636"/>
      <c r="B213" s="636"/>
      <c r="C213" s="636"/>
      <c r="D213" s="636"/>
      <c r="E213" s="636"/>
      <c r="F213" s="636"/>
      <c r="G213" s="636"/>
      <c r="H213" s="636"/>
      <c r="I213" s="636"/>
      <c r="J213" s="636"/>
      <c r="K213" s="636"/>
      <c r="L213" s="636"/>
    </row>
    <row r="214" spans="1:12" ht="14.25">
      <c r="A214" s="636"/>
      <c r="B214" s="636"/>
      <c r="C214" s="636"/>
      <c r="D214" s="636"/>
      <c r="E214" s="636"/>
      <c r="F214" s="636"/>
      <c r="G214" s="636"/>
      <c r="H214" s="636"/>
      <c r="I214" s="636"/>
      <c r="J214" s="636"/>
      <c r="K214" s="636"/>
      <c r="L214" s="636"/>
    </row>
    <row r="215" spans="1:12" ht="14.25">
      <c r="A215" s="636"/>
      <c r="B215" s="636"/>
      <c r="C215" s="636"/>
      <c r="D215" s="636"/>
      <c r="E215" s="636"/>
      <c r="F215" s="636"/>
      <c r="G215" s="636"/>
      <c r="H215" s="636"/>
      <c r="I215" s="636"/>
      <c r="J215" s="636"/>
      <c r="K215" s="636"/>
      <c r="L215" s="636"/>
    </row>
    <row r="216" spans="1:12" ht="14.25">
      <c r="A216" s="636"/>
      <c r="B216" s="636"/>
      <c r="C216" s="636"/>
      <c r="D216" s="636"/>
      <c r="E216" s="636"/>
      <c r="F216" s="636"/>
      <c r="G216" s="636"/>
      <c r="H216" s="636"/>
      <c r="I216" s="636"/>
      <c r="J216" s="636"/>
      <c r="K216" s="636"/>
      <c r="L216" s="636"/>
    </row>
    <row r="217" spans="1:12" ht="14.25">
      <c r="A217" s="636"/>
      <c r="B217" s="636"/>
      <c r="C217" s="636"/>
      <c r="D217" s="636"/>
      <c r="E217" s="636"/>
      <c r="F217" s="636"/>
      <c r="G217" s="636"/>
      <c r="H217" s="636"/>
      <c r="I217" s="636"/>
      <c r="J217" s="636"/>
      <c r="K217" s="636"/>
      <c r="L217" s="636"/>
    </row>
    <row r="218" spans="1:12" ht="14.25">
      <c r="A218" s="636"/>
      <c r="B218" s="636"/>
      <c r="C218" s="636"/>
      <c r="D218" s="636"/>
      <c r="E218" s="636"/>
      <c r="F218" s="636"/>
      <c r="G218" s="636"/>
      <c r="H218" s="636"/>
      <c r="I218" s="636"/>
      <c r="J218" s="636"/>
      <c r="K218" s="636"/>
      <c r="L218" s="636"/>
    </row>
    <row r="219" spans="1:12" ht="14.25">
      <c r="A219" s="636"/>
      <c r="B219" s="636"/>
      <c r="C219" s="636"/>
      <c r="D219" s="636"/>
      <c r="E219" s="636"/>
      <c r="F219" s="636"/>
      <c r="G219" s="636"/>
      <c r="H219" s="636"/>
      <c r="I219" s="636"/>
      <c r="J219" s="636"/>
      <c r="K219" s="636"/>
      <c r="L219" s="636"/>
    </row>
    <row r="220" spans="1:12" ht="14.25">
      <c r="A220" s="636"/>
      <c r="B220" s="636"/>
      <c r="C220" s="636"/>
      <c r="D220" s="636"/>
      <c r="E220" s="636"/>
      <c r="F220" s="636"/>
      <c r="G220" s="636"/>
      <c r="H220" s="636"/>
      <c r="I220" s="636"/>
      <c r="J220" s="636"/>
      <c r="K220" s="636"/>
      <c r="L220" s="636"/>
    </row>
    <row r="221" spans="1:12" ht="14.25">
      <c r="A221" s="636"/>
      <c r="B221" s="636"/>
      <c r="C221" s="636"/>
      <c r="D221" s="636"/>
      <c r="E221" s="636"/>
      <c r="F221" s="636"/>
      <c r="G221" s="636"/>
      <c r="H221" s="636"/>
      <c r="I221" s="636"/>
      <c r="J221" s="636"/>
      <c r="K221" s="636"/>
      <c r="L221" s="636"/>
    </row>
    <row r="222" spans="1:12" ht="14.25">
      <c r="A222" s="636"/>
      <c r="B222" s="636"/>
      <c r="C222" s="636"/>
      <c r="D222" s="636"/>
      <c r="E222" s="636"/>
      <c r="F222" s="636"/>
      <c r="G222" s="636"/>
      <c r="H222" s="636"/>
      <c r="I222" s="636"/>
      <c r="J222" s="636"/>
      <c r="K222" s="636"/>
      <c r="L222" s="636"/>
    </row>
    <row r="223" spans="1:12" ht="14.25">
      <c r="A223" s="636"/>
      <c r="B223" s="636"/>
      <c r="C223" s="636"/>
      <c r="D223" s="636"/>
      <c r="E223" s="636"/>
      <c r="F223" s="636"/>
      <c r="G223" s="636"/>
      <c r="H223" s="636"/>
      <c r="I223" s="636"/>
      <c r="J223" s="636"/>
      <c r="K223" s="636"/>
      <c r="L223" s="636"/>
    </row>
    <row r="224" spans="1:12" ht="14.25">
      <c r="A224" s="636"/>
      <c r="B224" s="636"/>
      <c r="C224" s="636"/>
      <c r="D224" s="636"/>
      <c r="E224" s="636"/>
      <c r="F224" s="636"/>
      <c r="G224" s="636"/>
      <c r="H224" s="636"/>
      <c r="I224" s="636"/>
      <c r="J224" s="636"/>
      <c r="K224" s="636"/>
      <c r="L224" s="636"/>
    </row>
    <row r="225" spans="1:12" ht="14.25">
      <c r="A225" s="636"/>
      <c r="B225" s="636"/>
      <c r="C225" s="636"/>
      <c r="D225" s="636"/>
      <c r="E225" s="636"/>
      <c r="F225" s="636"/>
      <c r="G225" s="636"/>
      <c r="H225" s="636"/>
      <c r="I225" s="636"/>
      <c r="J225" s="636"/>
      <c r="K225" s="636"/>
      <c r="L225" s="636"/>
    </row>
    <row r="226" spans="1:12" ht="14.25">
      <c r="A226" s="636"/>
      <c r="B226" s="636"/>
      <c r="C226" s="636"/>
      <c r="D226" s="636"/>
      <c r="E226" s="636"/>
      <c r="F226" s="636"/>
      <c r="G226" s="636"/>
      <c r="H226" s="636"/>
      <c r="I226" s="636"/>
      <c r="J226" s="636"/>
      <c r="K226" s="636"/>
      <c r="L226" s="636"/>
    </row>
    <row r="227" spans="1:12" ht="14.25">
      <c r="A227" s="636"/>
      <c r="B227" s="636"/>
      <c r="C227" s="636"/>
      <c r="D227" s="636"/>
      <c r="E227" s="636"/>
      <c r="F227" s="636"/>
      <c r="G227" s="636"/>
      <c r="H227" s="636"/>
      <c r="I227" s="636"/>
      <c r="J227" s="636"/>
      <c r="K227" s="636"/>
      <c r="L227" s="636"/>
    </row>
    <row r="228" spans="1:12" ht="14.25">
      <c r="A228" s="636"/>
      <c r="B228" s="636"/>
      <c r="C228" s="636"/>
      <c r="D228" s="636"/>
      <c r="E228" s="636"/>
      <c r="F228" s="636"/>
      <c r="G228" s="636"/>
      <c r="H228" s="636"/>
      <c r="I228" s="636"/>
      <c r="J228" s="636"/>
      <c r="K228" s="636"/>
      <c r="L228" s="636"/>
    </row>
    <row r="229" spans="1:12" ht="14.25">
      <c r="A229" s="636"/>
      <c r="B229" s="636"/>
      <c r="C229" s="636"/>
      <c r="D229" s="636"/>
      <c r="E229" s="636"/>
      <c r="F229" s="636"/>
      <c r="G229" s="636"/>
      <c r="H229" s="636"/>
      <c r="I229" s="636"/>
      <c r="J229" s="636"/>
      <c r="K229" s="636"/>
      <c r="L229" s="636"/>
    </row>
    <row r="230" spans="1:12" ht="14.25">
      <c r="A230" s="636"/>
      <c r="B230" s="636"/>
      <c r="C230" s="636"/>
      <c r="D230" s="636"/>
      <c r="E230" s="636"/>
      <c r="F230" s="636"/>
      <c r="G230" s="636"/>
      <c r="H230" s="636"/>
      <c r="I230" s="636"/>
      <c r="J230" s="636"/>
      <c r="K230" s="636"/>
      <c r="L230" s="636"/>
    </row>
    <row r="231" spans="1:12" ht="14.25">
      <c r="A231" s="636"/>
      <c r="B231" s="636"/>
      <c r="C231" s="636"/>
      <c r="D231" s="636"/>
      <c r="E231" s="636"/>
      <c r="F231" s="636"/>
      <c r="G231" s="636"/>
      <c r="H231" s="636"/>
      <c r="I231" s="636"/>
      <c r="J231" s="636"/>
      <c r="K231" s="636"/>
      <c r="L231" s="636"/>
    </row>
    <row r="232" spans="1:12" ht="14.25">
      <c r="A232" s="636"/>
      <c r="B232" s="636"/>
      <c r="C232" s="636"/>
      <c r="D232" s="636"/>
      <c r="E232" s="636"/>
      <c r="F232" s="636"/>
      <c r="G232" s="636"/>
      <c r="H232" s="636"/>
      <c r="I232" s="636"/>
      <c r="J232" s="636"/>
      <c r="K232" s="636"/>
      <c r="L232" s="636"/>
    </row>
    <row r="233" spans="1:12" ht="14.25">
      <c r="A233" s="636"/>
      <c r="B233" s="636"/>
      <c r="C233" s="636"/>
      <c r="D233" s="636"/>
      <c r="E233" s="636"/>
      <c r="F233" s="636"/>
      <c r="G233" s="636"/>
      <c r="H233" s="636"/>
      <c r="I233" s="636"/>
      <c r="J233" s="636"/>
      <c r="K233" s="636"/>
      <c r="L233" s="636"/>
    </row>
    <row r="234" spans="1:12" ht="14.25">
      <c r="A234" s="636"/>
      <c r="B234" s="636"/>
      <c r="C234" s="636"/>
      <c r="D234" s="636"/>
      <c r="E234" s="636"/>
      <c r="F234" s="636"/>
      <c r="G234" s="636"/>
      <c r="H234" s="636"/>
      <c r="I234" s="636"/>
      <c r="J234" s="636"/>
      <c r="K234" s="636"/>
      <c r="L234" s="636"/>
    </row>
    <row r="235" spans="1:12" ht="14.25">
      <c r="A235" s="636"/>
      <c r="B235" s="636"/>
      <c r="C235" s="636"/>
      <c r="D235" s="636"/>
      <c r="E235" s="636"/>
      <c r="F235" s="636"/>
      <c r="G235" s="636"/>
      <c r="H235" s="636"/>
      <c r="I235" s="636"/>
      <c r="J235" s="636"/>
      <c r="K235" s="636"/>
      <c r="L235" s="636"/>
    </row>
    <row r="236" spans="1:12" ht="14.25">
      <c r="A236" s="636"/>
      <c r="B236" s="636"/>
      <c r="C236" s="636"/>
      <c r="D236" s="636"/>
      <c r="E236" s="636"/>
      <c r="F236" s="636"/>
      <c r="G236" s="636"/>
      <c r="H236" s="636"/>
      <c r="I236" s="636"/>
      <c r="J236" s="636"/>
      <c r="K236" s="636"/>
      <c r="L236" s="636"/>
    </row>
    <row r="237" spans="1:12" ht="14.25">
      <c r="A237" s="636"/>
      <c r="B237" s="636"/>
      <c r="C237" s="636"/>
      <c r="D237" s="636"/>
      <c r="E237" s="636"/>
      <c r="F237" s="636"/>
      <c r="G237" s="636"/>
      <c r="H237" s="636"/>
      <c r="I237" s="636"/>
      <c r="J237" s="636"/>
      <c r="K237" s="636"/>
      <c r="L237" s="636"/>
    </row>
    <row r="238" spans="1:12" ht="14.25">
      <c r="A238" s="636"/>
      <c r="B238" s="636"/>
      <c r="C238" s="636"/>
      <c r="D238" s="636"/>
      <c r="E238" s="636"/>
      <c r="F238" s="636"/>
      <c r="G238" s="636"/>
      <c r="H238" s="636"/>
      <c r="I238" s="636"/>
      <c r="J238" s="636"/>
      <c r="K238" s="636"/>
      <c r="L238" s="636"/>
    </row>
    <row r="239" spans="1:12" ht="14.25">
      <c r="A239" s="636"/>
      <c r="B239" s="636"/>
      <c r="C239" s="636"/>
      <c r="D239" s="636"/>
      <c r="E239" s="636"/>
      <c r="F239" s="636"/>
      <c r="G239" s="636"/>
      <c r="H239" s="636"/>
      <c r="I239" s="636"/>
      <c r="J239" s="636"/>
      <c r="K239" s="636"/>
      <c r="L239" s="636"/>
    </row>
    <row r="240" spans="1:12" ht="14.25">
      <c r="A240" s="636"/>
      <c r="B240" s="636"/>
      <c r="C240" s="636"/>
      <c r="D240" s="636"/>
      <c r="E240" s="636"/>
      <c r="F240" s="636"/>
      <c r="G240" s="636"/>
      <c r="H240" s="636"/>
      <c r="I240" s="636"/>
      <c r="J240" s="636"/>
      <c r="K240" s="636"/>
      <c r="L240" s="636"/>
    </row>
    <row r="241" spans="1:12" ht="14.25">
      <c r="A241" s="636"/>
      <c r="B241" s="636"/>
      <c r="C241" s="636"/>
      <c r="D241" s="636"/>
      <c r="E241" s="636"/>
      <c r="F241" s="636"/>
      <c r="G241" s="636"/>
      <c r="H241" s="636"/>
      <c r="I241" s="636"/>
      <c r="J241" s="636"/>
      <c r="K241" s="636"/>
      <c r="L241" s="636"/>
    </row>
    <row r="242" spans="1:12" ht="14.25">
      <c r="A242" s="636"/>
      <c r="B242" s="636"/>
      <c r="C242" s="636"/>
      <c r="D242" s="636"/>
      <c r="E242" s="636"/>
      <c r="F242" s="636"/>
      <c r="G242" s="636"/>
      <c r="H242" s="636"/>
      <c r="I242" s="636"/>
      <c r="J242" s="636"/>
      <c r="K242" s="636"/>
      <c r="L242" s="636"/>
    </row>
    <row r="243" spans="1:12" ht="14.25">
      <c r="A243" s="636"/>
      <c r="B243" s="636"/>
      <c r="C243" s="636"/>
      <c r="D243" s="636"/>
      <c r="E243" s="636"/>
      <c r="F243" s="636"/>
      <c r="G243" s="636"/>
      <c r="H243" s="636"/>
      <c r="I243" s="636"/>
      <c r="J243" s="636"/>
      <c r="K243" s="636"/>
      <c r="L243" s="636"/>
    </row>
    <row r="244" spans="1:12" ht="14.25">
      <c r="A244" s="636"/>
      <c r="B244" s="636"/>
      <c r="C244" s="636"/>
      <c r="D244" s="636"/>
      <c r="E244" s="636"/>
      <c r="F244" s="636"/>
      <c r="G244" s="636"/>
      <c r="H244" s="636"/>
      <c r="I244" s="636"/>
      <c r="J244" s="636"/>
      <c r="K244" s="636"/>
      <c r="L244" s="636"/>
    </row>
    <row r="245" spans="1:12" ht="14.25">
      <c r="A245" s="636"/>
      <c r="B245" s="636"/>
      <c r="C245" s="636"/>
      <c r="D245" s="636"/>
      <c r="E245" s="636"/>
      <c r="F245" s="636"/>
      <c r="G245" s="636"/>
      <c r="H245" s="636"/>
      <c r="I245" s="636"/>
      <c r="J245" s="636"/>
      <c r="K245" s="636"/>
      <c r="L245" s="636"/>
    </row>
    <row r="246" spans="1:12" ht="14.25">
      <c r="A246" s="636"/>
      <c r="B246" s="636"/>
      <c r="C246" s="636"/>
      <c r="D246" s="636"/>
      <c r="E246" s="636"/>
      <c r="F246" s="636"/>
      <c r="G246" s="636"/>
      <c r="H246" s="636"/>
      <c r="I246" s="636"/>
      <c r="J246" s="636"/>
      <c r="K246" s="636"/>
      <c r="L246" s="636"/>
    </row>
    <row r="247" spans="1:12" ht="14.25">
      <c r="A247" s="636"/>
      <c r="B247" s="636"/>
      <c r="C247" s="636"/>
      <c r="D247" s="636"/>
      <c r="E247" s="636"/>
      <c r="F247" s="636"/>
      <c r="G247" s="636"/>
      <c r="H247" s="636"/>
      <c r="I247" s="636"/>
      <c r="J247" s="636"/>
      <c r="K247" s="636"/>
      <c r="L247" s="636"/>
    </row>
    <row r="248" spans="1:12" ht="14.25">
      <c r="A248" s="636"/>
      <c r="B248" s="636"/>
      <c r="C248" s="636"/>
      <c r="D248" s="636"/>
      <c r="E248" s="636"/>
      <c r="F248" s="636"/>
      <c r="G248" s="636"/>
      <c r="H248" s="636"/>
      <c r="I248" s="636"/>
      <c r="J248" s="636"/>
      <c r="K248" s="636"/>
      <c r="L248" s="636"/>
    </row>
    <row r="249" spans="1:12" ht="14.25">
      <c r="A249" s="636"/>
      <c r="B249" s="636"/>
      <c r="C249" s="636"/>
      <c r="D249" s="636"/>
      <c r="E249" s="636"/>
      <c r="F249" s="636"/>
      <c r="G249" s="636"/>
      <c r="H249" s="636"/>
      <c r="I249" s="636"/>
      <c r="J249" s="636"/>
      <c r="K249" s="636"/>
      <c r="L249" s="636"/>
    </row>
    <row r="250" spans="1:12" ht="14.25">
      <c r="A250" s="636"/>
      <c r="B250" s="636"/>
      <c r="C250" s="636"/>
      <c r="D250" s="636"/>
      <c r="E250" s="636"/>
      <c r="F250" s="636"/>
      <c r="G250" s="636"/>
      <c r="H250" s="636"/>
      <c r="I250" s="636"/>
      <c r="J250" s="636"/>
      <c r="K250" s="636"/>
      <c r="L250" s="636"/>
    </row>
    <row r="251" spans="1:12" ht="14.25">
      <c r="A251" s="636"/>
      <c r="B251" s="636"/>
      <c r="C251" s="636"/>
      <c r="D251" s="636"/>
      <c r="E251" s="636"/>
      <c r="F251" s="636"/>
      <c r="G251" s="636"/>
      <c r="H251" s="636"/>
      <c r="I251" s="636"/>
      <c r="J251" s="636"/>
      <c r="K251" s="636"/>
      <c r="L251" s="636"/>
    </row>
    <row r="252" spans="1:12" ht="14.25">
      <c r="A252" s="636"/>
      <c r="B252" s="636"/>
      <c r="C252" s="636"/>
      <c r="D252" s="636"/>
      <c r="E252" s="636"/>
      <c r="F252" s="636"/>
      <c r="G252" s="636"/>
      <c r="H252" s="636"/>
      <c r="I252" s="636"/>
      <c r="J252" s="636"/>
      <c r="K252" s="636"/>
      <c r="L252" s="636"/>
    </row>
    <row r="253" spans="1:12" ht="14.25">
      <c r="A253" s="636"/>
      <c r="B253" s="636"/>
      <c r="C253" s="636"/>
      <c r="D253" s="636"/>
      <c r="E253" s="636"/>
      <c r="F253" s="636"/>
      <c r="G253" s="636"/>
      <c r="H253" s="636"/>
      <c r="I253" s="636"/>
      <c r="J253" s="636"/>
      <c r="K253" s="636"/>
      <c r="L253" s="636"/>
    </row>
    <row r="254" spans="1:12" ht="14.25">
      <c r="A254" s="636"/>
      <c r="B254" s="636"/>
      <c r="C254" s="636"/>
      <c r="D254" s="636"/>
      <c r="E254" s="636"/>
      <c r="F254" s="636"/>
      <c r="G254" s="636"/>
      <c r="H254" s="636"/>
      <c r="I254" s="636"/>
      <c r="J254" s="636"/>
      <c r="K254" s="636"/>
      <c r="L254" s="636"/>
    </row>
    <row r="255" spans="1:12" ht="14.25">
      <c r="A255" s="636"/>
      <c r="B255" s="636"/>
      <c r="C255" s="636"/>
      <c r="D255" s="636"/>
      <c r="E255" s="636"/>
      <c r="F255" s="636"/>
      <c r="G255" s="636"/>
      <c r="H255" s="636"/>
      <c r="I255" s="636"/>
      <c r="J255" s="636"/>
      <c r="K255" s="636"/>
      <c r="L255" s="636"/>
    </row>
    <row r="256" spans="1:12" ht="14.25">
      <c r="A256" s="636"/>
      <c r="B256" s="636"/>
      <c r="C256" s="636"/>
      <c r="D256" s="636"/>
      <c r="E256" s="636"/>
      <c r="F256" s="636"/>
      <c r="G256" s="636"/>
      <c r="H256" s="636"/>
      <c r="I256" s="636"/>
      <c r="J256" s="636"/>
      <c r="K256" s="636"/>
      <c r="L256" s="636"/>
    </row>
    <row r="257" spans="1:12" ht="14.25">
      <c r="A257" s="636"/>
      <c r="B257" s="636"/>
      <c r="C257" s="636"/>
      <c r="D257" s="636"/>
      <c r="E257" s="636"/>
      <c r="F257" s="636"/>
      <c r="G257" s="636"/>
      <c r="H257" s="636"/>
      <c r="I257" s="636"/>
      <c r="J257" s="636"/>
      <c r="K257" s="636"/>
      <c r="L257" s="636"/>
    </row>
    <row r="258" spans="1:12" ht="14.25">
      <c r="A258" s="636"/>
      <c r="B258" s="636"/>
      <c r="C258" s="636"/>
      <c r="D258" s="636"/>
      <c r="E258" s="636"/>
      <c r="F258" s="636"/>
      <c r="G258" s="636"/>
      <c r="H258" s="636"/>
      <c r="I258" s="636"/>
      <c r="J258" s="636"/>
      <c r="K258" s="636"/>
      <c r="L258" s="636"/>
    </row>
    <row r="259" spans="1:12" ht="14.25">
      <c r="A259" s="636"/>
      <c r="B259" s="636"/>
      <c r="C259" s="636"/>
      <c r="D259" s="636"/>
      <c r="E259" s="636"/>
      <c r="F259" s="636"/>
      <c r="G259" s="636"/>
      <c r="H259" s="636"/>
      <c r="I259" s="636"/>
      <c r="J259" s="636"/>
      <c r="K259" s="636"/>
      <c r="L259" s="636"/>
    </row>
    <row r="260" spans="1:12" ht="14.25">
      <c r="A260" s="636"/>
      <c r="B260" s="636"/>
      <c r="C260" s="636"/>
      <c r="D260" s="636"/>
      <c r="E260" s="636"/>
      <c r="F260" s="636"/>
      <c r="G260" s="636"/>
      <c r="H260" s="636"/>
      <c r="I260" s="636"/>
      <c r="J260" s="636"/>
      <c r="K260" s="636"/>
      <c r="L260" s="636"/>
    </row>
    <row r="261" spans="1:12" ht="14.25">
      <c r="A261" s="636"/>
      <c r="B261" s="636"/>
      <c r="C261" s="636"/>
      <c r="D261" s="636"/>
      <c r="E261" s="636"/>
      <c r="F261" s="636"/>
      <c r="G261" s="636"/>
      <c r="H261" s="636"/>
      <c r="I261" s="636"/>
      <c r="J261" s="636"/>
      <c r="K261" s="636"/>
      <c r="L261" s="636"/>
    </row>
    <row r="262" spans="1:12" ht="14.25">
      <c r="A262" s="636"/>
      <c r="B262" s="636"/>
      <c r="C262" s="636"/>
      <c r="D262" s="636"/>
      <c r="E262" s="636"/>
      <c r="F262" s="636"/>
      <c r="G262" s="636"/>
      <c r="H262" s="636"/>
      <c r="I262" s="636"/>
      <c r="J262" s="636"/>
      <c r="K262" s="636"/>
      <c r="L262" s="636"/>
    </row>
    <row r="263" spans="1:12" ht="14.25">
      <c r="A263" s="636"/>
      <c r="B263" s="636"/>
      <c r="C263" s="636"/>
      <c r="D263" s="636"/>
      <c r="E263" s="636"/>
      <c r="F263" s="636"/>
      <c r="G263" s="636"/>
      <c r="H263" s="636"/>
      <c r="I263" s="636"/>
      <c r="J263" s="636"/>
      <c r="K263" s="636"/>
      <c r="L263" s="636"/>
    </row>
    <row r="264" spans="1:12" ht="14.25">
      <c r="A264" s="636"/>
      <c r="B264" s="636"/>
      <c r="C264" s="636"/>
      <c r="D264" s="636"/>
      <c r="E264" s="636"/>
      <c r="F264" s="636"/>
      <c r="G264" s="636"/>
      <c r="H264" s="636"/>
      <c r="I264" s="636"/>
      <c r="J264" s="636"/>
      <c r="K264" s="636"/>
      <c r="L264" s="636"/>
    </row>
    <row r="265" spans="1:12" ht="14.25">
      <c r="A265" s="636"/>
      <c r="B265" s="636"/>
      <c r="C265" s="636"/>
      <c r="D265" s="636"/>
      <c r="E265" s="636"/>
      <c r="F265" s="636"/>
      <c r="G265" s="636"/>
      <c r="H265" s="636"/>
      <c r="I265" s="636"/>
      <c r="J265" s="636"/>
      <c r="K265" s="636"/>
      <c r="L265" s="636"/>
    </row>
    <row r="266" spans="1:12" ht="14.25">
      <c r="A266" s="636"/>
      <c r="B266" s="636"/>
      <c r="C266" s="636"/>
      <c r="D266" s="636"/>
      <c r="E266" s="636"/>
      <c r="F266" s="636"/>
      <c r="G266" s="636"/>
      <c r="H266" s="636"/>
      <c r="I266" s="636"/>
      <c r="J266" s="636"/>
      <c r="K266" s="636"/>
      <c r="L266" s="636"/>
    </row>
    <row r="267" spans="1:12" ht="14.25">
      <c r="A267" s="636"/>
      <c r="B267" s="636"/>
      <c r="C267" s="636"/>
      <c r="D267" s="636"/>
      <c r="E267" s="636"/>
      <c r="F267" s="636"/>
      <c r="G267" s="636"/>
      <c r="H267" s="636"/>
      <c r="I267" s="636"/>
      <c r="J267" s="636"/>
      <c r="K267" s="636"/>
      <c r="L267" s="636"/>
    </row>
    <row r="268" spans="1:12" ht="14.25">
      <c r="A268" s="636"/>
      <c r="B268" s="636"/>
      <c r="C268" s="636"/>
      <c r="D268" s="636"/>
      <c r="E268" s="636"/>
      <c r="F268" s="636"/>
      <c r="G268" s="636"/>
      <c r="H268" s="636"/>
      <c r="I268" s="636"/>
      <c r="J268" s="636"/>
      <c r="K268" s="636"/>
      <c r="L268" s="636"/>
    </row>
    <row r="269" spans="1:12" ht="14.25">
      <c r="A269" s="636"/>
      <c r="B269" s="636"/>
      <c r="C269" s="636"/>
      <c r="D269" s="636"/>
      <c r="E269" s="636"/>
      <c r="F269" s="636"/>
      <c r="G269" s="636"/>
      <c r="H269" s="636"/>
      <c r="I269" s="636"/>
      <c r="J269" s="636"/>
      <c r="K269" s="636"/>
      <c r="L269" s="636"/>
    </row>
    <row r="270" spans="1:12" ht="14.25">
      <c r="A270" s="636"/>
      <c r="B270" s="636"/>
      <c r="C270" s="636"/>
      <c r="D270" s="636"/>
      <c r="E270" s="636"/>
      <c r="F270" s="636"/>
      <c r="G270" s="636"/>
      <c r="H270" s="636"/>
      <c r="I270" s="636"/>
      <c r="J270" s="636"/>
      <c r="K270" s="636"/>
      <c r="L270" s="636"/>
    </row>
    <row r="271" spans="1:12" ht="14.25">
      <c r="A271" s="636"/>
      <c r="B271" s="636"/>
      <c r="C271" s="636"/>
      <c r="D271" s="636"/>
      <c r="E271" s="636"/>
      <c r="F271" s="636"/>
      <c r="G271" s="636"/>
      <c r="H271" s="636"/>
      <c r="I271" s="636"/>
      <c r="J271" s="636"/>
      <c r="K271" s="636"/>
      <c r="L271" s="636"/>
    </row>
    <row r="272" spans="1:12" ht="14.25">
      <c r="A272" s="636"/>
      <c r="B272" s="636"/>
      <c r="C272" s="636"/>
      <c r="D272" s="636"/>
      <c r="E272" s="636"/>
      <c r="F272" s="636"/>
      <c r="G272" s="636"/>
      <c r="H272" s="636"/>
      <c r="I272" s="636"/>
      <c r="J272" s="636"/>
      <c r="K272" s="636"/>
      <c r="L272" s="636"/>
    </row>
    <row r="273" spans="1:12" ht="14.25">
      <c r="A273" s="636"/>
      <c r="B273" s="636"/>
      <c r="C273" s="636"/>
      <c r="D273" s="636"/>
      <c r="E273" s="636"/>
      <c r="F273" s="636"/>
      <c r="G273" s="636"/>
      <c r="H273" s="636"/>
      <c r="I273" s="636"/>
      <c r="J273" s="636"/>
      <c r="K273" s="636"/>
      <c r="L273" s="636"/>
    </row>
    <row r="274" spans="1:12" ht="14.25">
      <c r="A274" s="636"/>
      <c r="B274" s="636"/>
      <c r="C274" s="636"/>
      <c r="D274" s="636"/>
      <c r="E274" s="636"/>
      <c r="F274" s="636"/>
      <c r="G274" s="636"/>
      <c r="H274" s="636"/>
      <c r="I274" s="636"/>
      <c r="J274" s="636"/>
      <c r="K274" s="636"/>
      <c r="L274" s="636"/>
    </row>
    <row r="275" spans="1:12" ht="14.25">
      <c r="A275" s="636"/>
      <c r="B275" s="636"/>
      <c r="C275" s="636"/>
      <c r="D275" s="636"/>
      <c r="E275" s="636"/>
      <c r="F275" s="636"/>
      <c r="G275" s="636"/>
      <c r="H275" s="636"/>
      <c r="I275" s="636"/>
      <c r="J275" s="636"/>
      <c r="K275" s="636"/>
      <c r="L275" s="636"/>
    </row>
    <row r="276" spans="1:12" ht="14.25">
      <c r="A276" s="636"/>
      <c r="B276" s="636"/>
      <c r="C276" s="636"/>
      <c r="D276" s="636"/>
      <c r="E276" s="636"/>
      <c r="F276" s="636"/>
      <c r="G276" s="636"/>
      <c r="H276" s="636"/>
      <c r="I276" s="636"/>
      <c r="J276" s="636"/>
      <c r="K276" s="636"/>
      <c r="L276" s="636"/>
    </row>
    <row r="277" spans="1:12" ht="14.25">
      <c r="A277" s="636"/>
      <c r="B277" s="636"/>
      <c r="C277" s="636"/>
      <c r="D277" s="636"/>
      <c r="E277" s="636"/>
      <c r="F277" s="636"/>
      <c r="G277" s="636"/>
      <c r="H277" s="636"/>
      <c r="I277" s="636"/>
      <c r="J277" s="636"/>
      <c r="K277" s="636"/>
      <c r="L277" s="636"/>
    </row>
    <row r="278" spans="1:12" ht="14.25">
      <c r="A278" s="636"/>
      <c r="B278" s="636"/>
      <c r="C278" s="636"/>
      <c r="D278" s="636"/>
      <c r="E278" s="636"/>
      <c r="F278" s="636"/>
      <c r="G278" s="636"/>
      <c r="H278" s="636"/>
      <c r="I278" s="636"/>
      <c r="J278" s="636"/>
      <c r="K278" s="636"/>
      <c r="L278" s="636"/>
    </row>
    <row r="279" spans="1:12" ht="14.25">
      <c r="A279" s="636"/>
      <c r="B279" s="636"/>
      <c r="C279" s="636"/>
      <c r="D279" s="636"/>
      <c r="E279" s="636"/>
      <c r="F279" s="636"/>
      <c r="G279" s="636"/>
      <c r="H279" s="636"/>
      <c r="I279" s="636"/>
      <c r="J279" s="636"/>
      <c r="K279" s="636"/>
      <c r="L279" s="636"/>
    </row>
    <row r="280" spans="1:12" ht="14.25">
      <c r="A280" s="636"/>
      <c r="B280" s="636"/>
      <c r="C280" s="636"/>
      <c r="D280" s="636"/>
      <c r="E280" s="636"/>
      <c r="F280" s="636"/>
      <c r="G280" s="636"/>
      <c r="H280" s="636"/>
      <c r="I280" s="636"/>
      <c r="J280" s="636"/>
      <c r="K280" s="636"/>
      <c r="L280" s="636"/>
    </row>
    <row r="281" spans="1:12" ht="14.25">
      <c r="A281" s="636"/>
      <c r="B281" s="636"/>
      <c r="C281" s="636"/>
      <c r="D281" s="636"/>
      <c r="E281" s="636"/>
      <c r="F281" s="636"/>
      <c r="G281" s="636"/>
      <c r="H281" s="636"/>
      <c r="I281" s="636"/>
      <c r="J281" s="636"/>
      <c r="K281" s="636"/>
      <c r="L281" s="636"/>
    </row>
    <row r="282" spans="1:12" ht="14.25">
      <c r="A282" s="636"/>
      <c r="B282" s="636"/>
      <c r="C282" s="636"/>
      <c r="D282" s="636"/>
      <c r="E282" s="636"/>
      <c r="F282" s="636"/>
      <c r="G282" s="636"/>
      <c r="H282" s="636"/>
      <c r="I282" s="636"/>
      <c r="J282" s="636"/>
      <c r="K282" s="636"/>
      <c r="L282" s="636"/>
    </row>
    <row r="283" spans="1:12" ht="14.25">
      <c r="A283" s="636"/>
      <c r="B283" s="636"/>
      <c r="C283" s="636"/>
      <c r="D283" s="636"/>
      <c r="E283" s="636"/>
      <c r="F283" s="636"/>
      <c r="G283" s="636"/>
      <c r="H283" s="636"/>
      <c r="I283" s="636"/>
      <c r="J283" s="636"/>
      <c r="K283" s="636"/>
      <c r="L283" s="636"/>
    </row>
    <row r="284" spans="1:12" ht="14.25">
      <c r="A284" s="636"/>
      <c r="B284" s="636"/>
      <c r="C284" s="636"/>
      <c r="D284" s="636"/>
      <c r="E284" s="636"/>
      <c r="F284" s="636"/>
      <c r="G284" s="636"/>
      <c r="H284" s="636"/>
      <c r="I284" s="636"/>
      <c r="J284" s="636"/>
      <c r="K284" s="636"/>
      <c r="L284" s="636"/>
    </row>
    <row r="285" spans="1:12" ht="14.25">
      <c r="A285" s="636"/>
      <c r="B285" s="636"/>
      <c r="C285" s="636"/>
      <c r="D285" s="636"/>
      <c r="E285" s="636"/>
      <c r="F285" s="636"/>
      <c r="G285" s="636"/>
      <c r="H285" s="636"/>
      <c r="I285" s="636"/>
      <c r="J285" s="636"/>
      <c r="K285" s="636"/>
      <c r="L285" s="636"/>
    </row>
    <row r="286" spans="1:12" ht="14.25">
      <c r="A286" s="636"/>
      <c r="B286" s="636"/>
      <c r="C286" s="636"/>
      <c r="D286" s="636"/>
      <c r="E286" s="636"/>
      <c r="F286" s="636"/>
      <c r="G286" s="636"/>
      <c r="H286" s="636"/>
      <c r="I286" s="636"/>
      <c r="J286" s="636"/>
      <c r="K286" s="636"/>
      <c r="L286" s="636"/>
    </row>
    <row r="287" spans="1:12" ht="14.25">
      <c r="A287" s="636"/>
      <c r="B287" s="636"/>
      <c r="C287" s="636"/>
      <c r="D287" s="636"/>
      <c r="E287" s="636"/>
      <c r="F287" s="636"/>
      <c r="G287" s="636"/>
      <c r="H287" s="636"/>
      <c r="I287" s="636"/>
      <c r="J287" s="636"/>
      <c r="K287" s="636"/>
      <c r="L287" s="636"/>
    </row>
    <row r="288" spans="1:12" ht="14.25">
      <c r="A288" s="636"/>
      <c r="B288" s="636"/>
      <c r="C288" s="636"/>
      <c r="D288" s="636"/>
      <c r="E288" s="636"/>
      <c r="F288" s="636"/>
      <c r="G288" s="636"/>
      <c r="H288" s="636"/>
      <c r="I288" s="636"/>
      <c r="J288" s="636"/>
      <c r="K288" s="636"/>
      <c r="L288" s="636"/>
    </row>
    <row r="289" spans="1:12" ht="14.25">
      <c r="A289" s="636"/>
      <c r="B289" s="636"/>
      <c r="C289" s="636"/>
      <c r="D289" s="636"/>
      <c r="E289" s="636"/>
      <c r="F289" s="636"/>
      <c r="G289" s="636"/>
      <c r="H289" s="636"/>
      <c r="I289" s="636"/>
      <c r="J289" s="636"/>
      <c r="K289" s="636"/>
      <c r="L289" s="636"/>
    </row>
    <row r="290" spans="1:12" ht="14.25">
      <c r="A290" s="636"/>
      <c r="B290" s="636"/>
      <c r="C290" s="636"/>
      <c r="D290" s="636"/>
      <c r="E290" s="636"/>
      <c r="F290" s="636"/>
      <c r="G290" s="636"/>
      <c r="H290" s="636"/>
      <c r="I290" s="636"/>
      <c r="J290" s="636"/>
      <c r="K290" s="636"/>
      <c r="L290" s="636"/>
    </row>
    <row r="291" spans="1:12" ht="14.25">
      <c r="A291" s="636"/>
      <c r="B291" s="636"/>
      <c r="C291" s="636"/>
      <c r="D291" s="636"/>
      <c r="E291" s="636"/>
      <c r="F291" s="636"/>
      <c r="G291" s="636"/>
      <c r="H291" s="636"/>
      <c r="I291" s="636"/>
      <c r="J291" s="636"/>
      <c r="K291" s="636"/>
      <c r="L291" s="636"/>
    </row>
    <row r="292" spans="1:12" ht="14.25">
      <c r="A292" s="636"/>
      <c r="B292" s="636"/>
      <c r="C292" s="636"/>
      <c r="D292" s="636"/>
      <c r="E292" s="636"/>
      <c r="F292" s="636"/>
      <c r="G292" s="636"/>
      <c r="H292" s="636"/>
      <c r="I292" s="636"/>
      <c r="J292" s="636"/>
      <c r="K292" s="636"/>
      <c r="L292" s="636"/>
    </row>
    <row r="293" spans="1:12" ht="14.25">
      <c r="A293" s="636"/>
      <c r="B293" s="636"/>
      <c r="C293" s="636"/>
      <c r="D293" s="636"/>
      <c r="E293" s="636"/>
      <c r="F293" s="636"/>
      <c r="G293" s="636"/>
      <c r="H293" s="636"/>
      <c r="I293" s="636"/>
      <c r="J293" s="636"/>
      <c r="K293" s="636"/>
      <c r="L293" s="636"/>
    </row>
    <row r="294" spans="1:12" ht="14.25">
      <c r="A294" s="636"/>
      <c r="B294" s="636"/>
      <c r="C294" s="636"/>
      <c r="D294" s="636"/>
      <c r="E294" s="636"/>
      <c r="F294" s="636"/>
      <c r="G294" s="636"/>
      <c r="H294" s="636"/>
      <c r="I294" s="636"/>
      <c r="J294" s="636"/>
      <c r="K294" s="636"/>
      <c r="L294" s="636"/>
    </row>
    <row r="295" spans="1:12" ht="14.25">
      <c r="A295" s="636"/>
      <c r="B295" s="636"/>
      <c r="C295" s="636"/>
      <c r="D295" s="636"/>
      <c r="E295" s="636"/>
      <c r="F295" s="636"/>
      <c r="G295" s="636"/>
      <c r="H295" s="636"/>
      <c r="I295" s="636"/>
      <c r="J295" s="636"/>
      <c r="K295" s="636"/>
      <c r="L295" s="636"/>
    </row>
    <row r="296" spans="1:12" ht="14.25">
      <c r="A296" s="636"/>
      <c r="B296" s="636"/>
      <c r="C296" s="636"/>
      <c r="D296" s="636"/>
      <c r="E296" s="636"/>
      <c r="F296" s="636"/>
      <c r="G296" s="636"/>
      <c r="H296" s="636"/>
      <c r="I296" s="636"/>
      <c r="J296" s="636"/>
      <c r="K296" s="636"/>
      <c r="L296" s="636"/>
    </row>
    <row r="297" spans="1:12" ht="14.25">
      <c r="A297" s="636"/>
      <c r="B297" s="636"/>
      <c r="C297" s="636"/>
      <c r="D297" s="636"/>
      <c r="E297" s="636"/>
      <c r="F297" s="636"/>
      <c r="G297" s="636"/>
      <c r="H297" s="636"/>
      <c r="I297" s="636"/>
      <c r="J297" s="636"/>
      <c r="K297" s="636"/>
      <c r="L297" s="636"/>
    </row>
    <row r="298" spans="1:12" ht="14.25">
      <c r="A298" s="636"/>
      <c r="B298" s="636"/>
      <c r="C298" s="636"/>
      <c r="D298" s="636"/>
      <c r="E298" s="636"/>
      <c r="F298" s="636"/>
      <c r="G298" s="636"/>
      <c r="H298" s="636"/>
      <c r="I298" s="636"/>
      <c r="J298" s="636"/>
      <c r="K298" s="636"/>
      <c r="L298" s="636"/>
    </row>
    <row r="299" spans="1:12" ht="14.25">
      <c r="A299" s="636"/>
      <c r="B299" s="636"/>
      <c r="C299" s="636"/>
      <c r="D299" s="636"/>
      <c r="E299" s="636"/>
      <c r="F299" s="636"/>
      <c r="G299" s="636"/>
      <c r="H299" s="636"/>
      <c r="I299" s="636"/>
      <c r="J299" s="636"/>
      <c r="K299" s="636"/>
      <c r="L299" s="636"/>
    </row>
    <row r="300" spans="1:12" ht="14.25">
      <c r="A300" s="636"/>
      <c r="B300" s="636"/>
      <c r="C300" s="636"/>
      <c r="D300" s="636"/>
      <c r="E300" s="636"/>
      <c r="F300" s="636"/>
      <c r="G300" s="636"/>
      <c r="H300" s="636"/>
      <c r="I300" s="636"/>
      <c r="J300" s="636"/>
      <c r="K300" s="636"/>
      <c r="L300" s="636"/>
    </row>
    <row r="301" spans="1:12" ht="14.25">
      <c r="A301" s="636"/>
      <c r="B301" s="636"/>
      <c r="C301" s="636"/>
      <c r="D301" s="636"/>
      <c r="E301" s="636"/>
      <c r="F301" s="636"/>
      <c r="G301" s="636"/>
      <c r="H301" s="636"/>
      <c r="I301" s="636"/>
      <c r="J301" s="636"/>
      <c r="K301" s="636"/>
      <c r="L301" s="636"/>
    </row>
    <row r="302" spans="1:12" ht="14.25">
      <c r="A302" s="636"/>
      <c r="B302" s="636"/>
      <c r="C302" s="636"/>
      <c r="D302" s="636"/>
      <c r="E302" s="636"/>
      <c r="F302" s="636"/>
      <c r="G302" s="636"/>
      <c r="H302" s="636"/>
      <c r="I302" s="636"/>
      <c r="J302" s="636"/>
      <c r="K302" s="636"/>
      <c r="L302" s="636"/>
    </row>
    <row r="303" spans="1:12" ht="14.25">
      <c r="A303" s="636"/>
      <c r="B303" s="636"/>
      <c r="C303" s="636"/>
      <c r="D303" s="636"/>
      <c r="E303" s="636"/>
      <c r="F303" s="636"/>
      <c r="G303" s="636"/>
      <c r="H303" s="636"/>
      <c r="I303" s="636"/>
      <c r="J303" s="636"/>
      <c r="K303" s="636"/>
      <c r="L303" s="636"/>
    </row>
    <row r="304" spans="1:12" ht="14.25">
      <c r="A304" s="636"/>
      <c r="B304" s="636"/>
      <c r="C304" s="636"/>
      <c r="D304" s="636"/>
      <c r="E304" s="636"/>
      <c r="F304" s="636"/>
      <c r="G304" s="636"/>
      <c r="H304" s="636"/>
      <c r="I304" s="636"/>
      <c r="J304" s="636"/>
      <c r="K304" s="636"/>
      <c r="L304" s="636"/>
    </row>
    <row r="305" spans="1:12" ht="14.25">
      <c r="A305" s="636"/>
      <c r="B305" s="636"/>
      <c r="C305" s="636"/>
      <c r="D305" s="636"/>
      <c r="E305" s="636"/>
      <c r="F305" s="636"/>
      <c r="G305" s="636"/>
      <c r="H305" s="636"/>
      <c r="I305" s="636"/>
      <c r="J305" s="636"/>
      <c r="K305" s="636"/>
      <c r="L305" s="636"/>
    </row>
    <row r="306" spans="1:12" ht="14.25">
      <c r="A306" s="636"/>
      <c r="B306" s="636"/>
      <c r="C306" s="636"/>
      <c r="D306" s="636"/>
      <c r="E306" s="636"/>
      <c r="F306" s="636"/>
      <c r="G306" s="636"/>
      <c r="H306" s="636"/>
      <c r="I306" s="636"/>
      <c r="J306" s="636"/>
      <c r="K306" s="636"/>
      <c r="L306" s="636"/>
    </row>
    <row r="307" spans="1:12" ht="14.25">
      <c r="A307" s="636"/>
      <c r="B307" s="636"/>
      <c r="C307" s="636"/>
      <c r="D307" s="636"/>
      <c r="E307" s="636"/>
      <c r="F307" s="636"/>
      <c r="G307" s="636"/>
      <c r="H307" s="636"/>
      <c r="I307" s="636"/>
      <c r="J307" s="636"/>
      <c r="K307" s="636"/>
      <c r="L307" s="636"/>
    </row>
    <row r="308" spans="1:12" ht="14.25">
      <c r="A308" s="636"/>
      <c r="B308" s="636"/>
      <c r="C308" s="636"/>
      <c r="D308" s="636"/>
      <c r="E308" s="636"/>
      <c r="F308" s="636"/>
      <c r="G308" s="636"/>
      <c r="H308" s="636"/>
      <c r="I308" s="636"/>
      <c r="J308" s="636"/>
      <c r="K308" s="636"/>
      <c r="L308" s="636"/>
    </row>
    <row r="309" spans="1:12" ht="14.25">
      <c r="A309" s="636"/>
      <c r="B309" s="636"/>
      <c r="C309" s="636"/>
      <c r="D309" s="636"/>
      <c r="E309" s="636"/>
      <c r="F309" s="636"/>
      <c r="G309" s="636"/>
      <c r="H309" s="636"/>
      <c r="I309" s="636"/>
      <c r="J309" s="636"/>
      <c r="K309" s="636"/>
      <c r="L309" s="636"/>
    </row>
    <row r="310" spans="1:12" ht="14.25">
      <c r="A310" s="636"/>
      <c r="B310" s="636"/>
      <c r="C310" s="636"/>
      <c r="D310" s="636"/>
      <c r="E310" s="636"/>
      <c r="F310" s="636"/>
      <c r="G310" s="636"/>
      <c r="H310" s="636"/>
      <c r="I310" s="636"/>
      <c r="J310" s="636"/>
      <c r="K310" s="636"/>
      <c r="L310" s="636"/>
    </row>
    <row r="311" spans="1:12" ht="14.25">
      <c r="A311" s="636"/>
      <c r="B311" s="636"/>
      <c r="C311" s="636"/>
      <c r="D311" s="636"/>
      <c r="E311" s="636"/>
      <c r="F311" s="636"/>
      <c r="G311" s="636"/>
      <c r="H311" s="636"/>
      <c r="I311" s="636"/>
      <c r="J311" s="636"/>
      <c r="K311" s="636"/>
      <c r="L311" s="636"/>
    </row>
    <row r="312" spans="1:12" ht="14.25">
      <c r="A312" s="636"/>
      <c r="B312" s="636"/>
      <c r="C312" s="636"/>
      <c r="D312" s="636"/>
      <c r="E312" s="636"/>
      <c r="F312" s="636"/>
      <c r="G312" s="636"/>
      <c r="H312" s="636"/>
      <c r="I312" s="636"/>
      <c r="J312" s="636"/>
      <c r="K312" s="636"/>
      <c r="L312" s="636"/>
    </row>
    <row r="313" spans="1:12" ht="14.25">
      <c r="A313" s="636"/>
      <c r="B313" s="636"/>
      <c r="C313" s="636"/>
      <c r="D313" s="636"/>
      <c r="E313" s="636"/>
      <c r="F313" s="636"/>
      <c r="G313" s="636"/>
      <c r="H313" s="636"/>
      <c r="I313" s="636"/>
      <c r="J313" s="636"/>
      <c r="K313" s="636"/>
      <c r="L313" s="636"/>
    </row>
    <row r="314" spans="1:12" ht="14.25">
      <c r="A314" s="636"/>
      <c r="B314" s="636"/>
      <c r="C314" s="636"/>
      <c r="D314" s="636"/>
      <c r="E314" s="636"/>
      <c r="F314" s="636"/>
      <c r="G314" s="636"/>
      <c r="H314" s="636"/>
      <c r="I314" s="636"/>
      <c r="J314" s="636"/>
      <c r="K314" s="636"/>
      <c r="L314" s="636"/>
    </row>
    <row r="315" spans="1:12" ht="14.25">
      <c r="A315" s="636"/>
      <c r="B315" s="636"/>
      <c r="C315" s="636"/>
      <c r="D315" s="636"/>
      <c r="E315" s="636"/>
      <c r="F315" s="636"/>
      <c r="G315" s="636"/>
      <c r="H315" s="636"/>
      <c r="I315" s="636"/>
      <c r="J315" s="636"/>
      <c r="K315" s="636"/>
      <c r="L315" s="636"/>
    </row>
    <row r="316" spans="1:12" ht="14.25">
      <c r="A316" s="636"/>
      <c r="B316" s="636"/>
      <c r="C316" s="636"/>
      <c r="D316" s="636"/>
      <c r="E316" s="636"/>
      <c r="F316" s="636"/>
      <c r="G316" s="636"/>
      <c r="H316" s="636"/>
      <c r="I316" s="636"/>
      <c r="J316" s="636"/>
      <c r="K316" s="636"/>
      <c r="L316" s="636"/>
    </row>
    <row r="317" spans="1:12" ht="14.25">
      <c r="A317" s="636"/>
      <c r="B317" s="636"/>
      <c r="C317" s="636"/>
      <c r="D317" s="636"/>
      <c r="E317" s="636"/>
      <c r="F317" s="636"/>
      <c r="G317" s="636"/>
      <c r="H317" s="636"/>
      <c r="I317" s="636"/>
      <c r="J317" s="636"/>
      <c r="K317" s="636"/>
      <c r="L317" s="636"/>
    </row>
    <row r="318" spans="1:12" ht="14.25">
      <c r="A318" s="636"/>
      <c r="B318" s="636"/>
      <c r="C318" s="636"/>
      <c r="D318" s="636"/>
      <c r="E318" s="636"/>
      <c r="F318" s="636"/>
      <c r="G318" s="636"/>
      <c r="H318" s="636"/>
      <c r="I318" s="636"/>
      <c r="J318" s="636"/>
      <c r="K318" s="636"/>
      <c r="L318" s="636"/>
    </row>
    <row r="319" spans="1:12" ht="14.25">
      <c r="A319" s="636"/>
      <c r="B319" s="636"/>
      <c r="C319" s="636"/>
      <c r="D319" s="636"/>
      <c r="E319" s="636"/>
      <c r="F319" s="636"/>
      <c r="G319" s="636"/>
      <c r="H319" s="636"/>
      <c r="I319" s="636"/>
      <c r="J319" s="636"/>
      <c r="K319" s="636"/>
      <c r="L319" s="636"/>
    </row>
    <row r="320" spans="1:12" ht="14.25">
      <c r="A320" s="636"/>
      <c r="B320" s="636"/>
      <c r="C320" s="636"/>
      <c r="D320" s="636"/>
      <c r="E320" s="636"/>
      <c r="F320" s="636"/>
      <c r="G320" s="636"/>
      <c r="H320" s="636"/>
      <c r="I320" s="636"/>
      <c r="J320" s="636"/>
      <c r="K320" s="636"/>
      <c r="L320" s="636"/>
    </row>
    <row r="321" spans="1:12" ht="14.25">
      <c r="A321" s="636"/>
      <c r="B321" s="636"/>
      <c r="C321" s="636"/>
      <c r="D321" s="636"/>
      <c r="E321" s="636"/>
      <c r="F321" s="636"/>
      <c r="G321" s="636"/>
      <c r="H321" s="636"/>
      <c r="I321" s="636"/>
      <c r="J321" s="636"/>
      <c r="K321" s="636"/>
      <c r="L321" s="636"/>
    </row>
    <row r="322" spans="1:12" ht="14.25">
      <c r="A322" s="636"/>
      <c r="B322" s="636"/>
      <c r="C322" s="636"/>
      <c r="D322" s="636"/>
      <c r="E322" s="636"/>
      <c r="F322" s="636"/>
      <c r="G322" s="636"/>
      <c r="H322" s="636"/>
      <c r="I322" s="636"/>
      <c r="J322" s="636"/>
      <c r="K322" s="636"/>
      <c r="L322" s="636"/>
    </row>
    <row r="323" spans="1:12" ht="14.25">
      <c r="A323" s="636"/>
      <c r="B323" s="636"/>
      <c r="C323" s="636"/>
      <c r="D323" s="636"/>
      <c r="E323" s="636"/>
      <c r="F323" s="636"/>
      <c r="G323" s="636"/>
      <c r="H323" s="636"/>
      <c r="I323" s="636"/>
      <c r="J323" s="636"/>
      <c r="K323" s="636"/>
      <c r="L323" s="636"/>
    </row>
    <row r="324" spans="1:12" ht="14.25">
      <c r="A324" s="636"/>
      <c r="B324" s="636"/>
      <c r="C324" s="636"/>
      <c r="D324" s="636"/>
      <c r="E324" s="636"/>
      <c r="F324" s="636"/>
      <c r="G324" s="636"/>
      <c r="H324" s="636"/>
      <c r="I324" s="636"/>
      <c r="J324" s="636"/>
      <c r="K324" s="636"/>
      <c r="L324" s="636"/>
    </row>
    <row r="325" spans="1:12" ht="14.25">
      <c r="A325" s="636"/>
      <c r="B325" s="636"/>
      <c r="C325" s="636"/>
      <c r="D325" s="636"/>
      <c r="E325" s="636"/>
      <c r="F325" s="636"/>
      <c r="G325" s="636"/>
      <c r="H325" s="636"/>
      <c r="I325" s="636"/>
      <c r="J325" s="636"/>
      <c r="K325" s="636"/>
      <c r="L325" s="636"/>
    </row>
    <row r="326" spans="1:12" ht="14.25">
      <c r="A326" s="636"/>
      <c r="B326" s="636"/>
      <c r="C326" s="636"/>
      <c r="D326" s="636"/>
      <c r="E326" s="636"/>
      <c r="F326" s="636"/>
      <c r="G326" s="636"/>
      <c r="H326" s="636"/>
      <c r="I326" s="636"/>
      <c r="J326" s="636"/>
      <c r="K326" s="636"/>
      <c r="L326" s="636"/>
    </row>
    <row r="327" spans="1:12" ht="14.25">
      <c r="A327" s="636"/>
      <c r="B327" s="636"/>
      <c r="C327" s="636"/>
      <c r="D327" s="636"/>
      <c r="E327" s="636"/>
      <c r="F327" s="636"/>
      <c r="G327" s="636"/>
      <c r="H327" s="636"/>
      <c r="I327" s="636"/>
      <c r="J327" s="636"/>
      <c r="K327" s="636"/>
      <c r="L327" s="636"/>
    </row>
    <row r="328" spans="1:12" ht="14.25">
      <c r="A328" s="636"/>
      <c r="B328" s="636"/>
      <c r="C328" s="636"/>
      <c r="D328" s="636"/>
      <c r="E328" s="636"/>
      <c r="F328" s="636"/>
      <c r="G328" s="636"/>
      <c r="H328" s="636"/>
      <c r="I328" s="636"/>
      <c r="J328" s="636"/>
      <c r="K328" s="636"/>
      <c r="L328" s="636"/>
    </row>
    <row r="329" spans="1:12" ht="14.25">
      <c r="A329" s="636"/>
      <c r="B329" s="636"/>
      <c r="C329" s="636"/>
      <c r="D329" s="636"/>
      <c r="E329" s="636"/>
      <c r="F329" s="636"/>
      <c r="G329" s="636"/>
      <c r="H329" s="636"/>
      <c r="I329" s="636"/>
      <c r="J329" s="636"/>
      <c r="K329" s="636"/>
      <c r="L329" s="636"/>
    </row>
    <row r="330" spans="1:12" ht="14.25">
      <c r="A330" s="636"/>
      <c r="B330" s="636"/>
      <c r="C330" s="636"/>
      <c r="D330" s="636"/>
      <c r="E330" s="636"/>
      <c r="F330" s="636"/>
      <c r="G330" s="636"/>
      <c r="H330" s="636"/>
      <c r="I330" s="636"/>
      <c r="J330" s="636"/>
      <c r="K330" s="636"/>
      <c r="L330" s="636"/>
    </row>
    <row r="331" spans="1:12" ht="14.25">
      <c r="A331" s="636"/>
      <c r="B331" s="636"/>
      <c r="C331" s="636"/>
      <c r="D331" s="636"/>
      <c r="E331" s="636"/>
      <c r="F331" s="636"/>
      <c r="G331" s="636"/>
      <c r="H331" s="636"/>
      <c r="I331" s="636"/>
      <c r="J331" s="636"/>
      <c r="K331" s="636"/>
      <c r="L331" s="636"/>
    </row>
    <row r="332" spans="1:12" ht="14.25">
      <c r="A332" s="636"/>
      <c r="B332" s="636"/>
      <c r="C332" s="636"/>
      <c r="D332" s="636"/>
      <c r="E332" s="636"/>
      <c r="F332" s="636"/>
      <c r="G332" s="636"/>
      <c r="H332" s="636"/>
      <c r="I332" s="636"/>
      <c r="J332" s="636"/>
      <c r="K332" s="636"/>
      <c r="L332" s="636"/>
    </row>
    <row r="333" spans="1:12" ht="14.25">
      <c r="A333" s="636"/>
      <c r="B333" s="636"/>
      <c r="C333" s="636"/>
      <c r="D333" s="636"/>
      <c r="E333" s="636"/>
      <c r="F333" s="636"/>
      <c r="G333" s="636"/>
      <c r="H333" s="636"/>
      <c r="I333" s="636"/>
      <c r="J333" s="636"/>
      <c r="K333" s="636"/>
      <c r="L333" s="636"/>
    </row>
    <row r="334" spans="1:12" ht="14.25">
      <c r="A334" s="636"/>
      <c r="B334" s="636"/>
      <c r="C334" s="636"/>
      <c r="D334" s="636"/>
      <c r="E334" s="636"/>
      <c r="F334" s="636"/>
      <c r="G334" s="636"/>
      <c r="H334" s="636"/>
      <c r="I334" s="636"/>
      <c r="J334" s="636"/>
      <c r="K334" s="636"/>
      <c r="L334" s="636"/>
    </row>
    <row r="335" spans="1:12" ht="14.25">
      <c r="A335" s="636"/>
      <c r="B335" s="636"/>
      <c r="C335" s="636"/>
      <c r="D335" s="636"/>
      <c r="E335" s="636"/>
      <c r="F335" s="636"/>
      <c r="G335" s="636"/>
      <c r="H335" s="636"/>
      <c r="I335" s="636"/>
      <c r="J335" s="636"/>
      <c r="K335" s="636"/>
      <c r="L335" s="636"/>
    </row>
    <row r="336" spans="1:12" ht="14.25">
      <c r="A336" s="636"/>
      <c r="B336" s="636"/>
      <c r="C336" s="636"/>
      <c r="D336" s="636"/>
      <c r="E336" s="636"/>
      <c r="F336" s="636"/>
      <c r="G336" s="636"/>
      <c r="H336" s="636"/>
      <c r="I336" s="636"/>
      <c r="J336" s="636"/>
      <c r="K336" s="636"/>
      <c r="L336" s="636"/>
    </row>
    <row r="337" spans="1:12" ht="14.25">
      <c r="A337" s="636"/>
      <c r="B337" s="636"/>
      <c r="C337" s="636"/>
      <c r="D337" s="636"/>
      <c r="E337" s="636"/>
      <c r="F337" s="636"/>
      <c r="G337" s="636"/>
      <c r="H337" s="636"/>
      <c r="I337" s="636"/>
      <c r="J337" s="636"/>
      <c r="K337" s="636"/>
      <c r="L337" s="636"/>
    </row>
    <row r="338" spans="1:12" ht="14.25">
      <c r="A338" s="636"/>
      <c r="B338" s="636"/>
      <c r="C338" s="636"/>
      <c r="D338" s="636"/>
      <c r="E338" s="636"/>
      <c r="F338" s="636"/>
      <c r="G338" s="636"/>
      <c r="H338" s="636"/>
      <c r="I338" s="636"/>
      <c r="J338" s="636"/>
      <c r="K338" s="636"/>
      <c r="L338" s="636"/>
    </row>
    <row r="339" spans="1:12" ht="14.25">
      <c r="A339" s="636"/>
      <c r="B339" s="636"/>
      <c r="C339" s="636"/>
      <c r="D339" s="636"/>
      <c r="E339" s="636"/>
      <c r="F339" s="636"/>
      <c r="G339" s="636"/>
      <c r="H339" s="636"/>
      <c r="I339" s="636"/>
      <c r="J339" s="636"/>
      <c r="K339" s="636"/>
      <c r="L339" s="636"/>
    </row>
    <row r="340" spans="1:12" ht="14.25">
      <c r="A340" s="636"/>
      <c r="B340" s="636"/>
      <c r="C340" s="636"/>
      <c r="D340" s="636"/>
      <c r="E340" s="636"/>
      <c r="F340" s="636"/>
      <c r="G340" s="636"/>
      <c r="H340" s="636"/>
      <c r="I340" s="636"/>
      <c r="J340" s="636"/>
      <c r="K340" s="636"/>
      <c r="L340" s="636"/>
    </row>
    <row r="341" spans="1:12" ht="14.25">
      <c r="A341" s="636"/>
      <c r="B341" s="636"/>
      <c r="C341" s="636"/>
      <c r="D341" s="636"/>
      <c r="E341" s="636"/>
      <c r="F341" s="636"/>
      <c r="G341" s="636"/>
      <c r="H341" s="636"/>
      <c r="I341" s="636"/>
      <c r="J341" s="636"/>
      <c r="K341" s="636"/>
      <c r="L341" s="636"/>
    </row>
    <row r="342" spans="1:12" ht="14.25">
      <c r="A342" s="636"/>
      <c r="B342" s="636"/>
      <c r="C342" s="636"/>
      <c r="D342" s="636"/>
      <c r="E342" s="636"/>
      <c r="F342" s="636"/>
      <c r="G342" s="636"/>
      <c r="H342" s="636"/>
      <c r="I342" s="636"/>
      <c r="J342" s="636"/>
      <c r="K342" s="636"/>
      <c r="L342" s="636"/>
    </row>
    <row r="343" spans="1:12" ht="14.25">
      <c r="A343" s="636"/>
      <c r="B343" s="636"/>
      <c r="C343" s="636"/>
      <c r="D343" s="636"/>
      <c r="E343" s="636"/>
      <c r="F343" s="636"/>
      <c r="G343" s="636"/>
      <c r="H343" s="636"/>
      <c r="I343" s="636"/>
      <c r="J343" s="636"/>
      <c r="K343" s="636"/>
      <c r="L343" s="636"/>
    </row>
    <row r="344" spans="1:12" ht="14.25">
      <c r="A344" s="636"/>
      <c r="B344" s="636"/>
      <c r="C344" s="636"/>
      <c r="D344" s="636"/>
      <c r="E344" s="636"/>
      <c r="F344" s="636"/>
      <c r="G344" s="636"/>
      <c r="H344" s="636"/>
      <c r="I344" s="636"/>
      <c r="J344" s="636"/>
      <c r="K344" s="636"/>
      <c r="L344" s="636"/>
    </row>
    <row r="345" spans="1:12" ht="14.25">
      <c r="A345" s="636"/>
      <c r="B345" s="636"/>
      <c r="C345" s="636"/>
      <c r="D345" s="636"/>
      <c r="E345" s="636"/>
      <c r="F345" s="636"/>
      <c r="G345" s="636"/>
      <c r="H345" s="636"/>
      <c r="I345" s="636"/>
      <c r="J345" s="636"/>
      <c r="K345" s="636"/>
      <c r="L345" s="636"/>
    </row>
    <row r="346" spans="1:12" ht="14.25">
      <c r="A346" s="636"/>
      <c r="B346" s="636"/>
      <c r="C346" s="636"/>
      <c r="D346" s="636"/>
      <c r="E346" s="636"/>
      <c r="F346" s="636"/>
      <c r="G346" s="636"/>
      <c r="H346" s="636"/>
      <c r="I346" s="636"/>
      <c r="J346" s="636"/>
      <c r="K346" s="636"/>
      <c r="L346" s="636"/>
    </row>
    <row r="347" spans="1:12" ht="14.25">
      <c r="A347" s="636"/>
      <c r="B347" s="636"/>
      <c r="C347" s="636"/>
      <c r="D347" s="636"/>
      <c r="E347" s="636"/>
      <c r="F347" s="636"/>
      <c r="G347" s="636"/>
      <c r="H347" s="636"/>
      <c r="I347" s="636"/>
      <c r="J347" s="636"/>
      <c r="K347" s="636"/>
      <c r="L347" s="636"/>
    </row>
    <row r="348" spans="1:12" ht="14.25">
      <c r="A348" s="636"/>
      <c r="B348" s="636"/>
      <c r="C348" s="636"/>
      <c r="D348" s="636"/>
      <c r="E348" s="636"/>
      <c r="F348" s="636"/>
      <c r="G348" s="636"/>
      <c r="H348" s="636"/>
      <c r="I348" s="636"/>
      <c r="J348" s="636"/>
      <c r="K348" s="636"/>
      <c r="L348" s="636"/>
    </row>
    <row r="349" spans="1:12" ht="14.25">
      <c r="A349" s="636"/>
      <c r="B349" s="636"/>
      <c r="C349" s="636"/>
      <c r="D349" s="636"/>
      <c r="E349" s="636"/>
      <c r="F349" s="636"/>
      <c r="G349" s="636"/>
      <c r="H349" s="636"/>
      <c r="I349" s="636"/>
      <c r="J349" s="636"/>
      <c r="K349" s="636"/>
      <c r="L349" s="636"/>
    </row>
    <row r="350" spans="1:12" ht="14.25">
      <c r="A350" s="636"/>
      <c r="B350" s="636"/>
      <c r="C350" s="636"/>
      <c r="D350" s="636"/>
      <c r="E350" s="636"/>
      <c r="F350" s="636"/>
      <c r="G350" s="636"/>
      <c r="H350" s="636"/>
      <c r="I350" s="636"/>
      <c r="J350" s="636"/>
      <c r="K350" s="636"/>
      <c r="L350" s="636"/>
    </row>
    <row r="351" spans="1:12" ht="14.25">
      <c r="A351" s="636"/>
      <c r="B351" s="636"/>
      <c r="C351" s="636"/>
      <c r="D351" s="636"/>
      <c r="E351" s="636"/>
      <c r="F351" s="636"/>
      <c r="G351" s="636"/>
      <c r="H351" s="636"/>
      <c r="I351" s="636"/>
      <c r="J351" s="636"/>
      <c r="K351" s="636"/>
      <c r="L351" s="636"/>
    </row>
    <row r="352" spans="1:12" ht="14.25">
      <c r="A352" s="636"/>
      <c r="B352" s="636"/>
      <c r="C352" s="636"/>
      <c r="D352" s="636"/>
      <c r="E352" s="636"/>
      <c r="F352" s="636"/>
      <c r="G352" s="636"/>
      <c r="H352" s="636"/>
      <c r="I352" s="636"/>
      <c r="J352" s="636"/>
      <c r="K352" s="636"/>
      <c r="L352" s="636"/>
    </row>
    <row r="353" spans="1:12" ht="14.25">
      <c r="A353" s="636"/>
      <c r="B353" s="636"/>
      <c r="C353" s="636"/>
      <c r="D353" s="636"/>
      <c r="E353" s="636"/>
      <c r="F353" s="636"/>
      <c r="G353" s="636"/>
      <c r="H353" s="636"/>
      <c r="I353" s="636"/>
      <c r="J353" s="636"/>
      <c r="K353" s="636"/>
      <c r="L353" s="636"/>
    </row>
    <row r="354" spans="1:12" ht="14.25">
      <c r="A354" s="636"/>
      <c r="B354" s="636"/>
      <c r="C354" s="636"/>
      <c r="D354" s="636"/>
      <c r="E354" s="636"/>
      <c r="F354" s="636"/>
      <c r="G354" s="636"/>
      <c r="H354" s="636"/>
      <c r="I354" s="636"/>
      <c r="J354" s="636"/>
      <c r="K354" s="636"/>
      <c r="L354" s="636"/>
    </row>
  </sheetData>
  <sheetProtection sheet="1"/>
  <mergeCells count="55">
    <mergeCell ref="C97:D97"/>
    <mergeCell ref="C120:D120"/>
    <mergeCell ref="C123:D123"/>
    <mergeCell ref="C77:D77"/>
    <mergeCell ref="C80:D80"/>
    <mergeCell ref="C83:D83"/>
    <mergeCell ref="C100:D100"/>
    <mergeCell ref="B57:K57"/>
    <mergeCell ref="B52:K52"/>
    <mergeCell ref="B53:K53"/>
    <mergeCell ref="B6:K6"/>
    <mergeCell ref="B7:K7"/>
    <mergeCell ref="B8:K8"/>
    <mergeCell ref="B10:K10"/>
    <mergeCell ref="I51:K51"/>
    <mergeCell ref="B12:K12"/>
    <mergeCell ref="C25:D25"/>
    <mergeCell ref="F23:G23"/>
    <mergeCell ref="B30:K30"/>
    <mergeCell ref="B31:K31"/>
    <mergeCell ref="B33:K33"/>
    <mergeCell ref="B55:K55"/>
    <mergeCell ref="B35:K35"/>
    <mergeCell ref="C41:D41"/>
    <mergeCell ref="B48:C48"/>
    <mergeCell ref="G50:H50"/>
    <mergeCell ref="B58:K58"/>
    <mergeCell ref="C117:D117"/>
    <mergeCell ref="B85:K85"/>
    <mergeCell ref="B86:K86"/>
    <mergeCell ref="B88:K88"/>
    <mergeCell ref="B90:K90"/>
    <mergeCell ref="C103:D103"/>
    <mergeCell ref="C74:D74"/>
    <mergeCell ref="B110:K110"/>
    <mergeCell ref="C94:D94"/>
    <mergeCell ref="C148:D148"/>
    <mergeCell ref="J148:K148"/>
    <mergeCell ref="B128:K128"/>
    <mergeCell ref="B130:K130"/>
    <mergeCell ref="C133:D133"/>
    <mergeCell ref="H133:I133"/>
    <mergeCell ref="C134:D134"/>
    <mergeCell ref="H134:I134"/>
    <mergeCell ref="C136:D136"/>
    <mergeCell ref="C137:D137"/>
    <mergeCell ref="B144:K144"/>
    <mergeCell ref="C147:D147"/>
    <mergeCell ref="J147:K147"/>
    <mergeCell ref="B105:K105"/>
    <mergeCell ref="B106:K106"/>
    <mergeCell ref="B108:K108"/>
    <mergeCell ref="C114:D114"/>
    <mergeCell ref="B126:K126"/>
    <mergeCell ref="B125:K125"/>
  </mergeCells>
  <printOptions/>
  <pageMargins left="0.7" right="0.7" top="0.75" bottom="0.75" header="0.3" footer="0.3"/>
  <pageSetup orientation="portrait" paperSize="9"/>
</worksheet>
</file>

<file path=xl/worksheets/sheet49.xml><?xml version="1.0" encoding="utf-8"?>
<worksheet xmlns="http://schemas.openxmlformats.org/spreadsheetml/2006/main" xmlns:r="http://schemas.openxmlformats.org/officeDocument/2006/relationships">
  <dimension ref="A1:A40"/>
  <sheetViews>
    <sheetView zoomScalePageLayoutView="0" workbookViewId="0" topLeftCell="A1">
      <selection activeCell="A15" sqref="A15"/>
    </sheetView>
  </sheetViews>
  <sheetFormatPr defaultColWidth="8.796875" defaultRowHeight="15"/>
  <cols>
    <col min="1" max="1" width="71.19921875" style="0" customWidth="1"/>
  </cols>
  <sheetData>
    <row r="1" ht="16.5">
      <c r="A1" s="530" t="s">
        <v>55</v>
      </c>
    </row>
    <row r="3" ht="31.5">
      <c r="A3" s="531" t="s">
        <v>56</v>
      </c>
    </row>
    <row r="4" ht="15.75">
      <c r="A4" s="532" t="s">
        <v>57</v>
      </c>
    </row>
    <row r="7" ht="31.5">
      <c r="A7" s="531" t="s">
        <v>58</v>
      </c>
    </row>
    <row r="8" ht="15.75">
      <c r="A8" s="532" t="s">
        <v>59</v>
      </c>
    </row>
    <row r="11" ht="15.75">
      <c r="A11" s="529" t="s">
        <v>60</v>
      </c>
    </row>
    <row r="12" ht="15.75">
      <c r="A12" s="532" t="s">
        <v>61</v>
      </c>
    </row>
    <row r="15" ht="15.75">
      <c r="A15" s="529" t="s">
        <v>62</v>
      </c>
    </row>
    <row r="16" ht="15.75">
      <c r="A16" s="532" t="s">
        <v>63</v>
      </c>
    </row>
    <row r="19" ht="15.75">
      <c r="A19" s="529" t="s">
        <v>64</v>
      </c>
    </row>
    <row r="20" ht="15.75">
      <c r="A20" s="532" t="s">
        <v>65</v>
      </c>
    </row>
    <row r="23" ht="15.75">
      <c r="A23" s="529" t="s">
        <v>66</v>
      </c>
    </row>
    <row r="24" ht="15.75">
      <c r="A24" s="532" t="s">
        <v>67</v>
      </c>
    </row>
    <row r="27" ht="15.75">
      <c r="A27" s="529" t="s">
        <v>68</v>
      </c>
    </row>
    <row r="28" ht="15.75">
      <c r="A28" s="532" t="s">
        <v>730</v>
      </c>
    </row>
    <row r="31" ht="15.75">
      <c r="A31" s="529" t="s">
        <v>731</v>
      </c>
    </row>
    <row r="32" ht="15.75">
      <c r="A32" s="532" t="s">
        <v>732</v>
      </c>
    </row>
    <row r="35" ht="15.75">
      <c r="A35" s="529" t="s">
        <v>733</v>
      </c>
    </row>
    <row r="36" ht="15.75">
      <c r="A36" s="532" t="s">
        <v>734</v>
      </c>
    </row>
    <row r="39" ht="15.75">
      <c r="A39" s="529" t="s">
        <v>735</v>
      </c>
    </row>
    <row r="40" ht="15.75">
      <c r="A40" s="532" t="s">
        <v>736</v>
      </c>
    </row>
  </sheetData>
  <sheetProtection sheet="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pageSetUpPr fitToPage="1"/>
  </sheetPr>
  <dimension ref="B1:G74"/>
  <sheetViews>
    <sheetView zoomScale="50" zoomScaleNormal="50" zoomScalePageLayoutView="0" workbookViewId="0" topLeftCell="B16">
      <selection activeCell="D72" sqref="B1:G72"/>
    </sheetView>
  </sheetViews>
  <sheetFormatPr defaultColWidth="8.796875" defaultRowHeight="15"/>
  <cols>
    <col min="1" max="1" width="8.8984375" style="53" customWidth="1"/>
    <col min="2" max="2" width="23.796875" style="53" customWidth="1"/>
    <col min="3" max="3" width="11.296875" style="53" customWidth="1"/>
    <col min="4" max="4" width="5.796875" style="53" customWidth="1"/>
    <col min="5" max="6" width="15.796875" style="53" customWidth="1"/>
    <col min="7" max="7" width="17.796875" style="53" customWidth="1"/>
    <col min="8" max="16384" width="8.8984375" style="53" customWidth="1"/>
  </cols>
  <sheetData>
    <row r="1" spans="2:7" ht="15.75">
      <c r="B1" s="110"/>
      <c r="C1" s="110"/>
      <c r="D1" s="110"/>
      <c r="E1" s="110"/>
      <c r="F1" s="110"/>
      <c r="G1" s="110">
        <f>inputPrYr!C5</f>
        <v>2012</v>
      </c>
    </row>
    <row r="2" spans="2:7" ht="15.75">
      <c r="B2" s="673" t="s">
        <v>521</v>
      </c>
      <c r="C2" s="673"/>
      <c r="D2" s="673"/>
      <c r="E2" s="673"/>
      <c r="F2" s="673"/>
      <c r="G2" s="673"/>
    </row>
    <row r="3" spans="2:7" ht="15.75">
      <c r="B3" s="69"/>
      <c r="C3" s="69"/>
      <c r="D3" s="69"/>
      <c r="E3" s="69"/>
      <c r="F3" s="69"/>
      <c r="G3" s="69"/>
    </row>
    <row r="4" spans="2:7" ht="15.75">
      <c r="B4" s="676" t="str">
        <f>CONCATENATE("To the Clerk of ",inputPrYr!C3,", State of Kansas")</f>
        <v>To the Clerk of MORRIS COUNTY, State of Kansas</v>
      </c>
      <c r="C4" s="677"/>
      <c r="D4" s="677"/>
      <c r="E4" s="677"/>
      <c r="F4" s="677"/>
      <c r="G4" s="677"/>
    </row>
    <row r="5" spans="2:7" ht="15.75">
      <c r="B5" s="145" t="s">
        <v>224</v>
      </c>
      <c r="C5" s="77"/>
      <c r="D5" s="77"/>
      <c r="E5" s="77"/>
      <c r="F5" s="77"/>
      <c r="G5" s="77"/>
    </row>
    <row r="6" spans="2:7" ht="15.75">
      <c r="B6" s="658" t="str">
        <f>(inputPrYr!C3)</f>
        <v>MORRIS COUNTY</v>
      </c>
      <c r="C6" s="675"/>
      <c r="D6" s="675"/>
      <c r="E6" s="675"/>
      <c r="F6" s="675"/>
      <c r="G6" s="675"/>
    </row>
    <row r="7" spans="2:7" ht="15.75">
      <c r="B7" s="145" t="s">
        <v>449</v>
      </c>
      <c r="C7" s="77"/>
      <c r="D7" s="77"/>
      <c r="E7" s="77"/>
      <c r="F7" s="77"/>
      <c r="G7" s="77"/>
    </row>
    <row r="8" spans="2:7" ht="15.75">
      <c r="B8" s="145" t="s">
        <v>450</v>
      </c>
      <c r="C8" s="77"/>
      <c r="D8" s="77"/>
      <c r="E8" s="77"/>
      <c r="F8" s="77"/>
      <c r="G8" s="77"/>
    </row>
    <row r="9" spans="2:7" ht="15.75">
      <c r="B9" s="145" t="str">
        <f>CONCATENATE("maximum expenditure for the various funds for the year ",G1,"; and")</f>
        <v>maximum expenditure for the various funds for the year 2012; and</v>
      </c>
      <c r="C9" s="77"/>
      <c r="D9" s="77"/>
      <c r="E9" s="77"/>
      <c r="F9" s="77"/>
      <c r="G9" s="77"/>
    </row>
    <row r="10" spans="2:7" ht="15.75">
      <c r="B10" s="145" t="str">
        <f>CONCATENATE("(3) the Amount(s) of ",G1-1," Ad Valorem Tax are within statutory limitations.")</f>
        <v>(3) the Amount(s) of 2011 Ad Valorem Tax are within statutory limitations.</v>
      </c>
      <c r="C10" s="77"/>
      <c r="D10" s="77"/>
      <c r="E10" s="77"/>
      <c r="F10" s="77"/>
      <c r="G10" s="77"/>
    </row>
    <row r="11" spans="2:7" ht="15.75">
      <c r="B11" s="68"/>
      <c r="C11" s="69"/>
      <c r="D11" s="69"/>
      <c r="E11" s="146"/>
      <c r="F11" s="146"/>
      <c r="G11" s="146"/>
    </row>
    <row r="12" spans="2:7" ht="15.75">
      <c r="B12" s="69"/>
      <c r="C12" s="69"/>
      <c r="D12" s="69"/>
      <c r="E12" s="147" t="str">
        <f>CONCATENATE("",G1," Adopted Budget")</f>
        <v>2012 Adopted Budget</v>
      </c>
      <c r="F12" s="148"/>
      <c r="G12" s="149"/>
    </row>
    <row r="13" spans="2:7" ht="21" customHeight="1">
      <c r="B13" s="69"/>
      <c r="C13" s="69"/>
      <c r="D13" s="150" t="s">
        <v>451</v>
      </c>
      <c r="E13" s="456" t="s">
        <v>913</v>
      </c>
      <c r="F13" s="674" t="str">
        <f>CONCATENATE("Amount of ",G1-1,"    Ad Valorem Tax")</f>
        <v>Amount of 2011    Ad Valorem Tax</v>
      </c>
      <c r="G13" s="150" t="s">
        <v>452</v>
      </c>
    </row>
    <row r="14" spans="2:7" ht="15.75">
      <c r="B14" s="152" t="s">
        <v>453</v>
      </c>
      <c r="C14" s="98"/>
      <c r="D14" s="153" t="s">
        <v>454</v>
      </c>
      <c r="E14" s="457" t="s">
        <v>914</v>
      </c>
      <c r="F14" s="666"/>
      <c r="G14" s="153" t="s">
        <v>456</v>
      </c>
    </row>
    <row r="15" spans="2:7" ht="15.75">
      <c r="B15" s="154" t="str">
        <f>CONCATENATE("Computation to Determine Limit for ",G1,"")</f>
        <v>Computation to Determine Limit for 2012</v>
      </c>
      <c r="C15" s="155"/>
      <c r="D15" s="153">
        <v>2</v>
      </c>
      <c r="E15" s="156"/>
      <c r="F15" s="156"/>
      <c r="G15" s="156"/>
    </row>
    <row r="16" spans="2:7" ht="15.75">
      <c r="B16" s="154" t="s">
        <v>964</v>
      </c>
      <c r="C16" s="155"/>
      <c r="D16" s="153">
        <v>3</v>
      </c>
      <c r="E16" s="156"/>
      <c r="F16" s="156"/>
      <c r="G16" s="156"/>
    </row>
    <row r="17" spans="2:7" ht="15.75">
      <c r="B17" s="154" t="s">
        <v>574</v>
      </c>
      <c r="C17" s="155"/>
      <c r="D17" s="153">
        <v>4</v>
      </c>
      <c r="E17" s="156"/>
      <c r="F17" s="156"/>
      <c r="G17" s="156"/>
    </row>
    <row r="18" spans="2:7" ht="15.75">
      <c r="B18" s="157" t="s">
        <v>457</v>
      </c>
      <c r="C18" s="158"/>
      <c r="D18" s="159">
        <v>5</v>
      </c>
      <c r="E18" s="160"/>
      <c r="F18" s="160"/>
      <c r="G18" s="160"/>
    </row>
    <row r="19" spans="2:7" ht="15.75">
      <c r="B19" s="154" t="s">
        <v>458</v>
      </c>
      <c r="C19" s="155"/>
      <c r="D19" s="161">
        <v>6</v>
      </c>
      <c r="E19" s="160"/>
      <c r="F19" s="160"/>
      <c r="G19" s="160"/>
    </row>
    <row r="20" spans="2:7" ht="15.75">
      <c r="B20" s="162" t="s">
        <v>459</v>
      </c>
      <c r="C20" s="163" t="s">
        <v>460</v>
      </c>
      <c r="D20" s="164"/>
      <c r="E20" s="165"/>
      <c r="F20" s="165"/>
      <c r="G20" s="165"/>
    </row>
    <row r="21" spans="2:7" ht="15.75">
      <c r="B21" s="88" t="s">
        <v>445</v>
      </c>
      <c r="C21" s="166" t="str">
        <f>inputPrYr!C16</f>
        <v>79-1946</v>
      </c>
      <c r="D21" s="159">
        <v>7</v>
      </c>
      <c r="E21" s="112">
        <f>IF(general!$E$115&lt;&gt;0,general!$E$115,"  ")</f>
        <v>2631051</v>
      </c>
      <c r="F21" s="558">
        <f>IF(general!$E$122&lt;&gt;0,general!$E$122,"  ")</f>
        <v>1460102.25</v>
      </c>
      <c r="G21" s="167">
        <v>22.642</v>
      </c>
    </row>
    <row r="22" spans="2:7" ht="15.75">
      <c r="B22" s="88" t="s">
        <v>876</v>
      </c>
      <c r="C22" s="166" t="s">
        <v>216</v>
      </c>
      <c r="D22" s="159">
        <f>IF(DebtService!C63&gt;0,DebtService!C63,"")</f>
        <v>8</v>
      </c>
      <c r="E22" s="112" t="str">
        <f>IF(DebtService!$E$54&lt;&gt;0,DebtService!$E$54,"  ")</f>
        <v>  </v>
      </c>
      <c r="F22" s="558" t="str">
        <f>IF(DebtService!$E$61&lt;&gt;0,DebtService!$E$61,"  ")</f>
        <v>  </v>
      </c>
      <c r="G22" s="167" t="str">
        <f>IF(AND(DebtService!E61=0,$G$60&gt;=0)," ",IF(AND(F22&gt;0,$G$60=0)," ",IF(AND(F22&gt;0,$G$60&gt;0),ROUND(F22/$G$60*1000,3))))</f>
        <v> </v>
      </c>
    </row>
    <row r="23" spans="2:7" ht="15.75">
      <c r="B23" s="88" t="s">
        <v>881</v>
      </c>
      <c r="C23" s="166" t="s">
        <v>573</v>
      </c>
      <c r="D23" s="159">
        <f>IF(road!C58&gt;0,road!C58,"")</f>
        <v>9</v>
      </c>
      <c r="E23" s="112">
        <f>IF(road!$E$112&lt;&gt;0,road!$E$112,"  ")</f>
        <v>2435000</v>
      </c>
      <c r="F23" s="558">
        <f>IF(road!$E$119&lt;&gt;0,road!$E$119,"  ")</f>
        <v>1744745.84</v>
      </c>
      <c r="G23" s="167">
        <v>27.056</v>
      </c>
    </row>
    <row r="24" spans="2:7" ht="15.75">
      <c r="B24" s="112" t="str">
        <f>IF((inputPrYr!$B19&gt;"  "),(inputPrYr!$B19),"  ")</f>
        <v>Special Bridge</v>
      </c>
      <c r="C24" s="166" t="str">
        <f>IF((inputPrYr!C19&gt;0),(inputPrYr!C19),"  ")</f>
        <v>68-5,100</v>
      </c>
      <c r="D24" s="159">
        <f>IF('SpecBridge-Appraisal'!C78&gt;0,'SpecBridge-Appraisal'!C78,"  ")</f>
        <v>10</v>
      </c>
      <c r="E24" s="112">
        <f>IF('SpecBridge-Appraisal'!$E$33&lt;&gt;0,'SpecBridge-Appraisal'!$E$33,"  ")</f>
        <v>120000</v>
      </c>
      <c r="F24" s="558">
        <f>IF('SpecBridge-Appraisal'!$E$40&lt;&gt;0,'SpecBridge-Appraisal'!$E$40,"  ")</f>
        <v>86048</v>
      </c>
      <c r="G24" s="167">
        <v>1.334</v>
      </c>
    </row>
    <row r="25" spans="2:7" ht="15.75">
      <c r="B25" s="112" t="str">
        <f>IF((inputPrYr!$B20&gt;"  "),(inputPrYr!$B20),"  ")</f>
        <v>Reappraisal</v>
      </c>
      <c r="C25" s="166" t="str">
        <f>IF((inputPrYr!C20&gt;0),(inputPrYr!C20),"  ")</f>
        <v>79-1482</v>
      </c>
      <c r="D25" s="159">
        <f>IF('SpecBridge-Appraisal'!C78&gt;0,'SpecBridge-Appraisal'!C78,"  ")</f>
        <v>10</v>
      </c>
      <c r="E25" s="112">
        <f>IF('SpecBridge-Appraisal'!$E$70&lt;&gt;0,'SpecBridge-Appraisal'!$E$70,"  ")</f>
        <v>156000</v>
      </c>
      <c r="F25" s="558">
        <f>IF('SpecBridge-Appraisal'!$E$77&lt;&gt;0,'SpecBridge-Appraisal'!$E$77,"  ")</f>
        <v>89656</v>
      </c>
      <c r="G25" s="167">
        <v>1.39</v>
      </c>
    </row>
    <row r="26" spans="2:7" ht="15.75">
      <c r="B26" s="112" t="str">
        <f>IF((inputPrYr!$B21&gt;"  "),(inputPrYr!$B21),"  ")</f>
        <v>County Health</v>
      </c>
      <c r="C26" s="166" t="str">
        <f>IF((inputPrYr!C21&gt;0),(inputPrYr!C21),"  ")</f>
        <v>65-204</v>
      </c>
      <c r="D26" s="159">
        <f>IF('Health-NoxWeed'!C78&gt;0,'Health-NoxWeed'!C78,"  ")</f>
        <v>11</v>
      </c>
      <c r="E26" s="112">
        <f>IF('Health-NoxWeed'!$E$33&lt;&gt;0,'Health-NoxWeed'!$E$33,"  ")</f>
        <v>104443</v>
      </c>
      <c r="F26" s="558">
        <f>IF('Health-NoxWeed'!$E$40&lt;&gt;0,'Health-NoxWeed'!$E$40,"  ")</f>
        <v>94327</v>
      </c>
      <c r="G26" s="167">
        <v>1.463</v>
      </c>
    </row>
    <row r="27" spans="2:7" ht="15.75">
      <c r="B27" s="112" t="str">
        <f>IF((inputPrYr!$B22&gt;"  "),(inputPrYr!$B22),"  ")</f>
        <v>Noxious Weed</v>
      </c>
      <c r="C27" s="166" t="str">
        <f>IF((inputPrYr!C22&gt;0),(inputPrYr!C22),"  ")</f>
        <v>2-1318</v>
      </c>
      <c r="D27" s="159">
        <f>IF('Health-NoxWeed'!C78&gt;0,'Health-NoxWeed'!C78,"  ")</f>
        <v>11</v>
      </c>
      <c r="E27" s="112">
        <f>IF('Health-NoxWeed'!$E$70&lt;&gt;0,'Health-NoxWeed'!$E$70,"  ")</f>
        <v>183000</v>
      </c>
      <c r="F27" s="558">
        <f>IF('Health-NoxWeed'!$E$77&lt;&gt;0,'Health-NoxWeed'!$E$77,"  ")</f>
        <v>64119</v>
      </c>
      <c r="G27" s="167">
        <v>0.994</v>
      </c>
    </row>
    <row r="28" spans="2:7" ht="15.75">
      <c r="B28" s="112" t="str">
        <f>IF((inputPrYr!$B23&gt;"  "),(inputPrYr!$B23),"  ")</f>
        <v>Ambulance</v>
      </c>
      <c r="C28" s="166" t="str">
        <f>IF((inputPrYr!C23&gt;0),(inputPrYr!C23),"  ")</f>
        <v>65-6113</v>
      </c>
      <c r="D28" s="159">
        <f>IF('Amb-MentalHealth'!C78&gt;0,'Amb-MentalHealth'!C78,"  ")</f>
        <v>12</v>
      </c>
      <c r="E28" s="112">
        <f>IF('Amb-MentalHealth'!$E$33&lt;&gt;0,'Amb-MentalHealth'!$E$33,"  ")</f>
        <v>136443</v>
      </c>
      <c r="F28" s="558">
        <f>IF('Amb-MentalHealth'!$E$40&lt;&gt;0,'Amb-MentalHealth'!$E$40,"  ")</f>
        <v>113436</v>
      </c>
      <c r="G28" s="167">
        <v>1.759</v>
      </c>
    </row>
    <row r="29" spans="2:7" ht="15.75">
      <c r="B29" s="112" t="str">
        <f>IF((inputPrYr!$B24&gt;"  "),(inputPrYr!$B24),"  ")</f>
        <v>Mental Health</v>
      </c>
      <c r="C29" s="166" t="str">
        <f>IF((inputPrYr!C24&gt;0),(inputPrYr!C24),"  ")</f>
        <v>19-4011</v>
      </c>
      <c r="D29" s="159">
        <f>IF('Amb-MentalHealth'!C78&gt;0,'Amb-MentalHealth'!C78,"  ")</f>
        <v>12</v>
      </c>
      <c r="E29" s="112">
        <f>IF('Amb-MentalHealth'!$E$70&lt;&gt;0,'Amb-MentalHealth'!$E$70,"  ")</f>
        <v>57000</v>
      </c>
      <c r="F29" s="558">
        <f>IF('Amb-MentalHealth'!$E$77&lt;&gt;0,'Amb-MentalHealth'!$E$77,"  ")</f>
        <v>52875</v>
      </c>
      <c r="G29" s="167">
        <v>0.82</v>
      </c>
    </row>
    <row r="30" spans="2:7" ht="15.75">
      <c r="B30" s="112" t="str">
        <f>IF((inputPrYr!$B25&gt;"  "),(inputPrYr!$B25),"  ")</f>
        <v>Hospital Maintenance</v>
      </c>
      <c r="C30" s="166" t="str">
        <f>IF((inputPrYr!C25&gt;0),(inputPrYr!C25),"  ")</f>
        <v>19-4606</v>
      </c>
      <c r="D30" s="159">
        <f>IF('HospMain-EmpBen'!C78&gt;0,'HospMain-EmpBen'!C78,"  ")</f>
        <v>13</v>
      </c>
      <c r="E30" s="112">
        <f>IF('HospMain-EmpBen'!$E$33&lt;&gt;0,'HospMain-EmpBen'!$E$33,"  ")</f>
        <v>128886</v>
      </c>
      <c r="F30" s="558">
        <f>IF('HospMain-EmpBen'!$E$40&lt;&gt;0,'HospMain-EmpBen'!$E$40,"  ")</f>
        <v>115462</v>
      </c>
      <c r="G30" s="167">
        <v>1.791</v>
      </c>
    </row>
    <row r="31" spans="2:7" ht="15.75">
      <c r="B31" s="112" t="str">
        <f>IF((inputPrYr!$B26&gt;"  "),(inputPrYr!$B26),"  ")</f>
        <v>Employee Benefits</v>
      </c>
      <c r="C31" s="166" t="str">
        <f>IF((inputPrYr!C26&gt;0),(inputPrYr!C26),"  ")</f>
        <v>12-16,102</v>
      </c>
      <c r="D31" s="159">
        <f>IF('HospMain-EmpBen'!C78&gt;0,'HospMain-EmpBen'!C78,"  ")</f>
        <v>13</v>
      </c>
      <c r="E31" s="112">
        <f>IF('HospMain-EmpBen'!$E$70&lt;&gt;0,'HospMain-EmpBen'!$E$70,"  ")</f>
        <v>649000</v>
      </c>
      <c r="F31" s="558">
        <f>IF('HospMain-EmpBen'!$E$77&lt;&gt;0,'HospMain-EmpBen'!$E$77,"  ")</f>
        <v>446961</v>
      </c>
      <c r="G31" s="167">
        <v>6.931</v>
      </c>
    </row>
    <row r="32" spans="2:7" ht="15.75">
      <c r="B32" s="112" t="str">
        <f>IF((inputPrYr!$B27&gt;"  "),(inputPrYr!$B27),"  ")</f>
        <v>  </v>
      </c>
      <c r="C32" s="166" t="str">
        <f>IF((inputPrYr!C27&gt;0),(inputPrYr!C27),"  ")</f>
        <v>  </v>
      </c>
      <c r="D32" s="159" t="str">
        <f>IF('levy page14'!C78&gt;0,'levy page14'!C78,"  ")</f>
        <v>  </v>
      </c>
      <c r="E32" s="112" t="str">
        <f>IF('levy page14'!$E$33&lt;&gt;0,'levy page14'!$E$33,"  ")</f>
        <v>  </v>
      </c>
      <c r="F32" s="558" t="str">
        <f>IF('levy page14'!$E$40&lt;&gt;0,'levy page14'!$E$40,"  ")</f>
        <v>  </v>
      </c>
      <c r="G32" s="167" t="str">
        <f>IF(AND('levy page14'!E40=0,$G$60&gt;=0)," ",IF(AND(F32&gt;0,$G$60=0)," ",IF(AND(F32&gt;0,$G$60&gt;0),ROUND(F32/$G$60*1000,3))))</f>
        <v> </v>
      </c>
    </row>
    <row r="33" spans="2:7" ht="15.75">
      <c r="B33" s="112" t="str">
        <f>IF((inputPrYr!$B28&gt;"  "),(inputPrYr!$B28),"  ")</f>
        <v>  </v>
      </c>
      <c r="C33" s="166" t="str">
        <f>IF((inputPrYr!C28&gt;0),(inputPrYr!C28),"  ")</f>
        <v>  </v>
      </c>
      <c r="D33" s="159" t="str">
        <f>IF('levy page14'!C78&gt;0,'levy page14'!C78,"  ")</f>
        <v>  </v>
      </c>
      <c r="E33" s="112" t="str">
        <f>IF('levy page14'!$E$70&lt;&gt;0,'levy page14'!$E$70,"  ")</f>
        <v>  </v>
      </c>
      <c r="F33" s="558" t="str">
        <f>IF('levy page14'!$E$77&lt;&gt;0,'levy page14'!$E$77,"  ")</f>
        <v>  </v>
      </c>
      <c r="G33" s="167" t="str">
        <f>IF(AND('levy page14'!E77=0,$G$60&gt;=0)," ",IF(AND(F33&gt;0,$G$60=0)," ",IF(AND(F33&gt;0,$G$60&gt;0),ROUND(F33/$G$60*1000,3))))</f>
        <v> </v>
      </c>
    </row>
    <row r="34" spans="2:7" ht="15.75">
      <c r="B34" s="112" t="str">
        <f>IF((inputPrYr!$B29&gt;"  "),(inputPrYr!$B29),"  ")</f>
        <v>  </v>
      </c>
      <c r="C34" s="166" t="str">
        <f>IF((inputPrYr!C29&gt;0),(inputPrYr!C29),"  ")</f>
        <v>  </v>
      </c>
      <c r="D34" s="159" t="str">
        <f>IF('levy page15'!C78&gt;0,'levy page15'!C78,"  ")</f>
        <v>  </v>
      </c>
      <c r="E34" s="112" t="str">
        <f>IF('levy page15'!$E$33&lt;&gt;0,'levy page15'!$E$33,"  ")</f>
        <v>  </v>
      </c>
      <c r="F34" s="558" t="str">
        <f>IF('levy page15'!$E$40&lt;&gt;0,'levy page15'!$E$40,"  ")</f>
        <v>  </v>
      </c>
      <c r="G34" s="167" t="str">
        <f>IF(AND('levy page15'!E40=0,$G$60&gt;=0)," ",IF(AND(F34&gt;0,$G$60=0)," ",IF(AND(F34&gt;0,$G$60&gt;0),ROUND(F34/$G$60*1000,3))))</f>
        <v> </v>
      </c>
    </row>
    <row r="35" spans="2:7" ht="15.75">
      <c r="B35" s="112" t="str">
        <f>IF((inputPrYr!$B30&gt;"  "),(inputPrYr!$B30),"  ")</f>
        <v>  </v>
      </c>
      <c r="C35" s="166" t="str">
        <f>IF((inputPrYr!C30&gt;0),(inputPrYr!C30),"  ")</f>
        <v>  </v>
      </c>
      <c r="D35" s="159" t="str">
        <f>IF('levy page15'!C78&gt;0,'levy page15'!C78,"  ")</f>
        <v>  </v>
      </c>
      <c r="E35" s="112" t="str">
        <f>IF('levy page15'!$E$70&lt;&gt;0,'levy page15'!$E$70,"  ")</f>
        <v>  </v>
      </c>
      <c r="F35" s="558" t="str">
        <f>IF('levy page15'!$E$77&lt;&gt;0,'levy page15'!$E$77,"  ")</f>
        <v>  </v>
      </c>
      <c r="G35" s="167" t="str">
        <f>IF(AND('levy page15'!E77=0,$G$60&gt;=0)," ",IF(AND(F35&gt;0,$G$60=0)," ",IF(AND(F35&gt;0,$G$60&gt;0),ROUND(F35/$G$60*1000,3))))</f>
        <v> </v>
      </c>
    </row>
    <row r="36" spans="2:7" ht="15.75">
      <c r="B36" s="112" t="str">
        <f>IF((inputPrYr!$B31&gt;"  "),(inputPrYr!$B31),"  ")</f>
        <v>  </v>
      </c>
      <c r="C36" s="166" t="str">
        <f>IF((inputPrYr!C31&gt;0),(inputPrYr!C31),"  ")</f>
        <v>  </v>
      </c>
      <c r="D36" s="159" t="str">
        <f>IF('levy page16'!C78&gt;0,'levy page16'!C78,"  ")</f>
        <v>  </v>
      </c>
      <c r="E36" s="112" t="str">
        <f>IF('levy page16'!$E$33&lt;&gt;0,'levy page16'!$E$33,"  ")</f>
        <v>  </v>
      </c>
      <c r="F36" s="558" t="str">
        <f>IF('levy page16'!$E$40&lt;&gt;0,'levy page16'!$E$40,"  ")</f>
        <v>  </v>
      </c>
      <c r="G36" s="167" t="str">
        <f>IF(AND('levy page16'!E40=0,$G$60&gt;=0)," ",IF(AND(F36&gt;0,$G$60=0)," ",IF(AND(F36&gt;0,$G$60&gt;0),ROUND(F36/$G$60*1000,3))))</f>
        <v> </v>
      </c>
    </row>
    <row r="37" spans="2:7" ht="15.75">
      <c r="B37" s="112" t="str">
        <f>IF((inputPrYr!$B32&gt;"  "),(inputPrYr!$B32),"  ")</f>
        <v>  </v>
      </c>
      <c r="C37" s="166" t="str">
        <f>IF((inputPrYr!C32&gt;0),(inputPrYr!C32),"  ")</f>
        <v>  </v>
      </c>
      <c r="D37" s="159" t="str">
        <f>IF('levy page16'!C78&gt;0,'levy page16'!C78,"  ")</f>
        <v>  </v>
      </c>
      <c r="E37" s="112" t="str">
        <f>IF('levy page16'!$E$70&lt;&gt;0,'levy page16'!$E$70,"  ")</f>
        <v>  </v>
      </c>
      <c r="F37" s="558" t="str">
        <f>IF('levy page16'!$E$77&lt;&gt;0,'levy page16'!$E$77,"  ")</f>
        <v>  </v>
      </c>
      <c r="G37" s="167" t="str">
        <f>IF(AND('levy page16'!E77=0,$G$60&gt;=0)," ",IF(AND(F37&gt;0,$G$60=0)," ",IF(AND(F37&gt;0,$G$60&gt;0),ROUND(F37/$G$60*1000,3))))</f>
        <v> </v>
      </c>
    </row>
    <row r="38" spans="2:7" ht="15.75">
      <c r="B38" s="112" t="str">
        <f>IF((inputPrYr!$B33&gt;"  "),(inputPrYr!$B33),"  ")</f>
        <v>  </v>
      </c>
      <c r="C38" s="166" t="str">
        <f>IF((inputPrYr!C33&gt;0),(inputPrYr!C33),"  ")</f>
        <v>  </v>
      </c>
      <c r="D38" s="159" t="str">
        <f>IF('levy page17'!C78&gt;0,'levy page17'!C78,"  ")</f>
        <v>  </v>
      </c>
      <c r="E38" s="112" t="str">
        <f>IF('levy page17'!$E$33&lt;&gt;0,'levy page17'!$E$33,"  ")</f>
        <v>  </v>
      </c>
      <c r="F38" s="558" t="str">
        <f>IF('levy page17'!$E$40&lt;&gt;0,'levy page17'!$E$40,"  ")</f>
        <v>  </v>
      </c>
      <c r="G38" s="167" t="str">
        <f>IF(AND('levy page17'!E40=0,$G$60&gt;=0)," ",IF(AND(F38&gt;0,$G$60=0)," ",IF(AND(F38&gt;0,$G$60&gt;0),ROUND(F38/$G$60*1000,3))))</f>
        <v> </v>
      </c>
    </row>
    <row r="39" spans="2:7" ht="15.75">
      <c r="B39" s="112" t="str">
        <f>IF((inputPrYr!$B34&gt;"  "),(inputPrYr!$B34),"  ")</f>
        <v>  </v>
      </c>
      <c r="C39" s="166" t="str">
        <f>IF((inputPrYr!C34&gt;0),(inputPrYr!C34),"  ")</f>
        <v>  </v>
      </c>
      <c r="D39" s="159" t="str">
        <f>IF('levy page17'!C78&gt;0,'levy page17'!C78,"  ")</f>
        <v>  </v>
      </c>
      <c r="E39" s="112" t="str">
        <f>IF('levy page17'!$E$70&lt;&gt;0,'levy page17'!$E$70,"  ")</f>
        <v>  </v>
      </c>
      <c r="F39" s="558" t="str">
        <f>IF('levy page17'!$E$77&lt;&gt;0,'levy page17'!$E$77,"  ")</f>
        <v>  </v>
      </c>
      <c r="G39" s="167" t="str">
        <f>IF(AND('levy page17'!E77=0,$G$60&gt;=0)," ",IF(AND(F39&gt;0,$G$60=0)," ",IF(AND(F39&gt;0,$G$60&gt;0),ROUND(F39/$G$60*1000,3))))</f>
        <v> </v>
      </c>
    </row>
    <row r="40" spans="2:7" ht="15.75">
      <c r="B40" s="112" t="str">
        <f>IF((inputPrYr!$B35&gt;"  "),(inputPrYr!$B35),"  ")</f>
        <v>  </v>
      </c>
      <c r="C40" s="166" t="str">
        <f>IF((inputPrYr!C35&gt;0),(inputPrYr!C35),"  ")</f>
        <v>  </v>
      </c>
      <c r="D40" s="159" t="str">
        <f>IF('levy page18'!C78&gt;0,'levy page18'!C78,"  ")</f>
        <v>  </v>
      </c>
      <c r="E40" s="112" t="str">
        <f>IF('levy page18'!$E$33&lt;&gt;0,'levy page18'!$E$33,"  ")</f>
        <v>  </v>
      </c>
      <c r="F40" s="558" t="str">
        <f>IF('levy page18'!$E$40&lt;&gt;0,'levy page18'!$E$40,"  ")</f>
        <v>  </v>
      </c>
      <c r="G40" s="167" t="str">
        <f>IF(AND('levy page18'!E40=0,$G$60&gt;=0)," ",IF(AND(F40&gt;0,$G$60=0)," ",IF(AND(F40&gt;0,$G$60&gt;0),ROUND(F40/$G$60*1000,3))))</f>
        <v> </v>
      </c>
    </row>
    <row r="41" spans="2:7" ht="15.75">
      <c r="B41" s="112" t="str">
        <f>IF((inputPrYr!$B36&gt;"  "),(inputPrYr!$B36),"  ")</f>
        <v>  </v>
      </c>
      <c r="C41" s="166" t="str">
        <f>IF((inputPrYr!C36&gt;0),(inputPrYr!C36),"  ")</f>
        <v>  </v>
      </c>
      <c r="D41" s="159" t="str">
        <f>IF('levy page18'!C78&gt;0,'levy page18'!C78,"  ")</f>
        <v>  </v>
      </c>
      <c r="E41" s="112" t="str">
        <f>IF('levy page18'!$E$70&lt;&gt;0,'levy page18'!$E$70,"  ")</f>
        <v>  </v>
      </c>
      <c r="F41" s="558" t="str">
        <f>IF('levy page18'!$E$77&lt;&gt;0,'levy page18'!$E$77,"  ")</f>
        <v>  </v>
      </c>
      <c r="G41" s="167" t="str">
        <f>IF(AND('levy page18'!E77=0,$G$60&gt;=0)," ",IF(AND(F41&gt;0,$G$60=0)," ",IF(AND(F41&gt;0,$G$60&gt;0),ROUND(F41/$G$60*1000,3))))</f>
        <v> </v>
      </c>
    </row>
    <row r="42" spans="2:7" ht="15.75">
      <c r="B42" s="112" t="str">
        <f>IF((inputPrYr!$B37&gt;"  "),(inputPrYr!$B37),"  ")</f>
        <v>  </v>
      </c>
      <c r="C42" s="166" t="str">
        <f>IF((inputPrYr!C37&gt;0),(inputPrYr!C37),"  ")</f>
        <v>  </v>
      </c>
      <c r="D42" s="159" t="str">
        <f>IF('levy page19'!C78&gt;0,'levy page19'!C78,"  ")</f>
        <v>  </v>
      </c>
      <c r="E42" s="112" t="str">
        <f>IF('levy page19'!$E$33&lt;&gt;0,'levy page19'!$E$33,"  ")</f>
        <v>  </v>
      </c>
      <c r="F42" s="558" t="str">
        <f>IF('levy page19'!$EG$40&lt;&gt;0,'levy page19'!$E$40,"  ")</f>
        <v>  </v>
      </c>
      <c r="G42" s="167" t="str">
        <f>IF(AND('levy page19'!E40=0,$G$60&gt;=0)," ",IF(AND(F42&gt;0,$G$60=0)," ",IF(AND(F42&gt;0,$G$60&gt;0),ROUND(F42/$G$60*1000,3))))</f>
        <v> </v>
      </c>
    </row>
    <row r="43" spans="2:7" ht="15.75">
      <c r="B43" s="112" t="str">
        <f>IF((inputPrYr!$B38&gt;"  "),(inputPrYr!$B38),"  ")</f>
        <v>  </v>
      </c>
      <c r="C43" s="166" t="str">
        <f>IF((inputPrYr!C38&gt;0),(inputPrYr!C38),"  ")</f>
        <v>  </v>
      </c>
      <c r="D43" s="159" t="str">
        <f>IF('levy page19'!C78&gt;0,'levy page19'!C78,"  ")</f>
        <v>  </v>
      </c>
      <c r="E43" s="112" t="str">
        <f>IF('levy page19'!$E$70&lt;&gt;0,'levy page19'!$E$70,"  ")</f>
        <v>  </v>
      </c>
      <c r="F43" s="558" t="str">
        <f>IF('levy page19'!$E$77&lt;&gt;0,'levy page19'!$E$77,"  ")</f>
        <v>  </v>
      </c>
      <c r="G43" s="167" t="str">
        <f>IF(AND('levy page19'!E77=0,$G$60&gt;=0)," ",IF(AND(F43&gt;0,$G$60=0)," ",IF(AND(F43&gt;0,$G$60&gt;0),ROUND(F43/$G$60*1000,3))))</f>
        <v> </v>
      </c>
    </row>
    <row r="44" spans="2:7" ht="15.75">
      <c r="B44" s="112" t="str">
        <f>IF((inputPrYr!$B39&gt;"  "),(inputPrYr!$B39),"  ")</f>
        <v>  </v>
      </c>
      <c r="C44" s="166" t="str">
        <f>IF((inputPrYr!C39&gt;0),(inputPrYr!C39),"  ")</f>
        <v>  </v>
      </c>
      <c r="D44" s="159" t="str">
        <f>IF('levy page20'!C78&gt;0,'levy page20'!C78,"  ")</f>
        <v>  </v>
      </c>
      <c r="E44" s="112" t="str">
        <f>IF('levy page20'!$E$33&lt;&gt;0,'levy page20'!$E$33,"  ")</f>
        <v>  </v>
      </c>
      <c r="F44" s="558" t="str">
        <f>IF('levy page20'!$E$40&lt;&gt;0,'levy page20'!$E$409,"  ")</f>
        <v>  </v>
      </c>
      <c r="G44" s="167" t="str">
        <f>IF(AND('levy page20'!E40=0,$G$60&gt;=0)," ",IF(AND(F44&gt;0,$G$60=0)," ",IF(AND(F44&gt;0,$G$60&gt;0),ROUND(F44/$G$60*1000,3))))</f>
        <v> </v>
      </c>
    </row>
    <row r="45" spans="2:7" ht="15.75">
      <c r="B45" s="112" t="str">
        <f>IF((inputPrYr!$B40&gt;"  "),(inputPrYr!$B40),"  ")</f>
        <v>  </v>
      </c>
      <c r="C45" s="166" t="str">
        <f>IF((inputPrYr!C40&gt;0),(inputPrYr!C40),"  ")</f>
        <v>  </v>
      </c>
      <c r="D45" s="159" t="str">
        <f>IF('levy page20'!C78&gt;0,'levy page20'!C78,"  ")</f>
        <v>  </v>
      </c>
      <c r="E45" s="112" t="str">
        <f>IF('levy page20'!$E$70&lt;&gt;0,'levy page20'!$E$70,"  ")</f>
        <v>  </v>
      </c>
      <c r="F45" s="558" t="str">
        <f>IF('levy page20'!$E$77&lt;&gt;0,'levy page20'!$E$77,"  ")</f>
        <v>  </v>
      </c>
      <c r="G45" s="167" t="str">
        <f>IF(AND('levy page20'!E77=0,$G$60&gt;=0)," ",IF(AND(F45&gt;0,$G$60=0)," ",IF(AND(F45&gt;0,$G$60&gt;0),ROUND(F45/$G$60*1000,3))))</f>
        <v> </v>
      </c>
    </row>
    <row r="46" spans="2:7" ht="15.75">
      <c r="B46" s="168" t="str">
        <f>IF((inputPrYr!$B44&gt;"  "),(inputPrYr!$B44),"  ")</f>
        <v>Hospital Revenue Bond</v>
      </c>
      <c r="C46" s="155"/>
      <c r="D46" s="169">
        <v>14</v>
      </c>
      <c r="E46" s="112">
        <v>64000</v>
      </c>
      <c r="F46" s="164"/>
      <c r="G46" s="167"/>
    </row>
    <row r="47" spans="2:7" ht="15.75">
      <c r="B47" s="170" t="str">
        <f>IF((inputPrYr!$B45&gt;"  "),(inputPrYr!$B45),"  ")</f>
        <v>Solid Waste</v>
      </c>
      <c r="C47" s="155"/>
      <c r="D47" s="161">
        <v>14</v>
      </c>
      <c r="E47" s="112">
        <v>367000</v>
      </c>
      <c r="F47" s="164"/>
      <c r="G47" s="167"/>
    </row>
    <row r="48" spans="2:7" ht="15.75">
      <c r="B48" s="168" t="str">
        <f>IF((inputPrYr!$B46&gt;"  "),(inputPrYr!$B46),"  ")</f>
        <v>911 Emergency</v>
      </c>
      <c r="C48" s="171"/>
      <c r="D48" s="161">
        <f>IF('911Funds'!C66&gt;0,'911Funds'!C66,"  ")</f>
        <v>15</v>
      </c>
      <c r="E48" s="112">
        <f>IF('911Funds'!$E$29&lt;&gt;0,'911Funds'!$E$29,"  ")</f>
        <v>76000</v>
      </c>
      <c r="F48" s="164"/>
      <c r="G48" s="167"/>
    </row>
    <row r="49" spans="2:7" ht="15.75">
      <c r="B49" s="168" t="str">
        <f>IF((inputPrYr!$B47&gt;"  "),(inputPrYr!$B47),"  ")</f>
        <v>911 Wireless</v>
      </c>
      <c r="C49" s="158"/>
      <c r="D49" s="161">
        <f>IF('911Funds'!C66&gt;0,'911Funds'!C66,"  ")</f>
        <v>15</v>
      </c>
      <c r="E49" s="112">
        <f>IF('911Funds'!$E$60&lt;&gt;0,'911Funds'!$E$60,"  ")</f>
        <v>30000</v>
      </c>
      <c r="F49" s="164"/>
      <c r="G49" s="167"/>
    </row>
    <row r="50" spans="2:7" ht="15.75">
      <c r="B50" s="168" t="str">
        <f>IF((inputPrYr!$B48&gt;"  "),(inputPrYr!$B48),"  ")</f>
        <v>Diversion</v>
      </c>
      <c r="C50" s="158"/>
      <c r="D50" s="161">
        <f>IF(Diversion!C66&gt;0,Diversion!C66,"  ")</f>
        <v>16</v>
      </c>
      <c r="E50" s="112">
        <f>IF(Diversion!$E$29&lt;&gt;0,Diversion!$E$29,"  ")</f>
        <v>10600</v>
      </c>
      <c r="F50" s="164"/>
      <c r="G50" s="167"/>
    </row>
    <row r="51" spans="2:7" ht="15.75">
      <c r="B51" s="168" t="str">
        <f>IF((inputPrYr!$B49&gt;"  "),(inputPrYr!$B49),"  ")</f>
        <v>  </v>
      </c>
      <c r="C51" s="158"/>
      <c r="D51" s="161">
        <f>IF(Diversion!C66&gt;0,Diversion!C66,"  ")</f>
        <v>16</v>
      </c>
      <c r="E51" s="112" t="str">
        <f>IF(Diversion!$E$60&lt;&gt;0,Diversion!$E$60,"  ")</f>
        <v>  </v>
      </c>
      <c r="F51" s="164"/>
      <c r="G51" s="167"/>
    </row>
    <row r="52" spans="2:7" ht="15.75">
      <c r="B52" s="168" t="str">
        <f>IF((inputPrYr!$B50&gt;"  "),(inputPrYr!$B50),"  ")</f>
        <v>  </v>
      </c>
      <c r="C52" s="158"/>
      <c r="D52" s="161" t="str">
        <f>IF('no levy page24'!C66&gt;0,'no levy page24'!C66,"  ")</f>
        <v>  </v>
      </c>
      <c r="E52" s="112" t="str">
        <f>IF('no levy page24'!$E$29&lt;&gt;0,'no levy page24'!$E$29,"  ")</f>
        <v>  </v>
      </c>
      <c r="F52" s="164"/>
      <c r="G52" s="167"/>
    </row>
    <row r="53" spans="2:7" ht="15.75">
      <c r="B53" s="170" t="str">
        <f>IF((inputPrYr!$B51&gt;"  "),(inputPrYr!$B51),"  ")</f>
        <v>  </v>
      </c>
      <c r="C53" s="158"/>
      <c r="D53" s="161" t="str">
        <f>IF('no levy page24'!C66&gt;0,'no levy page24'!C66,"  ")</f>
        <v>  </v>
      </c>
      <c r="E53" s="112" t="str">
        <f>IF('no levy page24'!$E$60&lt;&gt;0,'no levy page24'!$E$60,"  ")</f>
        <v>  </v>
      </c>
      <c r="F53" s="164"/>
      <c r="G53" s="167"/>
    </row>
    <row r="54" spans="2:7" ht="15.75">
      <c r="B54" s="168" t="str">
        <f>IF((inputPrYr!$B52&gt;"  "),(inputPrYr!$B52),"  ")</f>
        <v>  </v>
      </c>
      <c r="C54" s="158"/>
      <c r="D54" s="169" t="str">
        <f>IF('no levy page25'!C66&gt;0,'no levy page25'!C66,"  ")</f>
        <v>  </v>
      </c>
      <c r="E54" s="112" t="str">
        <f>IF('no levy page25'!$E$29&lt;&gt;0,'no levy page25'!$E$29,"  ")</f>
        <v>  </v>
      </c>
      <c r="F54" s="164"/>
      <c r="G54" s="167"/>
    </row>
    <row r="55" spans="2:7" ht="15.75">
      <c r="B55" s="168" t="str">
        <f>IF((inputPrYr!$B53&gt;"  "),(inputPrYr!$B53),"  ")</f>
        <v>  </v>
      </c>
      <c r="C55" s="158"/>
      <c r="D55" s="169" t="str">
        <f>IF('no levy page25'!C66&gt;0,'no levy page25'!C66,"  ")</f>
        <v>  </v>
      </c>
      <c r="E55" s="112" t="str">
        <f>IF('no levy page25'!$E$60&lt;&gt;0,'no levy page25'!$E$60,"  ")</f>
        <v>  </v>
      </c>
      <c r="F55" s="164"/>
      <c r="G55" s="167"/>
    </row>
    <row r="56" spans="2:7" ht="15.75">
      <c r="B56" s="168" t="str">
        <f>IF((inputPrYr!$B57&gt;"  "),(NonBud!$A3),"  ")</f>
        <v>Non-Budgeted Funds</v>
      </c>
      <c r="C56" s="155"/>
      <c r="D56" s="169">
        <f>IF(NonBud!F33&gt;0,NonBud!F33,"  ")</f>
        <v>17</v>
      </c>
      <c r="E56" s="164"/>
      <c r="F56" s="164"/>
      <c r="G56" s="167"/>
    </row>
    <row r="57" spans="2:7" ht="16.5" thickBot="1">
      <c r="B57" s="172" t="s">
        <v>848</v>
      </c>
      <c r="C57" s="171"/>
      <c r="D57" s="173" t="s">
        <v>462</v>
      </c>
      <c r="E57" s="174">
        <f>SUM(E21:E56)</f>
        <v>7148423</v>
      </c>
      <c r="F57" s="174">
        <f>SUM(F21:F56)</f>
        <v>4267732.09</v>
      </c>
      <c r="G57" s="175">
        <f>IF(SUM(G21:G56)=0,"",SUM(G21:G56))</f>
        <v>66.18</v>
      </c>
    </row>
    <row r="58" spans="2:7" ht="16.5" thickTop="1">
      <c r="B58" s="176" t="s">
        <v>279</v>
      </c>
      <c r="C58" s="155"/>
      <c r="D58" s="161">
        <f>summ!E68</f>
        <v>18</v>
      </c>
      <c r="E58" s="177"/>
      <c r="F58" s="177"/>
      <c r="G58" s="178"/>
    </row>
    <row r="59" spans="2:7" ht="15.75">
      <c r="B59" s="154" t="s">
        <v>974</v>
      </c>
      <c r="C59" s="155"/>
      <c r="D59" s="161">
        <f>IF(summ2!E42&gt;0,summ2!E42,"")</f>
        <v>18</v>
      </c>
      <c r="E59" s="110"/>
      <c r="F59" s="69"/>
      <c r="G59" s="179" t="s">
        <v>604</v>
      </c>
    </row>
    <row r="60" spans="2:7" ht="15.75">
      <c r="B60" s="680" t="s">
        <v>965</v>
      </c>
      <c r="C60" s="681"/>
      <c r="D60" s="159">
        <f>IF(Nhood!C52&gt;0,Nhood!C52,"")</f>
        <v>19</v>
      </c>
      <c r="E60" s="180" t="s">
        <v>282</v>
      </c>
      <c r="F60" s="181" t="str">
        <f>IF(F57&gt;computation!J35,"Yes","No")</f>
        <v>No</v>
      </c>
      <c r="G60" s="182">
        <v>64487633</v>
      </c>
    </row>
    <row r="61" spans="2:7" ht="15.75">
      <c r="B61" s="154" t="s">
        <v>281</v>
      </c>
      <c r="C61" s="183"/>
      <c r="D61" s="159">
        <f>IF(Resolution!E55&gt;0,Resolution!E55,"")</f>
      </c>
      <c r="E61" s="110"/>
      <c r="F61" s="71"/>
      <c r="G61" s="678" t="str">
        <f>CONCATENATE("November 1, ",G1-1," Total Assessed Valuation")</f>
        <v>November 1, 2011 Total Assessed Valuation</v>
      </c>
    </row>
    <row r="62" spans="2:7" ht="15.75">
      <c r="B62" s="75" t="s">
        <v>463</v>
      </c>
      <c r="C62" s="71"/>
      <c r="D62" s="75"/>
      <c r="E62" s="71"/>
      <c r="F62" s="69"/>
      <c r="G62" s="679"/>
    </row>
    <row r="63" spans="2:7" ht="15.75">
      <c r="B63" s="185" t="s">
        <v>49</v>
      </c>
      <c r="C63" s="71"/>
      <c r="D63" s="75"/>
      <c r="E63" s="71"/>
      <c r="F63" s="69"/>
      <c r="G63" s="71"/>
    </row>
    <row r="64" spans="2:7" ht="15.75">
      <c r="B64" s="186"/>
      <c r="C64" s="69"/>
      <c r="D64" s="98" t="s">
        <v>208</v>
      </c>
      <c r="E64" s="98"/>
      <c r="F64" s="184"/>
      <c r="G64" s="184"/>
    </row>
    <row r="65" spans="2:7" ht="15.75">
      <c r="B65" s="75" t="s">
        <v>603</v>
      </c>
      <c r="C65" s="109"/>
      <c r="D65" s="71"/>
      <c r="E65" s="71"/>
      <c r="F65" s="119"/>
      <c r="G65" s="119"/>
    </row>
    <row r="66" spans="2:7" ht="15.75">
      <c r="B66" s="185" t="s">
        <v>50</v>
      </c>
      <c r="C66" s="69"/>
      <c r="D66" s="98" t="s">
        <v>209</v>
      </c>
      <c r="E66" s="98"/>
      <c r="F66" s="187"/>
      <c r="G66" s="187"/>
    </row>
    <row r="67" spans="2:7" ht="15.75">
      <c r="B67" s="186" t="s">
        <v>51</v>
      </c>
      <c r="C67" s="188"/>
      <c r="D67" s="71"/>
      <c r="E67" s="71"/>
      <c r="F67" s="119"/>
      <c r="G67" s="189"/>
    </row>
    <row r="68" spans="2:7" ht="15.75">
      <c r="B68" s="186"/>
      <c r="C68" s="69"/>
      <c r="D68" s="98" t="s">
        <v>210</v>
      </c>
      <c r="E68" s="98"/>
      <c r="F68" s="187"/>
      <c r="G68" s="190"/>
    </row>
    <row r="69" spans="2:7" ht="15.75">
      <c r="B69" s="452" t="s">
        <v>211</v>
      </c>
      <c r="C69" s="191"/>
      <c r="D69" s="71"/>
      <c r="E69" s="71"/>
      <c r="F69" s="145"/>
      <c r="G69" s="69"/>
    </row>
    <row r="70" spans="2:7" ht="15.75">
      <c r="B70" s="455"/>
      <c r="C70" s="69"/>
      <c r="D70" s="98"/>
      <c r="E70" s="98"/>
      <c r="F70" s="98"/>
      <c r="G70" s="98"/>
    </row>
    <row r="71" spans="2:7" ht="15.75">
      <c r="B71" s="453" t="s">
        <v>729</v>
      </c>
      <c r="C71" s="69"/>
      <c r="D71" s="71"/>
      <c r="E71" s="71"/>
      <c r="F71" s="71"/>
      <c r="G71" s="71"/>
    </row>
    <row r="72" spans="2:7" ht="15.75">
      <c r="B72" s="454" t="s">
        <v>465</v>
      </c>
      <c r="C72" s="69"/>
      <c r="D72" s="676" t="s">
        <v>464</v>
      </c>
      <c r="E72" s="682"/>
      <c r="F72" s="682"/>
      <c r="G72" s="682"/>
    </row>
    <row r="73" spans="2:7" ht="15.75">
      <c r="B73" s="672"/>
      <c r="C73" s="672"/>
      <c r="D73" s="672"/>
      <c r="E73" s="672"/>
      <c r="F73" s="672"/>
      <c r="G73" s="672"/>
    </row>
    <row r="74" spans="4:7" ht="15.75">
      <c r="D74" s="126"/>
      <c r="F74" s="126"/>
      <c r="G74" s="126"/>
    </row>
    <row r="75" ht="15.75"/>
    <row r="76" ht="15.75"/>
    <row r="77" ht="15.75"/>
    <row r="78" ht="15.75"/>
    <row r="79" ht="15.75"/>
    <row r="80" ht="15.75"/>
    <row r="81" ht="15.75"/>
    <row r="82" ht="15.75"/>
    <row r="83" ht="15.75"/>
    <row r="84" ht="15.75"/>
    <row r="85" ht="15.75"/>
    <row r="86" ht="15.75"/>
    <row r="87" ht="15.75"/>
    <row r="88" ht="15.75"/>
    <row r="89" ht="15.75"/>
    <row r="90" ht="15.75"/>
    <row r="91" ht="15.75"/>
    <row r="92" ht="15.75"/>
    <row r="93" ht="15.75"/>
    <row r="94" ht="15.75"/>
    <row r="95" ht="15.75"/>
    <row r="96" ht="15.75"/>
    <row r="97" ht="15.75"/>
    <row r="98" ht="15.75"/>
    <row r="99" ht="15.75"/>
    <row r="100" ht="15.75"/>
    <row r="101" ht="15.75"/>
    <row r="102" ht="15.75"/>
    <row r="103" ht="15.75"/>
    <row r="104" ht="15.75"/>
  </sheetData>
  <sheetProtection/>
  <mergeCells count="8">
    <mergeCell ref="B73:G73"/>
    <mergeCell ref="B2:G2"/>
    <mergeCell ref="F13:F14"/>
    <mergeCell ref="B6:G6"/>
    <mergeCell ref="B4:G4"/>
    <mergeCell ref="G61:G62"/>
    <mergeCell ref="B60:C60"/>
    <mergeCell ref="D72:G72"/>
  </mergeCells>
  <printOptions/>
  <pageMargins left="0.5" right="0.5" top="0.47" bottom="0.23" header="0.25" footer="0"/>
  <pageSetup blackAndWhite="1" fitToHeight="1" fitToWidth="1" horizontalDpi="120" verticalDpi="120" orientation="portrait" scale="72" r:id="rId2"/>
  <headerFooter alignWithMargins="0">
    <oddHeader>&amp;RState of Kansas
County
</oddHeader>
    <oddFooter>&amp;CPage No. 1</oddFooter>
  </headerFooter>
  <drawing r:id="rId1"/>
</worksheet>
</file>

<file path=xl/worksheets/sheet50.xml><?xml version="1.0" encoding="utf-8"?>
<worksheet xmlns="http://schemas.openxmlformats.org/spreadsheetml/2006/main" xmlns:r="http://schemas.openxmlformats.org/officeDocument/2006/relationships">
  <dimension ref="A1:A136"/>
  <sheetViews>
    <sheetView zoomScalePageLayoutView="0" workbookViewId="0" topLeftCell="A1">
      <selection activeCell="E12" sqref="E12"/>
    </sheetView>
  </sheetViews>
  <sheetFormatPr defaultColWidth="8.796875" defaultRowHeight="15"/>
  <cols>
    <col min="1" max="1" width="80.09765625" style="53" customWidth="1"/>
    <col min="2" max="16384" width="8.8984375" style="53" customWidth="1"/>
  </cols>
  <sheetData>
    <row r="1" ht="15.75">
      <c r="A1" s="432" t="s">
        <v>653</v>
      </c>
    </row>
    <row r="2" ht="15.75">
      <c r="A2" s="53" t="s">
        <v>654</v>
      </c>
    </row>
    <row r="4" ht="15.75">
      <c r="A4" s="432" t="s">
        <v>651</v>
      </c>
    </row>
    <row r="5" ht="15.75">
      <c r="A5" s="53" t="s">
        <v>652</v>
      </c>
    </row>
    <row r="7" ht="15.75">
      <c r="A7" s="432" t="s">
        <v>649</v>
      </c>
    </row>
    <row r="8" ht="15.75">
      <c r="A8" s="534" t="s">
        <v>650</v>
      </c>
    </row>
    <row r="10" ht="15.75">
      <c r="A10" s="432" t="s">
        <v>108</v>
      </c>
    </row>
    <row r="11" ht="15.75">
      <c r="A11" s="534" t="s">
        <v>609</v>
      </c>
    </row>
    <row r="12" ht="15.75">
      <c r="A12" s="534" t="s">
        <v>610</v>
      </c>
    </row>
    <row r="13" ht="15.75">
      <c r="A13" s="53" t="s">
        <v>611</v>
      </c>
    </row>
    <row r="14" ht="15.75">
      <c r="A14" s="534" t="s">
        <v>612</v>
      </c>
    </row>
    <row r="15" ht="15.75">
      <c r="A15" s="534" t="s">
        <v>613</v>
      </c>
    </row>
    <row r="16" ht="15.75">
      <c r="A16" s="534" t="s">
        <v>614</v>
      </c>
    </row>
    <row r="17" ht="15.75">
      <c r="A17" s="534" t="s">
        <v>615</v>
      </c>
    </row>
    <row r="18" ht="15.75">
      <c r="A18" s="534" t="s">
        <v>616</v>
      </c>
    </row>
    <row r="19" ht="15.75">
      <c r="A19" s="534" t="s">
        <v>617</v>
      </c>
    </row>
    <row r="20" ht="15.75">
      <c r="A20" s="534" t="s">
        <v>618</v>
      </c>
    </row>
    <row r="21" ht="15.75">
      <c r="A21" s="534" t="s">
        <v>619</v>
      </c>
    </row>
    <row r="22" ht="15.75">
      <c r="A22" s="534" t="s">
        <v>620</v>
      </c>
    </row>
    <row r="23" ht="15.75">
      <c r="A23" s="534" t="s">
        <v>621</v>
      </c>
    </row>
    <row r="24" ht="15.75">
      <c r="A24" s="534" t="s">
        <v>622</v>
      </c>
    </row>
    <row r="25" ht="15.75">
      <c r="A25" s="534" t="s">
        <v>623</v>
      </c>
    </row>
    <row r="26" ht="15.75">
      <c r="A26" s="534" t="s">
        <v>624</v>
      </c>
    </row>
    <row r="27" ht="15.75">
      <c r="A27" s="534" t="s">
        <v>625</v>
      </c>
    </row>
    <row r="28" ht="15.75">
      <c r="A28" s="534" t="s">
        <v>626</v>
      </c>
    </row>
    <row r="29" ht="15.75">
      <c r="A29" s="534" t="s">
        <v>627</v>
      </c>
    </row>
    <row r="30" ht="15.75">
      <c r="A30" s="534" t="s">
        <v>628</v>
      </c>
    </row>
    <row r="31" ht="15.75">
      <c r="A31" s="53" t="s">
        <v>629</v>
      </c>
    </row>
    <row r="35" ht="15.75">
      <c r="A35" s="432" t="s">
        <v>207</v>
      </c>
    </row>
    <row r="36" ht="15.75">
      <c r="A36" s="53" t="s">
        <v>910</v>
      </c>
    </row>
    <row r="37" ht="15.75">
      <c r="A37" s="53" t="s">
        <v>911</v>
      </c>
    </row>
    <row r="38" ht="15.75">
      <c r="A38" s="53" t="s">
        <v>912</v>
      </c>
    </row>
    <row r="40" ht="15.75">
      <c r="A40" s="440" t="s">
        <v>196</v>
      </c>
    </row>
    <row r="41" ht="15.75">
      <c r="A41" s="53" t="s">
        <v>206</v>
      </c>
    </row>
    <row r="43" ht="15.75">
      <c r="A43" s="432" t="s">
        <v>670</v>
      </c>
    </row>
    <row r="44" ht="15.75">
      <c r="A44" s="435" t="s">
        <v>671</v>
      </c>
    </row>
    <row r="45" ht="15.75">
      <c r="A45" s="435" t="s">
        <v>672</v>
      </c>
    </row>
    <row r="46" ht="15.75">
      <c r="A46" s="435" t="s">
        <v>673</v>
      </c>
    </row>
    <row r="47" ht="15.75">
      <c r="A47" s="53" t="s">
        <v>191</v>
      </c>
    </row>
    <row r="49" ht="15.75">
      <c r="A49" s="405" t="s">
        <v>423</v>
      </c>
    </row>
    <row r="50" ht="15.75">
      <c r="A50" s="53" t="s">
        <v>424</v>
      </c>
    </row>
    <row r="51" ht="15.75">
      <c r="A51" s="53" t="s">
        <v>425</v>
      </c>
    </row>
    <row r="52" ht="15.75">
      <c r="A52" s="53" t="s">
        <v>426</v>
      </c>
    </row>
    <row r="53" ht="15.75">
      <c r="A53" s="53" t="s">
        <v>427</v>
      </c>
    </row>
    <row r="54" ht="15.75">
      <c r="A54" s="53" t="s">
        <v>428</v>
      </c>
    </row>
    <row r="55" ht="15.75">
      <c r="A55" s="53" t="s">
        <v>178</v>
      </c>
    </row>
    <row r="56" ht="15.75">
      <c r="A56" s="53" t="s">
        <v>179</v>
      </c>
    </row>
    <row r="57" ht="15.75">
      <c r="A57" s="53" t="s">
        <v>180</v>
      </c>
    </row>
    <row r="58" ht="15.75">
      <c r="A58" s="53" t="s">
        <v>181</v>
      </c>
    </row>
    <row r="59" ht="15.75">
      <c r="A59" s="53" t="s">
        <v>182</v>
      </c>
    </row>
    <row r="60" ht="15.75">
      <c r="A60" s="53" t="s">
        <v>907</v>
      </c>
    </row>
    <row r="61" ht="15.75">
      <c r="A61" s="413" t="s">
        <v>660</v>
      </c>
    </row>
    <row r="63" ht="15.75">
      <c r="A63" s="405" t="s">
        <v>418</v>
      </c>
    </row>
    <row r="64" ht="15.75">
      <c r="A64" s="53" t="s">
        <v>419</v>
      </c>
    </row>
    <row r="66" ht="15.75">
      <c r="A66" s="405" t="s">
        <v>415</v>
      </c>
    </row>
    <row r="67" ht="15.75">
      <c r="A67" s="53" t="s">
        <v>417</v>
      </c>
    </row>
    <row r="68" ht="15.75">
      <c r="A68" s="53" t="s">
        <v>416</v>
      </c>
    </row>
    <row r="70" ht="15.75">
      <c r="A70" s="405" t="s">
        <v>1001</v>
      </c>
    </row>
    <row r="71" ht="15.75">
      <c r="A71" s="53" t="s">
        <v>987</v>
      </c>
    </row>
    <row r="72" ht="15.75">
      <c r="A72" s="53" t="s">
        <v>988</v>
      </c>
    </row>
    <row r="73" ht="15.75">
      <c r="A73" s="53" t="s">
        <v>989</v>
      </c>
    </row>
    <row r="74" ht="15.75">
      <c r="A74" s="53" t="s">
        <v>990</v>
      </c>
    </row>
    <row r="75" ht="15.75">
      <c r="A75" s="53" t="s">
        <v>991</v>
      </c>
    </row>
    <row r="76" ht="15.75">
      <c r="A76" s="53" t="s">
        <v>992</v>
      </c>
    </row>
    <row r="77" ht="31.5">
      <c r="A77" s="56" t="s">
        <v>993</v>
      </c>
    </row>
    <row r="78" ht="31.5">
      <c r="A78" s="56" t="s">
        <v>1002</v>
      </c>
    </row>
    <row r="79" ht="15.75">
      <c r="A79" s="56" t="s">
        <v>994</v>
      </c>
    </row>
    <row r="80" ht="15.75">
      <c r="A80" s="56" t="s">
        <v>995</v>
      </c>
    </row>
    <row r="81" ht="31.5">
      <c r="A81" s="56" t="s">
        <v>996</v>
      </c>
    </row>
    <row r="82" ht="15.75">
      <c r="A82" s="53" t="s">
        <v>1003</v>
      </c>
    </row>
    <row r="83" ht="31.5">
      <c r="A83" s="56" t="s">
        <v>997</v>
      </c>
    </row>
    <row r="84" ht="15.75">
      <c r="A84" s="53" t="s">
        <v>998</v>
      </c>
    </row>
    <row r="85" ht="15.75">
      <c r="A85" s="53" t="s">
        <v>999</v>
      </c>
    </row>
    <row r="86" ht="15.75">
      <c r="A86" s="53" t="s">
        <v>1000</v>
      </c>
    </row>
    <row r="87" ht="15.75">
      <c r="A87" s="53" t="s">
        <v>1006</v>
      </c>
    </row>
    <row r="88" ht="31.5">
      <c r="A88" s="56" t="s">
        <v>1004</v>
      </c>
    </row>
    <row r="89" ht="15.75">
      <c r="A89" s="53" t="s">
        <v>1005</v>
      </c>
    </row>
    <row r="91" ht="15.75">
      <c r="A91" s="405" t="s">
        <v>404</v>
      </c>
    </row>
    <row r="92" ht="15.75">
      <c r="A92" s="53" t="s">
        <v>412</v>
      </c>
    </row>
    <row r="93" ht="15.75">
      <c r="A93" s="53" t="s">
        <v>405</v>
      </c>
    </row>
    <row r="94" ht="15.75">
      <c r="A94" s="53" t="s">
        <v>406</v>
      </c>
    </row>
    <row r="95" ht="15.75">
      <c r="A95" s="53" t="s">
        <v>429</v>
      </c>
    </row>
    <row r="97" ht="15.75">
      <c r="A97" s="405" t="s">
        <v>1011</v>
      </c>
    </row>
    <row r="98" ht="15.75">
      <c r="A98" s="53" t="s">
        <v>400</v>
      </c>
    </row>
    <row r="99" ht="31.5">
      <c r="A99" s="56" t="s">
        <v>401</v>
      </c>
    </row>
    <row r="100" ht="15.75">
      <c r="A100" s="53" t="s">
        <v>402</v>
      </c>
    </row>
    <row r="101" ht="15.75">
      <c r="A101" s="53" t="s">
        <v>403</v>
      </c>
    </row>
    <row r="104" ht="15.75">
      <c r="A104" s="405" t="s">
        <v>268</v>
      </c>
    </row>
    <row r="105" ht="47.25">
      <c r="A105" s="56" t="s">
        <v>292</v>
      </c>
    </row>
    <row r="106" ht="15.75">
      <c r="A106" s="53" t="s">
        <v>269</v>
      </c>
    </row>
    <row r="107" ht="15.75">
      <c r="A107" s="53" t="s">
        <v>277</v>
      </c>
    </row>
    <row r="108" ht="15.75">
      <c r="A108" s="53" t="s">
        <v>293</v>
      </c>
    </row>
    <row r="109" ht="15.75">
      <c r="A109" s="53" t="s">
        <v>270</v>
      </c>
    </row>
    <row r="110" ht="15.75">
      <c r="A110" s="53" t="s">
        <v>271</v>
      </c>
    </row>
    <row r="111" ht="15.75">
      <c r="A111" s="53" t="s">
        <v>278</v>
      </c>
    </row>
    <row r="112" ht="31.5">
      <c r="A112" s="56" t="s">
        <v>969</v>
      </c>
    </row>
    <row r="113" ht="15.75">
      <c r="A113" s="53" t="s">
        <v>1017</v>
      </c>
    </row>
    <row r="114" ht="15.75">
      <c r="A114" s="53" t="s">
        <v>1018</v>
      </c>
    </row>
    <row r="115" ht="15.75">
      <c r="A115" s="53" t="s">
        <v>1019</v>
      </c>
    </row>
    <row r="116" ht="15.75">
      <c r="A116" s="53" t="s">
        <v>1020</v>
      </c>
    </row>
    <row r="117" ht="15.75">
      <c r="A117" s="53" t="s">
        <v>1021</v>
      </c>
    </row>
    <row r="118" ht="31.5">
      <c r="A118" s="56" t="s">
        <v>1022</v>
      </c>
    </row>
    <row r="119" ht="15.75">
      <c r="A119" s="53" t="s">
        <v>1023</v>
      </c>
    </row>
    <row r="120" ht="15.75">
      <c r="A120" s="53" t="s">
        <v>1024</v>
      </c>
    </row>
    <row r="121" ht="31.5">
      <c r="A121" s="56" t="s">
        <v>434</v>
      </c>
    </row>
    <row r="122" ht="15.75">
      <c r="A122" s="53" t="s">
        <v>435</v>
      </c>
    </row>
    <row r="123" ht="15.75">
      <c r="A123" s="53" t="s">
        <v>436</v>
      </c>
    </row>
    <row r="124" ht="15.75">
      <c r="A124" s="53" t="s">
        <v>437</v>
      </c>
    </row>
    <row r="125" ht="15.75">
      <c r="A125" s="53" t="s">
        <v>438</v>
      </c>
    </row>
    <row r="126" ht="15.75">
      <c r="A126" s="53" t="s">
        <v>439</v>
      </c>
    </row>
    <row r="127" ht="15.75">
      <c r="A127" s="53" t="s">
        <v>430</v>
      </c>
    </row>
    <row r="128" ht="15.75">
      <c r="A128" s="53" t="s">
        <v>431</v>
      </c>
    </row>
    <row r="129" ht="15.75">
      <c r="A129" s="53" t="s">
        <v>295</v>
      </c>
    </row>
    <row r="130" ht="15.75">
      <c r="A130" s="53" t="s">
        <v>302</v>
      </c>
    </row>
    <row r="131" ht="15.75">
      <c r="A131" s="53" t="s">
        <v>962</v>
      </c>
    </row>
    <row r="132" ht="15.75">
      <c r="A132" s="53" t="s">
        <v>971</v>
      </c>
    </row>
    <row r="133" ht="15.75">
      <c r="A133" s="53" t="s">
        <v>972</v>
      </c>
    </row>
    <row r="134" ht="15.75">
      <c r="A134" s="53" t="s">
        <v>975</v>
      </c>
    </row>
    <row r="135" ht="15.75">
      <c r="A135" s="53" t="s">
        <v>1010</v>
      </c>
    </row>
    <row r="136" ht="15.75">
      <c r="A136" s="53" t="s">
        <v>1008</v>
      </c>
    </row>
  </sheetData>
  <sheetProtection sheet="1"/>
  <printOptions/>
  <pageMargins left="0.75" right="0.75" top="1" bottom="1" header="0.5" footer="0.5"/>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5"/>
  <sheetData/>
  <sheetProtection/>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sheetPr>
    <pageSetUpPr fitToPage="1"/>
  </sheetPr>
  <dimension ref="A1:G58"/>
  <sheetViews>
    <sheetView tabSelected="1" zoomScalePageLayoutView="0" workbookViewId="0" topLeftCell="A28">
      <selection activeCell="C38" sqref="C38"/>
    </sheetView>
  </sheetViews>
  <sheetFormatPr defaultColWidth="8.796875" defaultRowHeight="15"/>
  <cols>
    <col min="1" max="1" width="20.796875" style="53" customWidth="1"/>
    <col min="2" max="2" width="9.796875" style="53" customWidth="1"/>
    <col min="3" max="3" width="5.796875" style="53" customWidth="1"/>
    <col min="4" max="7" width="12.796875" style="53" customWidth="1"/>
    <col min="8" max="16384" width="8.8984375" style="53" customWidth="1"/>
  </cols>
  <sheetData>
    <row r="1" spans="1:7" ht="15.75">
      <c r="A1" s="193" t="str">
        <f>inputPrYr!C3</f>
        <v>MORRIS COUNTY</v>
      </c>
      <c r="B1" s="110"/>
      <c r="C1" s="110"/>
      <c r="D1" s="110"/>
      <c r="E1" s="110"/>
      <c r="F1" s="110"/>
      <c r="G1" s="110">
        <f>inputPrYr!C5</f>
        <v>2012</v>
      </c>
    </row>
    <row r="2" spans="1:7" ht="15.75">
      <c r="A2" s="673" t="s">
        <v>267</v>
      </c>
      <c r="B2" s="677"/>
      <c r="C2" s="677"/>
      <c r="D2" s="677"/>
      <c r="E2" s="677"/>
      <c r="F2" s="677"/>
      <c r="G2" s="677"/>
    </row>
    <row r="3" spans="1:7" ht="15.75">
      <c r="A3" s="145"/>
      <c r="B3" s="77"/>
      <c r="C3" s="77"/>
      <c r="D3" s="77"/>
      <c r="E3" s="77"/>
      <c r="F3" s="77"/>
      <c r="G3" s="77"/>
    </row>
    <row r="4" spans="1:7" ht="15.75">
      <c r="A4" s="145"/>
      <c r="B4" s="77"/>
      <c r="C4" s="77"/>
      <c r="D4" s="145"/>
      <c r="E4" s="145"/>
      <c r="F4" s="145"/>
      <c r="G4" s="145"/>
    </row>
    <row r="5" spans="1:7" ht="15.75">
      <c r="A5" s="69"/>
      <c r="B5" s="69"/>
      <c r="C5" s="69"/>
      <c r="D5" s="147" t="str">
        <f>CONCATENATE("",G1," Adopted Budget")</f>
        <v>2012 Adopted Budget</v>
      </c>
      <c r="E5" s="148"/>
      <c r="F5" s="148"/>
      <c r="G5" s="149"/>
    </row>
    <row r="6" spans="1:7" ht="21" customHeight="1">
      <c r="A6" s="69"/>
      <c r="B6" s="69"/>
      <c r="C6" s="150" t="s">
        <v>451</v>
      </c>
      <c r="D6" s="156" t="s">
        <v>913</v>
      </c>
      <c r="E6" s="674" t="str">
        <f>CONCATENATE("Amount of ",G1-1,"      Ad Valorem Tax")</f>
        <v>Amount of 2011      Ad Valorem Tax</v>
      </c>
      <c r="F6" s="151" t="s">
        <v>264</v>
      </c>
      <c r="G6" s="150" t="s">
        <v>452</v>
      </c>
    </row>
    <row r="7" spans="1:7" ht="15.75">
      <c r="A7" s="152" t="s">
        <v>265</v>
      </c>
      <c r="B7" s="98"/>
      <c r="C7" s="153" t="s">
        <v>454</v>
      </c>
      <c r="D7" s="153" t="s">
        <v>914</v>
      </c>
      <c r="E7" s="666"/>
      <c r="F7" s="194" t="s">
        <v>241</v>
      </c>
      <c r="G7" s="153" t="s">
        <v>456</v>
      </c>
    </row>
    <row r="8" spans="1:7" ht="15.75">
      <c r="A8" s="195" t="s">
        <v>266</v>
      </c>
      <c r="B8" s="196" t="s">
        <v>460</v>
      </c>
      <c r="C8" s="164"/>
      <c r="D8" s="164"/>
      <c r="E8" s="164"/>
      <c r="F8" s="164"/>
      <c r="G8" s="164"/>
    </row>
    <row r="9" spans="1:7" ht="15.75">
      <c r="A9" s="197" t="s">
        <v>930</v>
      </c>
      <c r="B9" s="198"/>
      <c r="C9" s="198"/>
      <c r="D9" s="198"/>
      <c r="E9" s="198"/>
      <c r="F9" s="198"/>
      <c r="G9" s="167" t="str">
        <f>IF(AND(D9=0,F9&gt;=0)," ",IF(AND(E9&gt;0,F9=0)," ",IF(AND(E9&gt;0,F9&gt;0),ROUND(E9/F9*1000,3))))</f>
        <v> </v>
      </c>
    </row>
    <row r="10" spans="1:7" ht="15.75">
      <c r="A10" s="131" t="s">
        <v>931</v>
      </c>
      <c r="B10" s="198" t="s">
        <v>957</v>
      </c>
      <c r="C10" s="198">
        <v>20</v>
      </c>
      <c r="D10" s="651">
        <f>'[1]Bur Cem'!F35</f>
        <v>4500</v>
      </c>
      <c r="E10" s="651">
        <f>'[1]Bur Cem'!F41</f>
        <v>3193</v>
      </c>
      <c r="F10" s="653">
        <v>1154116</v>
      </c>
      <c r="G10" s="167">
        <f aca="true" t="shared" si="0" ref="G10:G37">IF(AND(D10=0,F10&gt;=0)," ",IF(AND(E10&gt;0,F10=0)," ",IF(AND(E10&gt;0,F10&gt;0),ROUND(E10/F10*1000,3))))</f>
        <v>2.767</v>
      </c>
    </row>
    <row r="11" spans="1:7" ht="15.75">
      <c r="A11" s="131" t="s">
        <v>932</v>
      </c>
      <c r="B11" s="198" t="s">
        <v>957</v>
      </c>
      <c r="C11" s="198">
        <v>21</v>
      </c>
      <c r="D11" s="651">
        <f>'[1]CG Cem'!F35</f>
        <v>6240</v>
      </c>
      <c r="E11" s="651">
        <f>'[1]CG Cem'!F41</f>
        <v>1597</v>
      </c>
      <c r="F11" s="653">
        <v>1280782</v>
      </c>
      <c r="G11" s="167">
        <f t="shared" si="0"/>
        <v>1.247</v>
      </c>
    </row>
    <row r="12" spans="1:7" ht="15.75">
      <c r="A12" s="131" t="s">
        <v>933</v>
      </c>
      <c r="B12" s="198" t="s">
        <v>957</v>
      </c>
      <c r="C12" s="198">
        <v>22</v>
      </c>
      <c r="D12" s="651">
        <f>'[1]CC Cem'!F35</f>
        <v>15390</v>
      </c>
      <c r="E12" s="651">
        <f>'[1]CC Cem'!F41</f>
        <v>1684</v>
      </c>
      <c r="F12" s="653">
        <v>1221227</v>
      </c>
      <c r="G12" s="167">
        <f t="shared" si="0"/>
        <v>1.379</v>
      </c>
    </row>
    <row r="13" spans="1:7" ht="15.75">
      <c r="A13" s="131" t="s">
        <v>934</v>
      </c>
      <c r="B13" s="198" t="s">
        <v>957</v>
      </c>
      <c r="C13" s="198">
        <v>23</v>
      </c>
      <c r="D13" s="651">
        <f>'[1]Cmisky Cem'!F35</f>
        <v>34000</v>
      </c>
      <c r="E13" s="651">
        <f>'[1]Cmisky Cem'!F41</f>
        <v>498</v>
      </c>
      <c r="F13" s="653">
        <v>697422</v>
      </c>
      <c r="G13" s="167">
        <f t="shared" si="0"/>
        <v>0.714</v>
      </c>
    </row>
    <row r="14" spans="1:7" ht="15.75">
      <c r="A14" s="131" t="s">
        <v>935</v>
      </c>
      <c r="B14" s="198" t="s">
        <v>957</v>
      </c>
      <c r="C14" s="198">
        <v>24</v>
      </c>
      <c r="D14" s="651">
        <f>'[1]Del Cem'!F35</f>
        <v>10775</v>
      </c>
      <c r="E14" s="651">
        <f>'[1]Del Cem'!F41</f>
        <v>5921</v>
      </c>
      <c r="F14" s="653">
        <v>3604048</v>
      </c>
      <c r="G14" s="167">
        <f t="shared" si="0"/>
        <v>1.643</v>
      </c>
    </row>
    <row r="15" spans="1:7" ht="15.75">
      <c r="A15" s="131" t="s">
        <v>936</v>
      </c>
      <c r="B15" s="198" t="s">
        <v>957</v>
      </c>
      <c r="C15" s="198">
        <v>25</v>
      </c>
      <c r="D15" s="651">
        <f>'[1]DV Cem'!F35</f>
        <v>3200</v>
      </c>
      <c r="E15" s="651">
        <f>'[1]DV Cem'!F41</f>
        <v>1796</v>
      </c>
      <c r="F15" s="653">
        <v>465253</v>
      </c>
      <c r="G15" s="167">
        <f t="shared" si="0"/>
        <v>3.86</v>
      </c>
    </row>
    <row r="16" spans="1:7" ht="15.75">
      <c r="A16" s="131" t="s">
        <v>937</v>
      </c>
      <c r="B16" s="198" t="s">
        <v>957</v>
      </c>
      <c r="C16" s="198">
        <v>26</v>
      </c>
      <c r="D16" s="651">
        <f>'[1]DK Cem'!F35</f>
        <v>2445</v>
      </c>
      <c r="E16" s="651">
        <f>'[1]DK Cem'!F41</f>
        <v>1124</v>
      </c>
      <c r="F16" s="653">
        <v>1126994</v>
      </c>
      <c r="G16" s="167">
        <f t="shared" si="0"/>
        <v>0.997</v>
      </c>
    </row>
    <row r="17" spans="1:7" ht="15.75">
      <c r="A17" s="131" t="s">
        <v>938</v>
      </c>
      <c r="B17" s="198" t="s">
        <v>957</v>
      </c>
      <c r="C17" s="198">
        <v>27</v>
      </c>
      <c r="D17" s="651">
        <f>'[1]Dunlap Cem'!F35</f>
        <v>7665</v>
      </c>
      <c r="E17" s="651">
        <f>'[1]Dunlap Cem'!F41</f>
        <v>5224</v>
      </c>
      <c r="F17" s="653">
        <v>3147628</v>
      </c>
      <c r="G17" s="167">
        <f t="shared" si="0"/>
        <v>1.66</v>
      </c>
    </row>
    <row r="18" spans="1:7" ht="15.75">
      <c r="A18" s="131" t="s">
        <v>939</v>
      </c>
      <c r="B18" s="198" t="s">
        <v>957</v>
      </c>
      <c r="C18" s="198">
        <v>28</v>
      </c>
      <c r="D18" s="651">
        <f>'[1]DM Cem'!F35</f>
        <v>23005</v>
      </c>
      <c r="E18" s="651">
        <f>'[1]DM Cem'!F41</f>
        <v>8196</v>
      </c>
      <c r="F18" s="653">
        <v>5396515</v>
      </c>
      <c r="G18" s="167">
        <f t="shared" si="0"/>
        <v>1.519</v>
      </c>
    </row>
    <row r="19" spans="1:7" ht="15.75">
      <c r="A19" s="131" t="s">
        <v>940</v>
      </c>
      <c r="B19" s="198" t="s">
        <v>957</v>
      </c>
      <c r="C19" s="198">
        <v>29</v>
      </c>
      <c r="D19" s="651">
        <f>'[1]FM Cem'!F35</f>
        <v>7584</v>
      </c>
      <c r="E19" s="651">
        <f>'[1]FM Cem'!F41</f>
        <v>4119</v>
      </c>
      <c r="F19" s="653">
        <v>1891716</v>
      </c>
      <c r="G19" s="167">
        <f t="shared" si="0"/>
        <v>2.177</v>
      </c>
    </row>
    <row r="20" spans="1:7" ht="15.75">
      <c r="A20" s="131" t="s">
        <v>941</v>
      </c>
      <c r="B20" s="198" t="s">
        <v>957</v>
      </c>
      <c r="C20" s="198">
        <v>30</v>
      </c>
      <c r="D20" s="651">
        <f>'[1]High Cem'!F35</f>
        <v>3400</v>
      </c>
      <c r="E20" s="651">
        <f>'[1]High Cem'!F41</f>
        <v>946</v>
      </c>
      <c r="F20" s="653">
        <v>452985</v>
      </c>
      <c r="G20" s="167">
        <f t="shared" si="0"/>
        <v>2.088</v>
      </c>
    </row>
    <row r="21" spans="1:7" ht="15.75">
      <c r="A21" s="131" t="s">
        <v>942</v>
      </c>
      <c r="B21" s="198" t="s">
        <v>957</v>
      </c>
      <c r="C21" s="198">
        <v>31</v>
      </c>
      <c r="D21" s="651">
        <f>'[1]MV Cem'!F35</f>
        <v>4635</v>
      </c>
      <c r="E21" s="651">
        <f>'[1]MV Cem'!F41</f>
        <v>1097</v>
      </c>
      <c r="F21" s="653">
        <v>1479018</v>
      </c>
      <c r="G21" s="167">
        <f t="shared" si="0"/>
        <v>0.742</v>
      </c>
    </row>
    <row r="22" spans="1:7" ht="15.75">
      <c r="A22" s="131" t="s">
        <v>943</v>
      </c>
      <c r="B22" s="198" t="s">
        <v>957</v>
      </c>
      <c r="C22" s="198">
        <v>32</v>
      </c>
      <c r="D22" s="651">
        <f>'[1]PH Cem'!F35</f>
        <v>10790</v>
      </c>
      <c r="E22" s="651">
        <f>'[1]PH Cem'!F41</f>
        <v>3547</v>
      </c>
      <c r="F22" s="653">
        <v>1331856</v>
      </c>
      <c r="G22" s="167">
        <f t="shared" si="0"/>
        <v>2.663</v>
      </c>
    </row>
    <row r="23" spans="1:7" ht="15.75">
      <c r="A23" s="131" t="s">
        <v>944</v>
      </c>
      <c r="B23" s="198" t="s">
        <v>957</v>
      </c>
      <c r="C23" s="198">
        <v>33</v>
      </c>
      <c r="D23" s="651">
        <f>'[1]WC Cem'!F35</f>
        <v>33345</v>
      </c>
      <c r="E23" s="651">
        <f>'[1]WC Cem'!F41</f>
        <v>12444</v>
      </c>
      <c r="F23" s="653">
        <v>6079336</v>
      </c>
      <c r="G23" s="167">
        <f t="shared" si="0"/>
        <v>2.047</v>
      </c>
    </row>
    <row r="24" spans="1:7" ht="15.75">
      <c r="A24" s="131" t="s">
        <v>945</v>
      </c>
      <c r="B24" s="198" t="s">
        <v>957</v>
      </c>
      <c r="C24" s="198">
        <v>34</v>
      </c>
      <c r="D24" s="651">
        <f>'[1]Wilsey Cem'!F35</f>
        <v>22510</v>
      </c>
      <c r="E24" s="651">
        <f>'[1]Wilsey Cem'!F41</f>
        <v>5861</v>
      </c>
      <c r="F24" s="653">
        <v>2337786</v>
      </c>
      <c r="G24" s="167">
        <f t="shared" si="0"/>
        <v>2.507</v>
      </c>
    </row>
    <row r="25" spans="1:7" ht="15.75">
      <c r="A25" s="131" t="s">
        <v>303</v>
      </c>
      <c r="B25" s="198" t="s">
        <v>958</v>
      </c>
      <c r="C25" s="198">
        <v>35</v>
      </c>
      <c r="D25" s="651">
        <v>4200</v>
      </c>
      <c r="E25" s="651">
        <v>2629</v>
      </c>
      <c r="F25" s="653">
        <v>1292297</v>
      </c>
      <c r="G25" s="167">
        <f t="shared" si="0"/>
        <v>2.034</v>
      </c>
    </row>
    <row r="26" spans="1:7" ht="15.75">
      <c r="A26" s="131" t="s">
        <v>946</v>
      </c>
      <c r="B26" s="198" t="s">
        <v>958</v>
      </c>
      <c r="C26" s="198">
        <v>36</v>
      </c>
      <c r="D26" s="651">
        <v>130</v>
      </c>
      <c r="E26" s="651">
        <v>49</v>
      </c>
      <c r="F26" s="653">
        <v>140322</v>
      </c>
      <c r="G26" s="167">
        <f t="shared" si="0"/>
        <v>0.349</v>
      </c>
    </row>
    <row r="27" spans="1:7" ht="15.75">
      <c r="A27" s="131" t="s">
        <v>947</v>
      </c>
      <c r="B27" s="199" t="s">
        <v>959</v>
      </c>
      <c r="C27" s="198">
        <v>37</v>
      </c>
      <c r="D27" s="651">
        <v>18195</v>
      </c>
      <c r="E27" s="651">
        <v>5630</v>
      </c>
      <c r="F27" s="653">
        <v>2131523</v>
      </c>
      <c r="G27" s="167">
        <f t="shared" si="0"/>
        <v>2.641</v>
      </c>
    </row>
    <row r="28" spans="1:7" ht="15.75">
      <c r="A28" s="131" t="s">
        <v>948</v>
      </c>
      <c r="B28" s="199" t="s">
        <v>960</v>
      </c>
      <c r="C28" s="198">
        <v>38</v>
      </c>
      <c r="D28" s="651">
        <v>13175</v>
      </c>
      <c r="E28" s="651">
        <v>9384</v>
      </c>
      <c r="F28" s="653">
        <v>1820828</v>
      </c>
      <c r="G28" s="167">
        <f t="shared" si="0"/>
        <v>5.154</v>
      </c>
    </row>
    <row r="29" spans="1:7" ht="15.75">
      <c r="A29" s="131" t="s">
        <v>949</v>
      </c>
      <c r="B29" s="199" t="s">
        <v>960</v>
      </c>
      <c r="C29" s="198">
        <v>39</v>
      </c>
      <c r="D29" s="651">
        <v>152015</v>
      </c>
      <c r="E29" s="651">
        <v>21055</v>
      </c>
      <c r="F29" s="653">
        <v>6746289</v>
      </c>
      <c r="G29" s="167">
        <f t="shared" si="0"/>
        <v>3.121</v>
      </c>
    </row>
    <row r="30" spans="1:7" ht="15.75">
      <c r="A30" s="131" t="s">
        <v>950</v>
      </c>
      <c r="B30" s="199" t="s">
        <v>960</v>
      </c>
      <c r="C30" s="198">
        <v>40</v>
      </c>
      <c r="D30" s="651">
        <v>9300</v>
      </c>
      <c r="E30" s="651">
        <v>5751</v>
      </c>
      <c r="F30" s="653">
        <v>2766948</v>
      </c>
      <c r="G30" s="167">
        <v>2.079</v>
      </c>
    </row>
    <row r="31" spans="1:7" ht="15.75">
      <c r="A31" s="131" t="s">
        <v>951</v>
      </c>
      <c r="B31" s="199" t="s">
        <v>960</v>
      </c>
      <c r="C31" s="198">
        <v>41</v>
      </c>
      <c r="D31" s="651">
        <v>14300</v>
      </c>
      <c r="E31" s="651">
        <v>10600</v>
      </c>
      <c r="F31" s="653">
        <v>4784653</v>
      </c>
      <c r="G31" s="167">
        <f t="shared" si="0"/>
        <v>2.215</v>
      </c>
    </row>
    <row r="32" spans="1:7" ht="15.75">
      <c r="A32" s="131" t="s">
        <v>952</v>
      </c>
      <c r="B32" s="199" t="s">
        <v>961</v>
      </c>
      <c r="C32" s="198">
        <v>42</v>
      </c>
      <c r="D32" s="651">
        <v>48835</v>
      </c>
      <c r="E32" s="651">
        <v>36416</v>
      </c>
      <c r="F32" s="653">
        <v>5210147</v>
      </c>
      <c r="G32" s="167">
        <f t="shared" si="0"/>
        <v>6.989</v>
      </c>
    </row>
    <row r="33" spans="1:7" ht="15.75">
      <c r="A33" s="131" t="s">
        <v>953</v>
      </c>
      <c r="B33" s="199" t="s">
        <v>960</v>
      </c>
      <c r="C33" s="198">
        <v>43</v>
      </c>
      <c r="D33" s="651">
        <v>1800</v>
      </c>
      <c r="E33" s="651">
        <v>1412</v>
      </c>
      <c r="F33" s="653">
        <v>666238</v>
      </c>
      <c r="G33" s="167">
        <f t="shared" si="0"/>
        <v>2.119</v>
      </c>
    </row>
    <row r="34" spans="1:7" ht="15.75">
      <c r="A34" s="131" t="s">
        <v>954</v>
      </c>
      <c r="B34" s="199" t="s">
        <v>960</v>
      </c>
      <c r="C34" s="198">
        <v>44</v>
      </c>
      <c r="D34" s="651">
        <v>4235</v>
      </c>
      <c r="E34" s="651">
        <v>3635</v>
      </c>
      <c r="F34" s="653">
        <v>1369395</v>
      </c>
      <c r="G34" s="167">
        <f t="shared" si="0"/>
        <v>2.654</v>
      </c>
    </row>
    <row r="35" spans="1:7" ht="15.75">
      <c r="A35" s="131" t="s">
        <v>955</v>
      </c>
      <c r="B35" s="199" t="s">
        <v>960</v>
      </c>
      <c r="C35" s="198">
        <v>45</v>
      </c>
      <c r="D35" s="651">
        <v>15750</v>
      </c>
      <c r="E35" s="651">
        <v>10700</v>
      </c>
      <c r="F35" s="653">
        <v>16075833</v>
      </c>
      <c r="G35" s="167">
        <v>0.665</v>
      </c>
    </row>
    <row r="36" spans="1:7" ht="15.75">
      <c r="A36" s="131" t="s">
        <v>956</v>
      </c>
      <c r="B36" s="199" t="s">
        <v>961</v>
      </c>
      <c r="C36" s="198">
        <v>46</v>
      </c>
      <c r="D36" s="651">
        <v>20540</v>
      </c>
      <c r="E36" s="651">
        <v>17854</v>
      </c>
      <c r="F36" s="653">
        <v>2554887</v>
      </c>
      <c r="G36" s="167">
        <f t="shared" si="0"/>
        <v>6.988</v>
      </c>
    </row>
    <row r="37" spans="1:7" ht="15.75">
      <c r="A37" s="131" t="s">
        <v>304</v>
      </c>
      <c r="B37" s="199" t="s">
        <v>305</v>
      </c>
      <c r="C37" s="198">
        <v>47</v>
      </c>
      <c r="D37" s="651">
        <v>8165</v>
      </c>
      <c r="E37" s="651">
        <v>6543</v>
      </c>
      <c r="F37" s="653">
        <v>3049367</v>
      </c>
      <c r="G37" s="167">
        <f t="shared" si="0"/>
        <v>2.146</v>
      </c>
    </row>
    <row r="38" spans="1:7" ht="16.5" thickBot="1">
      <c r="A38" s="154" t="s">
        <v>461</v>
      </c>
      <c r="B38" s="155"/>
      <c r="C38" s="200" t="s">
        <v>462</v>
      </c>
      <c r="D38" s="174">
        <f>SUM(D9:D37)</f>
        <v>500124</v>
      </c>
      <c r="E38" s="174">
        <f>SUM(E9:E37)</f>
        <v>188905</v>
      </c>
      <c r="F38" s="201"/>
      <c r="G38" s="175">
        <f>SUM(G9:G37)</f>
        <v>67.16400000000002</v>
      </c>
    </row>
    <row r="39" spans="1:7" ht="16.5" thickTop="1">
      <c r="A39" s="75"/>
      <c r="B39" s="71"/>
      <c r="C39" s="451"/>
      <c r="D39" s="69"/>
      <c r="E39" s="69"/>
      <c r="F39" s="177"/>
      <c r="G39" s="69"/>
    </row>
    <row r="40" spans="1:7" ht="15.75">
      <c r="A40" s="75"/>
      <c r="B40" s="71"/>
      <c r="C40" s="177"/>
      <c r="D40" s="69"/>
      <c r="E40" s="69"/>
      <c r="F40" s="69"/>
      <c r="G40" s="69"/>
    </row>
    <row r="41" spans="1:7" ht="15.75">
      <c r="A41" s="75"/>
      <c r="B41" s="69"/>
      <c r="C41" s="69"/>
      <c r="D41" s="69"/>
      <c r="E41" s="69"/>
      <c r="F41" s="69"/>
      <c r="G41" s="69"/>
    </row>
    <row r="42" spans="1:7" ht="15.75">
      <c r="A42" s="202"/>
      <c r="B42" s="126"/>
      <c r="C42" s="126"/>
      <c r="D42" s="126"/>
      <c r="E42" s="126"/>
      <c r="F42" s="126"/>
      <c r="G42" s="126"/>
    </row>
    <row r="43" spans="1:7" ht="15.75">
      <c r="A43" s="203"/>
      <c r="B43" s="203"/>
      <c r="C43" s="203"/>
      <c r="D43" s="203"/>
      <c r="E43" s="203"/>
      <c r="F43" s="203"/>
      <c r="G43" s="203"/>
    </row>
    <row r="44" spans="1:7" ht="15.75">
      <c r="A44" s="126"/>
      <c r="B44" s="126"/>
      <c r="C44" s="126"/>
      <c r="D44" s="126"/>
      <c r="E44" s="126"/>
      <c r="F44" s="126"/>
      <c r="G44" s="204"/>
    </row>
    <row r="54" spans="1:7" ht="15.75">
      <c r="A54" s="126"/>
      <c r="B54" s="126"/>
      <c r="C54" s="126"/>
      <c r="D54" s="126"/>
      <c r="E54" s="126"/>
      <c r="F54" s="126"/>
      <c r="G54" s="126"/>
    </row>
    <row r="58" spans="1:7" ht="15.75">
      <c r="A58" s="126"/>
      <c r="B58" s="126"/>
      <c r="C58" s="126"/>
      <c r="D58" s="202"/>
      <c r="E58" s="126"/>
      <c r="F58" s="126"/>
      <c r="G58" s="126"/>
    </row>
  </sheetData>
  <sheetProtection/>
  <mergeCells count="2">
    <mergeCell ref="E6:E7"/>
    <mergeCell ref="A2:G2"/>
  </mergeCells>
  <printOptions/>
  <pageMargins left="0.5" right="0.5" top="0.72" bottom="0.23" header="0.25" footer="0"/>
  <pageSetup blackAndWhite="1" fitToHeight="1" fitToWidth="1" horizontalDpi="120" verticalDpi="120" orientation="portrait" scale="85" r:id="rId1"/>
  <headerFooter alignWithMargins="0">
    <oddHeader>&amp;RState of Kansas
County
</oddHeader>
    <oddFooter>&amp;CPage No. 1a</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J38"/>
  <sheetViews>
    <sheetView zoomScale="85" zoomScaleNormal="85" zoomScalePageLayoutView="0" workbookViewId="0" topLeftCell="B7">
      <selection activeCell="G30" sqref="G30"/>
    </sheetView>
  </sheetViews>
  <sheetFormatPr defaultColWidth="8.796875" defaultRowHeight="15.75" customHeight="1"/>
  <cols>
    <col min="1" max="2" width="3.296875" style="53" customWidth="1"/>
    <col min="3" max="3" width="31.296875" style="53" customWidth="1"/>
    <col min="4" max="4" width="2.296875" style="53" customWidth="1"/>
    <col min="5" max="5" width="15.796875" style="53" customWidth="1"/>
    <col min="6" max="6" width="2" style="53" customWidth="1"/>
    <col min="7" max="7" width="15.796875" style="53" customWidth="1"/>
    <col min="8" max="8" width="1.8984375" style="53" customWidth="1"/>
    <col min="9" max="9" width="1.796875" style="53" customWidth="1"/>
    <col min="10" max="10" width="15.796875" style="53" customWidth="1"/>
    <col min="11" max="16384" width="8.8984375" style="53" customWidth="1"/>
  </cols>
  <sheetData>
    <row r="1" spans="1:10" ht="15.75" customHeight="1">
      <c r="A1" s="69"/>
      <c r="B1" s="69"/>
      <c r="C1" s="205" t="str">
        <f>inputPrYr!C3</f>
        <v>MORRIS COUNTY</v>
      </c>
      <c r="D1" s="69"/>
      <c r="E1" s="69"/>
      <c r="F1" s="69"/>
      <c r="G1" s="69"/>
      <c r="H1" s="69"/>
      <c r="I1" s="69"/>
      <c r="J1" s="69">
        <f>inputPrYr!C5</f>
        <v>2012</v>
      </c>
    </row>
    <row r="2" spans="1:10" ht="15.75" customHeight="1">
      <c r="A2" s="69"/>
      <c r="B2" s="69"/>
      <c r="C2" s="69"/>
      <c r="D2" s="69"/>
      <c r="E2" s="69"/>
      <c r="F2" s="69"/>
      <c r="G2" s="69"/>
      <c r="H2" s="69"/>
      <c r="I2" s="69"/>
      <c r="J2" s="69"/>
    </row>
    <row r="3" spans="1:10" ht="15.75">
      <c r="A3" s="673" t="str">
        <f>CONCATENATE("Computation to Determine Limit for ",J1,"")</f>
        <v>Computation to Determine Limit for 2012</v>
      </c>
      <c r="B3" s="684"/>
      <c r="C3" s="684"/>
      <c r="D3" s="684"/>
      <c r="E3" s="684"/>
      <c r="F3" s="684"/>
      <c r="G3" s="684"/>
      <c r="H3" s="684"/>
      <c r="I3" s="684"/>
      <c r="J3" s="684"/>
    </row>
    <row r="4" spans="1:10" ht="15.75">
      <c r="A4" s="69"/>
      <c r="B4" s="69"/>
      <c r="C4" s="69"/>
      <c r="D4" s="69"/>
      <c r="E4" s="684"/>
      <c r="F4" s="684"/>
      <c r="G4" s="684"/>
      <c r="H4" s="206"/>
      <c r="I4" s="69"/>
      <c r="J4" s="207" t="s">
        <v>534</v>
      </c>
    </row>
    <row r="5" spans="1:10" ht="15.75">
      <c r="A5" s="208" t="s">
        <v>535</v>
      </c>
      <c r="B5" s="69" t="str">
        <f>CONCATENATE("Total Tax Levy Amount in ",J1-1," Budget")</f>
        <v>Total Tax Levy Amount in 2011 Budget</v>
      </c>
      <c r="C5" s="69"/>
      <c r="D5" s="69"/>
      <c r="E5" s="129"/>
      <c r="F5" s="129"/>
      <c r="G5" s="129"/>
      <c r="H5" s="209" t="s">
        <v>536</v>
      </c>
      <c r="I5" s="129" t="s">
        <v>537</v>
      </c>
      <c r="J5" s="210">
        <f>inputPrYr!E41</f>
        <v>4097712</v>
      </c>
    </row>
    <row r="6" spans="1:10" ht="15.75">
      <c r="A6" s="208" t="s">
        <v>538</v>
      </c>
      <c r="B6" s="69" t="str">
        <f>CONCATENATE("Debt Service Levy in ",J1-1," Budget")</f>
        <v>Debt Service Levy in 2011 Budget</v>
      </c>
      <c r="C6" s="69"/>
      <c r="D6" s="69"/>
      <c r="E6" s="129"/>
      <c r="F6" s="129"/>
      <c r="G6" s="129"/>
      <c r="H6" s="211" t="s">
        <v>539</v>
      </c>
      <c r="I6" s="212" t="s">
        <v>537</v>
      </c>
      <c r="J6" s="213">
        <f>inputPrYr!E17</f>
        <v>0</v>
      </c>
    </row>
    <row r="7" spans="1:10" ht="15.75">
      <c r="A7" s="208" t="s">
        <v>540</v>
      </c>
      <c r="B7" s="214" t="s">
        <v>559</v>
      </c>
      <c r="C7" s="69"/>
      <c r="D7" s="69"/>
      <c r="E7" s="129"/>
      <c r="F7" s="129"/>
      <c r="G7" s="129"/>
      <c r="H7" s="212"/>
      <c r="I7" s="212" t="s">
        <v>537</v>
      </c>
      <c r="J7" s="215">
        <f>J5-J6</f>
        <v>4097712</v>
      </c>
    </row>
    <row r="8" spans="1:10" ht="15.75">
      <c r="A8" s="69"/>
      <c r="B8" s="69"/>
      <c r="C8" s="69"/>
      <c r="D8" s="69"/>
      <c r="E8" s="129"/>
      <c r="F8" s="129"/>
      <c r="G8" s="129"/>
      <c r="H8" s="212"/>
      <c r="I8" s="212"/>
      <c r="J8" s="212"/>
    </row>
    <row r="9" spans="1:10" ht="15.75">
      <c r="A9" s="69"/>
      <c r="B9" s="214" t="str">
        <f>CONCATENATE("",J1-1," Valuation Information for Valuation Adjustments:")</f>
        <v>2011 Valuation Information for Valuation Adjustments:</v>
      </c>
      <c r="C9" s="69"/>
      <c r="D9" s="69"/>
      <c r="E9" s="129"/>
      <c r="F9" s="129"/>
      <c r="G9" s="129"/>
      <c r="H9" s="212"/>
      <c r="I9" s="212"/>
      <c r="J9" s="212"/>
    </row>
    <row r="10" spans="1:10" ht="15.75">
      <c r="A10" s="69"/>
      <c r="B10" s="69"/>
      <c r="C10" s="214"/>
      <c r="D10" s="69"/>
      <c r="E10" s="129"/>
      <c r="F10" s="129"/>
      <c r="G10" s="129"/>
      <c r="H10" s="212"/>
      <c r="I10" s="212"/>
      <c r="J10" s="212"/>
    </row>
    <row r="11" spans="1:10" ht="15.75">
      <c r="A11" s="208" t="s">
        <v>541</v>
      </c>
      <c r="B11" s="214" t="str">
        <f>CONCATENATE("New Improvements for ",J1-1,":")</f>
        <v>New Improvements for 2011:</v>
      </c>
      <c r="C11" s="69"/>
      <c r="D11" s="69"/>
      <c r="E11" s="209"/>
      <c r="F11" s="209" t="s">
        <v>536</v>
      </c>
      <c r="G11" s="210">
        <f>inputOth!E6</f>
        <v>661944</v>
      </c>
      <c r="H11" s="216"/>
      <c r="I11" s="212"/>
      <c r="J11" s="212"/>
    </row>
    <row r="12" spans="1:10" ht="15.75">
      <c r="A12" s="208"/>
      <c r="B12" s="208"/>
      <c r="C12" s="69"/>
      <c r="D12" s="69"/>
      <c r="E12" s="209"/>
      <c r="F12" s="209"/>
      <c r="G12" s="102"/>
      <c r="H12" s="216"/>
      <c r="I12" s="212"/>
      <c r="J12" s="212"/>
    </row>
    <row r="13" spans="1:10" ht="15.75">
      <c r="A13" s="208" t="s">
        <v>542</v>
      </c>
      <c r="B13" s="214" t="str">
        <f>CONCATENATE("Increase in Personal Property for ",J1-1,":")</f>
        <v>Increase in Personal Property for 2011:</v>
      </c>
      <c r="C13" s="69"/>
      <c r="D13" s="69"/>
      <c r="E13" s="209"/>
      <c r="F13" s="209"/>
      <c r="G13" s="102"/>
      <c r="H13" s="216"/>
      <c r="I13" s="212"/>
      <c r="J13" s="212"/>
    </row>
    <row r="14" spans="1:10" ht="15.75">
      <c r="A14" s="69"/>
      <c r="B14" s="69" t="s">
        <v>543</v>
      </c>
      <c r="C14" s="69" t="str">
        <f>CONCATENATE("Personal Property ",J1-1,"")</f>
        <v>Personal Property 2011</v>
      </c>
      <c r="D14" s="208" t="s">
        <v>536</v>
      </c>
      <c r="E14" s="210">
        <f>inputOth!E7</f>
        <v>2585017</v>
      </c>
      <c r="F14" s="209"/>
      <c r="G14" s="129"/>
      <c r="H14" s="212"/>
      <c r="I14" s="216"/>
      <c r="J14" s="212"/>
    </row>
    <row r="15" spans="1:10" ht="15.75">
      <c r="A15" s="208"/>
      <c r="B15" s="69" t="s">
        <v>544</v>
      </c>
      <c r="C15" s="69" t="str">
        <f>CONCATENATE("Personal Property ",J1-2,"")</f>
        <v>Personal Property 2010</v>
      </c>
      <c r="D15" s="208" t="s">
        <v>539</v>
      </c>
      <c r="E15" s="134">
        <f>inputOth!E9</f>
        <v>2556866</v>
      </c>
      <c r="F15" s="209"/>
      <c r="G15" s="102"/>
      <c r="H15" s="216"/>
      <c r="I15" s="212"/>
      <c r="J15" s="212"/>
    </row>
    <row r="16" spans="1:10" ht="15.75">
      <c r="A16" s="208"/>
      <c r="B16" s="69" t="s">
        <v>545</v>
      </c>
      <c r="C16" s="69" t="s">
        <v>561</v>
      </c>
      <c r="D16" s="69"/>
      <c r="E16" s="129"/>
      <c r="F16" s="129" t="s">
        <v>536</v>
      </c>
      <c r="G16" s="210">
        <f>IF(E14&gt;E15,E14-E15,0)</f>
        <v>28151</v>
      </c>
      <c r="H16" s="216"/>
      <c r="I16" s="212"/>
      <c r="J16" s="212"/>
    </row>
    <row r="17" spans="1:10" ht="15.75">
      <c r="A17" s="208"/>
      <c r="B17" s="208"/>
      <c r="C17" s="69"/>
      <c r="D17" s="69"/>
      <c r="E17" s="129"/>
      <c r="F17" s="129"/>
      <c r="G17" s="102" t="s">
        <v>551</v>
      </c>
      <c r="H17" s="216"/>
      <c r="I17" s="212"/>
      <c r="J17" s="212"/>
    </row>
    <row r="18" spans="1:10" ht="15.75">
      <c r="A18" s="208"/>
      <c r="B18" s="208"/>
      <c r="C18" s="69"/>
      <c r="D18" s="208"/>
      <c r="E18" s="102"/>
      <c r="F18" s="129"/>
      <c r="G18" s="102"/>
      <c r="H18" s="216"/>
      <c r="I18" s="212"/>
      <c r="J18" s="212"/>
    </row>
    <row r="19" spans="1:10" ht="15.75">
      <c r="A19" s="208" t="s">
        <v>546</v>
      </c>
      <c r="B19" s="214" t="str">
        <f>CONCATENATE("Valuation of Property that has Changed in Use during ",J1-1,":")</f>
        <v>Valuation of Property that has Changed in Use during 2011:</v>
      </c>
      <c r="C19" s="69"/>
      <c r="D19" s="69"/>
      <c r="E19" s="129"/>
      <c r="F19" s="129"/>
      <c r="G19" s="129">
        <f>inputOth!E8</f>
        <v>1877325</v>
      </c>
      <c r="H19" s="212"/>
      <c r="I19" s="212"/>
      <c r="J19" s="212"/>
    </row>
    <row r="20" spans="1:10" ht="15.75">
      <c r="A20" s="208"/>
      <c r="B20" s="69"/>
      <c r="C20" s="69"/>
      <c r="D20" s="208"/>
      <c r="E20" s="102"/>
      <c r="F20" s="129"/>
      <c r="G20" s="217"/>
      <c r="H20" s="216"/>
      <c r="I20" s="212"/>
      <c r="J20" s="212"/>
    </row>
    <row r="21" spans="1:10" ht="15.75">
      <c r="A21" s="208" t="s">
        <v>555</v>
      </c>
      <c r="B21" s="214" t="s">
        <v>560</v>
      </c>
      <c r="C21" s="69"/>
      <c r="D21" s="69"/>
      <c r="E21" s="129"/>
      <c r="F21" s="129"/>
      <c r="G21" s="210">
        <f>G11+G16+G19</f>
        <v>2567420</v>
      </c>
      <c r="H21" s="216"/>
      <c r="I21" s="212"/>
      <c r="J21" s="212"/>
    </row>
    <row r="22" spans="1:10" ht="15.75">
      <c r="A22" s="208"/>
      <c r="B22" s="208"/>
      <c r="C22" s="214"/>
      <c r="D22" s="69"/>
      <c r="E22" s="129"/>
      <c r="F22" s="129"/>
      <c r="G22" s="102"/>
      <c r="H22" s="216"/>
      <c r="I22" s="212"/>
      <c r="J22" s="212"/>
    </row>
    <row r="23" spans="1:10" ht="15.75">
      <c r="A23" s="208" t="s">
        <v>556</v>
      </c>
      <c r="B23" s="69" t="str">
        <f>CONCATENATE("Total Estimated Valuation July 1,",J1-1,"")</f>
        <v>Total Estimated Valuation July 1,2011</v>
      </c>
      <c r="C23" s="69"/>
      <c r="D23" s="69"/>
      <c r="E23" s="210">
        <f>inputOth!E5</f>
        <v>64442823</v>
      </c>
      <c r="F23" s="129"/>
      <c r="G23" s="129"/>
      <c r="H23" s="212"/>
      <c r="I23" s="211"/>
      <c r="J23" s="212"/>
    </row>
    <row r="24" spans="1:10" ht="15.75">
      <c r="A24" s="208"/>
      <c r="B24" s="208"/>
      <c r="C24" s="69"/>
      <c r="D24" s="69"/>
      <c r="E24" s="102"/>
      <c r="F24" s="129"/>
      <c r="G24" s="129"/>
      <c r="H24" s="212"/>
      <c r="I24" s="211"/>
      <c r="J24" s="212"/>
    </row>
    <row r="25" spans="1:10" ht="15.75">
      <c r="A25" s="208" t="s">
        <v>547</v>
      </c>
      <c r="B25" s="214" t="s">
        <v>564</v>
      </c>
      <c r="C25" s="69"/>
      <c r="D25" s="69"/>
      <c r="E25" s="129"/>
      <c r="F25" s="129"/>
      <c r="G25" s="210">
        <f>E23-G21</f>
        <v>61875403</v>
      </c>
      <c r="H25" s="216"/>
      <c r="I25" s="211"/>
      <c r="J25" s="212"/>
    </row>
    <row r="26" spans="1:10" ht="15.75">
      <c r="A26" s="208"/>
      <c r="B26" s="208"/>
      <c r="C26" s="214"/>
      <c r="D26" s="69"/>
      <c r="E26" s="69"/>
      <c r="F26" s="69"/>
      <c r="G26" s="218"/>
      <c r="H26" s="219"/>
      <c r="I26" s="220"/>
      <c r="J26" s="110"/>
    </row>
    <row r="27" spans="1:10" ht="15.75">
      <c r="A27" s="208" t="s">
        <v>548</v>
      </c>
      <c r="B27" s="69" t="s">
        <v>563</v>
      </c>
      <c r="C27" s="69"/>
      <c r="D27" s="69"/>
      <c r="E27" s="69"/>
      <c r="F27" s="69"/>
      <c r="G27" s="221">
        <f>IF(G21&gt;0,G21/G25,0)</f>
        <v>0.041493386313782875</v>
      </c>
      <c r="H27" s="219"/>
      <c r="I27" s="110"/>
      <c r="J27" s="110"/>
    </row>
    <row r="28" spans="1:10" ht="15.75">
      <c r="A28" s="208"/>
      <c r="B28" s="208"/>
      <c r="C28" s="69"/>
      <c r="D28" s="69"/>
      <c r="E28" s="69"/>
      <c r="F28" s="69"/>
      <c r="G28" s="71"/>
      <c r="H28" s="219"/>
      <c r="I28" s="110"/>
      <c r="J28" s="110"/>
    </row>
    <row r="29" spans="1:10" ht="15.75">
      <c r="A29" s="208" t="s">
        <v>549</v>
      </c>
      <c r="B29" s="69" t="s">
        <v>562</v>
      </c>
      <c r="C29" s="69"/>
      <c r="D29" s="69"/>
      <c r="E29" s="69"/>
      <c r="F29" s="69"/>
      <c r="G29" s="71"/>
      <c r="H29" s="222" t="s">
        <v>536</v>
      </c>
      <c r="I29" s="110" t="s">
        <v>537</v>
      </c>
      <c r="J29" s="223">
        <f>ROUND(G27*J7,0)</f>
        <v>170028</v>
      </c>
    </row>
    <row r="30" spans="1:10" ht="15.75">
      <c r="A30" s="208"/>
      <c r="B30" s="208"/>
      <c r="C30" s="69"/>
      <c r="D30" s="69"/>
      <c r="E30" s="69"/>
      <c r="F30" s="69"/>
      <c r="G30" s="71"/>
      <c r="H30" s="222"/>
      <c r="I30" s="110"/>
      <c r="J30" s="216"/>
    </row>
    <row r="31" spans="1:10" ht="16.5" thickBot="1">
      <c r="A31" s="208" t="s">
        <v>550</v>
      </c>
      <c r="B31" s="214" t="s">
        <v>567</v>
      </c>
      <c r="C31" s="69"/>
      <c r="D31" s="69"/>
      <c r="E31" s="69"/>
      <c r="F31" s="69"/>
      <c r="G31" s="69"/>
      <c r="H31" s="110"/>
      <c r="I31" s="110" t="s">
        <v>537</v>
      </c>
      <c r="J31" s="224">
        <f>J7+J29</f>
        <v>4267740</v>
      </c>
    </row>
    <row r="32" spans="1:10" ht="16.5" thickTop="1">
      <c r="A32" s="69"/>
      <c r="B32" s="69"/>
      <c r="C32" s="69"/>
      <c r="D32" s="69"/>
      <c r="E32" s="69"/>
      <c r="F32" s="69"/>
      <c r="G32" s="69"/>
      <c r="H32" s="69"/>
      <c r="I32" s="69"/>
      <c r="J32" s="110"/>
    </row>
    <row r="33" spans="1:10" ht="15.75">
      <c r="A33" s="208" t="s">
        <v>565</v>
      </c>
      <c r="B33" s="214" t="str">
        <f>CONCATENATE("Debt Service Levy in this ",J1-1," Budget")</f>
        <v>Debt Service Levy in this 2011 Budget</v>
      </c>
      <c r="C33" s="69"/>
      <c r="D33" s="69"/>
      <c r="E33" s="69"/>
      <c r="F33" s="69"/>
      <c r="G33" s="69"/>
      <c r="H33" s="69"/>
      <c r="I33" s="69"/>
      <c r="J33" s="225">
        <f>DebtService!E61</f>
        <v>0</v>
      </c>
    </row>
    <row r="34" spans="1:10" ht="15.75">
      <c r="A34" s="208"/>
      <c r="B34" s="214"/>
      <c r="C34" s="69"/>
      <c r="D34" s="69"/>
      <c r="E34" s="69"/>
      <c r="F34" s="69"/>
      <c r="G34" s="69"/>
      <c r="H34" s="69"/>
      <c r="I34" s="69"/>
      <c r="J34" s="71"/>
    </row>
    <row r="35" spans="1:10" ht="16.5" thickBot="1">
      <c r="A35" s="208" t="s">
        <v>566</v>
      </c>
      <c r="B35" s="214" t="s">
        <v>568</v>
      </c>
      <c r="C35" s="69"/>
      <c r="D35" s="69"/>
      <c r="E35" s="69"/>
      <c r="F35" s="69"/>
      <c r="G35" s="69"/>
      <c r="H35" s="69"/>
      <c r="I35" s="69"/>
      <c r="J35" s="226">
        <f>J31+J33</f>
        <v>4267740</v>
      </c>
    </row>
    <row r="36" spans="1:10" ht="16.5" thickTop="1">
      <c r="A36" s="69"/>
      <c r="B36" s="69"/>
      <c r="C36" s="69"/>
      <c r="D36" s="69"/>
      <c r="E36" s="69"/>
      <c r="F36" s="69"/>
      <c r="G36" s="69"/>
      <c r="H36" s="69"/>
      <c r="I36" s="69"/>
      <c r="J36" s="69"/>
    </row>
    <row r="37" spans="1:10" s="227" customFormat="1" ht="18.75">
      <c r="A37" s="683" t="str">
        <f>CONCATENATE("If the ",J1," budget includes tax levies exceeding the total on line 14, you must adopt a")</f>
        <v>If the 2012 budget includes tax levies exceeding the total on line 14, you must adopt a</v>
      </c>
      <c r="B37" s="683"/>
      <c r="C37" s="683"/>
      <c r="D37" s="683"/>
      <c r="E37" s="683"/>
      <c r="F37" s="683"/>
      <c r="G37" s="683"/>
      <c r="H37" s="683"/>
      <c r="I37" s="683"/>
      <c r="J37" s="683"/>
    </row>
    <row r="38" spans="1:10" s="227" customFormat="1" ht="18.75">
      <c r="A38" s="683" t="s">
        <v>225</v>
      </c>
      <c r="B38" s="683"/>
      <c r="C38" s="683"/>
      <c r="D38" s="683"/>
      <c r="E38" s="683"/>
      <c r="F38" s="683"/>
      <c r="G38" s="683"/>
      <c r="H38" s="683"/>
      <c r="I38" s="683"/>
      <c r="J38" s="683"/>
    </row>
  </sheetData>
  <sheetProtection sheet="1" objects="1" scenarios="1"/>
  <mergeCells count="4">
    <mergeCell ref="A37:J37"/>
    <mergeCell ref="A38:J38"/>
    <mergeCell ref="A3:J3"/>
    <mergeCell ref="E4:G4"/>
  </mergeCells>
  <printOptions/>
  <pageMargins left="0.5" right="0.5" top="0.72" bottom="0.23" header="0.5" footer="0"/>
  <pageSetup blackAndWhite="1" fitToHeight="1" fitToWidth="1" horizontalDpi="600" verticalDpi="600" orientation="portrait" scale="80" r:id="rId1"/>
  <headerFooter alignWithMargins="0">
    <oddHeader>&amp;RState of Kansas
County
</oddHeader>
    <oddFooter>&amp;CPage No. 2</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I65"/>
  <sheetViews>
    <sheetView zoomScalePageLayoutView="0" workbookViewId="0" topLeftCell="A13">
      <selection activeCell="B6" sqref="B6:B7"/>
    </sheetView>
  </sheetViews>
  <sheetFormatPr defaultColWidth="8.796875" defaultRowHeight="15"/>
  <cols>
    <col min="1" max="1" width="18.796875" style="53" customWidth="1"/>
    <col min="2" max="2" width="12.796875" style="53" customWidth="1"/>
    <col min="3" max="3" width="0.1015625" style="53" customWidth="1"/>
    <col min="4" max="4" width="11.8984375" style="53" customWidth="1"/>
    <col min="5" max="5" width="12.09765625" style="53" customWidth="1"/>
    <col min="6" max="8" width="11.796875" style="53" customWidth="1"/>
    <col min="9" max="16384" width="8.8984375" style="53" customWidth="1"/>
  </cols>
  <sheetData>
    <row r="1" spans="1:9" ht="15.75">
      <c r="A1" s="205" t="str">
        <f>inputPrYr!C3</f>
        <v>MORRIS COUNTY</v>
      </c>
      <c r="B1" s="69"/>
      <c r="C1" s="69"/>
      <c r="D1" s="69"/>
      <c r="E1" s="69"/>
      <c r="F1" s="109"/>
      <c r="G1" s="109"/>
      <c r="H1" s="110"/>
      <c r="I1" s="69"/>
    </row>
    <row r="2" spans="1:9" ht="15.75">
      <c r="A2" s="69"/>
      <c r="B2" s="69"/>
      <c r="C2" s="69"/>
      <c r="D2" s="69"/>
      <c r="E2" s="69"/>
      <c r="F2" s="109"/>
      <c r="G2" s="109"/>
      <c r="H2" s="110">
        <f>inputPrYr!C5</f>
        <v>2012</v>
      </c>
      <c r="I2" s="69"/>
    </row>
    <row r="3" spans="1:9" ht="15.75">
      <c r="A3" s="673" t="s">
        <v>294</v>
      </c>
      <c r="B3" s="673"/>
      <c r="C3" s="673"/>
      <c r="D3" s="673"/>
      <c r="E3" s="673"/>
      <c r="F3" s="673"/>
      <c r="G3" s="673"/>
      <c r="H3" s="682"/>
      <c r="I3" s="69"/>
    </row>
    <row r="4" spans="1:9" ht="15.75">
      <c r="A4" s="66"/>
      <c r="B4" s="66"/>
      <c r="C4" s="66"/>
      <c r="D4" s="66"/>
      <c r="E4" s="66"/>
      <c r="F4" s="66"/>
      <c r="G4" s="66"/>
      <c r="H4" s="128"/>
      <c r="I4" s="69"/>
    </row>
    <row r="5" spans="1:9" ht="15.75">
      <c r="A5" s="145"/>
      <c r="B5" s="77"/>
      <c r="C5" s="77"/>
      <c r="D5" s="77"/>
      <c r="E5" s="77"/>
      <c r="F5" s="69"/>
      <c r="G5" s="69"/>
      <c r="H5" s="110"/>
      <c r="I5" s="69"/>
    </row>
    <row r="6" spans="1:9" ht="21.75" customHeight="1">
      <c r="A6" s="228"/>
      <c r="B6" s="674" t="str">
        <f>CONCATENATE("Budget Tax Levy Amount for ",H2-2,"")</f>
        <v>Budget Tax Levy Amount for 2010</v>
      </c>
      <c r="C6" s="685"/>
      <c r="D6" s="686" t="str">
        <f>CONCATENATE("Allocation for Year ",H2,"")</f>
        <v>Allocation for Year 2012</v>
      </c>
      <c r="E6" s="687"/>
      <c r="F6" s="687"/>
      <c r="G6" s="688"/>
      <c r="H6" s="229"/>
      <c r="I6" s="69"/>
    </row>
    <row r="7" spans="1:9" ht="23.25" customHeight="1">
      <c r="A7" s="156" t="str">
        <f>CONCATENATE("",H2-1," Budgeted Funds")</f>
        <v>2011 Budgeted Funds</v>
      </c>
      <c r="B7" s="666"/>
      <c r="C7" s="666"/>
      <c r="D7" s="153" t="s">
        <v>847</v>
      </c>
      <c r="E7" s="153" t="s">
        <v>531</v>
      </c>
      <c r="F7" s="153" t="s">
        <v>558</v>
      </c>
      <c r="G7" s="153" t="s">
        <v>232</v>
      </c>
      <c r="H7" s="128"/>
      <c r="I7" s="69"/>
    </row>
    <row r="8" spans="1:9" ht="16.5" customHeight="1">
      <c r="A8" s="112" t="str">
        <f>(inputPrYr!B16)</f>
        <v>General</v>
      </c>
      <c r="B8" s="159">
        <f>IF(inputPrYr!E16&gt;0,inputPrYr!E16,"  ")</f>
        <v>1567143</v>
      </c>
      <c r="C8" s="230">
        <f>IF(inputPrYr!F16&gt;0,(inputPrYr!F16),"  ")</f>
        <v>24.61</v>
      </c>
      <c r="D8" s="159">
        <f>IF(inputPrYr!$E$16=0,0,D35-SUM(D9:D32))</f>
        <v>148098</v>
      </c>
      <c r="E8" s="159">
        <f>IF(inputPrYr!E16=0,0,E37-SUM(E9:E32))</f>
        <v>3959</v>
      </c>
      <c r="F8" s="159">
        <f>IF(inputPrYr!$E16=0,0,F39-SUM(F9:F32))</f>
        <v>11976</v>
      </c>
      <c r="G8" s="159">
        <f>IF(inputPrYr!$E16=0,0,G41-SUM(G9:G32))</f>
        <v>0</v>
      </c>
      <c r="H8" s="128"/>
      <c r="I8" s="69"/>
    </row>
    <row r="9" spans="1:9" ht="15.75">
      <c r="A9" s="112" t="str">
        <f>(inputPrYr!B17)</f>
        <v>Debt Service</v>
      </c>
      <c r="B9" s="159" t="str">
        <f>IF(inputPrYr!E17&gt;0,inputPrYr!E17,"  ")</f>
        <v>  </v>
      </c>
      <c r="C9" s="230" t="str">
        <f>IF(inputPrYr!F17&gt;0,(inputPrYr!F17),"  ")</f>
        <v>  </v>
      </c>
      <c r="D9" s="159" t="str">
        <f>IF(inputPrYr!$E$17&gt;0,ROUND(+B9*D$43,0)," ")</f>
        <v> </v>
      </c>
      <c r="E9" s="159" t="str">
        <f>IF(inputPrYr!$E$17&gt;0,ROUND(+B9*E$45,0)," ")</f>
        <v> </v>
      </c>
      <c r="F9" s="159" t="str">
        <f>IF(inputPrYr!$E$17&gt;0,ROUND(+B9*F$47,0)," ")</f>
        <v> </v>
      </c>
      <c r="G9" s="159" t="str">
        <f>IF(inputPrYr!$E$17&gt;0,ROUND(+B9*G$49,0)," ")</f>
        <v> </v>
      </c>
      <c r="H9" s="128"/>
      <c r="I9" s="69"/>
    </row>
    <row r="10" spans="1:9" ht="15.75">
      <c r="A10" s="112" t="str">
        <f>(inputPrYr!B18)</f>
        <v>Road &amp; Bridge</v>
      </c>
      <c r="B10" s="159">
        <f>IF(inputPrYr!E18&gt;0,inputPrYr!E18,"  ")</f>
        <v>1546269</v>
      </c>
      <c r="C10" s="230">
        <f>IF(inputPrYr!F18&gt;0,(inputPrYr!F18),"  ")</f>
        <v>24.283</v>
      </c>
      <c r="D10" s="159">
        <f>IF(inputPrYr!$E$18&gt;0,ROUND(+B10*D$43,0)," ")</f>
        <v>146127</v>
      </c>
      <c r="E10" s="159">
        <f>IF(inputPrYr!$E$18&gt;0,ROUND(+B10*E$45,0)," ")</f>
        <v>3905</v>
      </c>
      <c r="F10" s="159">
        <f>IF(inputPrYr!$E$18&gt;0,ROUND(+B10*F$47,0)," ")</f>
        <v>11817</v>
      </c>
      <c r="G10" s="159">
        <f>IF(inputPrYr!$E$18&gt;0,ROUND(+B10*G$49,0)," ")</f>
        <v>0</v>
      </c>
      <c r="H10" s="128"/>
      <c r="I10" s="69"/>
    </row>
    <row r="11" spans="1:9" ht="15.75">
      <c r="A11" s="112" t="str">
        <f>IF((inputPrYr!$B19&gt;" "),(inputPrYr!$B19),"  ")</f>
        <v>Special Bridge</v>
      </c>
      <c r="B11" s="159">
        <f>IF(inputPrYr!E19&gt;0,inputPrYr!E19,"  ")</f>
        <v>88784</v>
      </c>
      <c r="C11" s="230">
        <f>IF(inputPrYr!F19&gt;0,(inputPrYr!F19),"  ")</f>
        <v>1.394</v>
      </c>
      <c r="D11" s="159">
        <f>IF(inputPrYr!$E$19&gt;0,ROUND(+B11*D$43,0)," ")</f>
        <v>8390</v>
      </c>
      <c r="E11" s="159">
        <f>IF(inputPrYr!$E$19&gt;0,ROUND(+B11*E$45,0)," ")</f>
        <v>224</v>
      </c>
      <c r="F11" s="159">
        <f>IF(inputPrYr!$E$19&gt;0,ROUND(+B11*F$47,0)," ")</f>
        <v>679</v>
      </c>
      <c r="G11" s="159">
        <f>IF(inputPrYr!$E$19&gt;0,ROUND(+B11*G$49,0)," ")</f>
        <v>0</v>
      </c>
      <c r="H11" s="128"/>
      <c r="I11" s="69"/>
    </row>
    <row r="12" spans="1:9" ht="15.75">
      <c r="A12" s="112" t="str">
        <f>IF((inputPrYr!$B20&gt;" "),(inputPrYr!$B20),"  ")</f>
        <v>Reappraisal</v>
      </c>
      <c r="B12" s="159">
        <f>IF(inputPrYr!E20&gt;0,inputPrYr!E20,"  ")</f>
        <v>128784</v>
      </c>
      <c r="C12" s="230">
        <f>IF(inputPrYr!F20&gt;0,(inputPrYr!F20),"  ")</f>
        <v>2.022</v>
      </c>
      <c r="D12" s="159">
        <f>IF(inputPrYr!E20&gt;0,ROUND(+B12*D$43,0)," ")</f>
        <v>12170</v>
      </c>
      <c r="E12" s="159">
        <f>IF(inputPrYr!$E$20&gt;0,ROUND(+B12*E$45,0)," ")</f>
        <v>325</v>
      </c>
      <c r="F12" s="159">
        <f>IF(inputPrYr!$E$20&gt;0,ROUND(+B12*F$47,0)," ")</f>
        <v>984</v>
      </c>
      <c r="G12" s="159">
        <f>IF(inputPrYr!$E$20&gt;0,ROUND(+B12*G$49,0)," ")</f>
        <v>0</v>
      </c>
      <c r="H12" s="128"/>
      <c r="I12" s="69"/>
    </row>
    <row r="13" spans="1:9" ht="15.75">
      <c r="A13" s="112" t="str">
        <f>IF((inputPrYr!$B21&gt;" "),(inputPrYr!$B21),"  ")</f>
        <v>County Health</v>
      </c>
      <c r="B13" s="159">
        <f>IF(inputPrYr!E21&gt;0,inputPrYr!E21,"  ")</f>
        <v>95083</v>
      </c>
      <c r="C13" s="230">
        <f>IF(inputPrYr!F21&gt;0,(inputPrYr!F21),"  ")</f>
        <v>1.493</v>
      </c>
      <c r="D13" s="159">
        <f>IF(inputPrYr!E21&gt;0,ROUND(+B13*D$43,0),"  ")</f>
        <v>8986</v>
      </c>
      <c r="E13" s="159">
        <f>IF(inputPrYr!E21&gt;0,ROUND(+B13*E$45,0),"  ")</f>
        <v>240</v>
      </c>
      <c r="F13" s="159">
        <f>IF(inputPrYr!E21&gt;0,ROUND(+B13*F$47,0),"  ")</f>
        <v>727</v>
      </c>
      <c r="G13" s="159">
        <f>IF(inputPrYr!$E$21&gt;0,ROUND(+B13*G$49,0)," ")</f>
        <v>0</v>
      </c>
      <c r="H13" s="128"/>
      <c r="I13" s="69"/>
    </row>
    <row r="14" spans="1:9" ht="15.75">
      <c r="A14" s="112" t="str">
        <f>IF((inputPrYr!$B22&gt;" "),(inputPrYr!$B22),"  ")</f>
        <v>Noxious Weed</v>
      </c>
      <c r="B14" s="159">
        <f>IF(inputPrYr!E22&gt;0,inputPrYr!E22,"  ")</f>
        <v>62694</v>
      </c>
      <c r="C14" s="230">
        <f>IF(inputPrYr!F22&gt;0,(inputPrYr!F22),"  ")</f>
        <v>0.985</v>
      </c>
      <c r="D14" s="159">
        <f>IF(inputPrYr!E22&gt;0,ROUND(+B14*D$43,0),"  ")</f>
        <v>5925</v>
      </c>
      <c r="E14" s="159">
        <f>IF(inputPrYr!E22&gt;0,ROUND(+B14*E$45,0),"  ")</f>
        <v>158</v>
      </c>
      <c r="F14" s="159">
        <f>IF(inputPrYr!E22&gt;0,ROUND(+B14*F$47,0),"  ")</f>
        <v>479</v>
      </c>
      <c r="G14" s="159">
        <f>IF(inputPrYr!$E$22&gt;0,ROUND(+B14*G$49,0)," ")</f>
        <v>0</v>
      </c>
      <c r="H14" s="128"/>
      <c r="I14" s="69"/>
    </row>
    <row r="15" spans="1:9" ht="15.75">
      <c r="A15" s="112" t="str">
        <f>IF((inputPrYr!$B23&gt;" "),(inputPrYr!$B23),"  ")</f>
        <v>Ambulance</v>
      </c>
      <c r="B15" s="159">
        <f>IF(inputPrYr!E23&gt;0,inputPrYr!E23,"  ")</f>
        <v>117685</v>
      </c>
      <c r="C15" s="230">
        <f>IF(inputPrYr!F23&gt;0,(inputPrYr!F23),"  ")</f>
        <v>1.848</v>
      </c>
      <c r="D15" s="159">
        <f>IF(inputPrYr!E23&gt;0,ROUND(+B15*D$43,0),"  ")</f>
        <v>11122</v>
      </c>
      <c r="E15" s="159">
        <f>IF(inputPrYr!E23&gt;0,ROUND(+B15*E$45,0),"  ")</f>
        <v>297</v>
      </c>
      <c r="F15" s="159">
        <f>IF(inputPrYr!E23&gt;0,ROUND(+B15*F$47,0),"  ")</f>
        <v>899</v>
      </c>
      <c r="G15" s="159">
        <f>IF(inputPrYr!$E$23&gt;0,ROUND(+B15*G$49,0)," ")</f>
        <v>0</v>
      </c>
      <c r="H15" s="128"/>
      <c r="I15" s="69"/>
    </row>
    <row r="16" spans="1:9" ht="15.75">
      <c r="A16" s="112" t="str">
        <f>IF((inputPrYr!$B24&gt;" "),(inputPrYr!$B24),"  ")</f>
        <v>Mental Health</v>
      </c>
      <c r="B16" s="159">
        <f>IF(inputPrYr!E24&gt;0,inputPrYr!E24,"  ")</f>
        <v>44266</v>
      </c>
      <c r="C16" s="230">
        <f>IF(inputPrYr!F24&gt;0,(inputPrYr!F24),"  ")</f>
        <v>0.695</v>
      </c>
      <c r="D16" s="159">
        <f>IF(inputPrYr!E24&gt;0,ROUND(B16*D$43,0),"  ")</f>
        <v>4183</v>
      </c>
      <c r="E16" s="159">
        <f>IF(inputPrYr!E24&gt;0,ROUND(+B16*E$45,0),"  ")</f>
        <v>112</v>
      </c>
      <c r="F16" s="159">
        <f>IF(inputPrYr!E24&gt;0,ROUND(+B16*F$47,0),"  ")</f>
        <v>338</v>
      </c>
      <c r="G16" s="159">
        <f>IF(inputPrYr!$E$24&gt;0,ROUND(+B16*G$49,0)," ")</f>
        <v>0</v>
      </c>
      <c r="H16" s="128"/>
      <c r="I16" s="69"/>
    </row>
    <row r="17" spans="1:9" ht="15.75">
      <c r="A17" s="112" t="str">
        <f>IF((inputPrYr!$B25&gt;" "),(inputPrYr!$B25),"  ")</f>
        <v>Hospital Maintenance</v>
      </c>
      <c r="B17" s="159">
        <f>IF(inputPrYr!E25&gt;0,inputPrYr!E25,"  ")</f>
        <v>118627</v>
      </c>
      <c r="C17" s="230">
        <f>IF(inputPrYr!F25&gt;0,(inputPrYr!F25),"  ")</f>
        <v>1.863</v>
      </c>
      <c r="D17" s="159">
        <f>IF(inputPrYr!E25&gt;0,ROUND(+B17*D$43,0),"  ")</f>
        <v>11211</v>
      </c>
      <c r="E17" s="159">
        <f>IF(inputPrYr!E25&gt;0,ROUND(+B17*E$45,0),"  ")</f>
        <v>300</v>
      </c>
      <c r="F17" s="159">
        <f>IF(inputPrYr!E25&gt;0,ROUND(+B17*F$47,0),"  ")</f>
        <v>907</v>
      </c>
      <c r="G17" s="159">
        <f>IF(inputPrYr!$E$25&gt;0,ROUND(+B17*G$49,0)," ")</f>
        <v>0</v>
      </c>
      <c r="H17" s="128"/>
      <c r="I17" s="69"/>
    </row>
    <row r="18" spans="1:9" ht="15.75">
      <c r="A18" s="112" t="str">
        <f>IF((inputPrYr!$B26&gt;" "),(inputPrYr!$B26),"  ")</f>
        <v>Employee Benefits</v>
      </c>
      <c r="B18" s="159">
        <f>IF(inputPrYr!E26&gt;0,inputPrYr!E26,"  ")</f>
        <v>328377</v>
      </c>
      <c r="C18" s="230">
        <f>IF(inputPrYr!F26&gt;0,(inputPrYr!F26),"  ")</f>
        <v>5.157</v>
      </c>
      <c r="D18" s="159">
        <f>IF(inputPrYr!E26&gt;0,ROUND(+B18*D$43,0),"  ")</f>
        <v>31033</v>
      </c>
      <c r="E18" s="159">
        <f>IF(inputPrYr!E26&gt;0,ROUND(+B18*E$45,0),"  ")</f>
        <v>829</v>
      </c>
      <c r="F18" s="159">
        <f>IF(inputPrYr!E26&gt;0,ROUND(+B18*F$47,0),"  ")</f>
        <v>2510</v>
      </c>
      <c r="G18" s="159">
        <f>IF(inputPrYr!$E$26&gt;0,ROUND(+B18*G$49,0)," ")</f>
        <v>0</v>
      </c>
      <c r="H18" s="128"/>
      <c r="I18" s="69"/>
    </row>
    <row r="19" spans="1:9" ht="15.75">
      <c r="A19" s="112" t="str">
        <f>IF((inputPrYr!$B27&gt;" "),(inputPrYr!$B27),"  ")</f>
        <v>  </v>
      </c>
      <c r="B19" s="159" t="str">
        <f>IF(inputPrYr!E27&gt;0,inputPrYr!E27,"  ")</f>
        <v>  </v>
      </c>
      <c r="C19" s="230" t="str">
        <f>IF(inputPrYr!F27&gt;0,(inputPrYr!F27),"  ")</f>
        <v>  </v>
      </c>
      <c r="D19" s="159" t="str">
        <f>IF(inputPrYr!E27&gt;0,ROUND(+B19*D$43,0),"  ")</f>
        <v>  </v>
      </c>
      <c r="E19" s="159" t="str">
        <f>IF(inputPrYr!E27&gt;0,ROUND(+B19*E$45,0),"  ")</f>
        <v>  </v>
      </c>
      <c r="F19" s="159" t="str">
        <f>IF(inputPrYr!E27&gt;0,ROUND(+B19*F$47,0),"  ")</f>
        <v>  </v>
      </c>
      <c r="G19" s="159" t="str">
        <f>IF(inputPrYr!$E$27&gt;0,ROUND(+B19*G$49,0)," ")</f>
        <v> </v>
      </c>
      <c r="H19" s="128"/>
      <c r="I19" s="69"/>
    </row>
    <row r="20" spans="1:9" ht="15.75">
      <c r="A20" s="112" t="str">
        <f>IF((inputPrYr!$B28&gt;" "),(inputPrYr!$B28),"  ")</f>
        <v>  </v>
      </c>
      <c r="B20" s="159" t="str">
        <f>IF(inputPrYr!E28&gt;0,inputPrYr!E28,"  ")</f>
        <v>  </v>
      </c>
      <c r="C20" s="230" t="str">
        <f>IF(inputPrYr!F28&gt;0,(inputPrYr!F28),"  ")</f>
        <v>  </v>
      </c>
      <c r="D20" s="159" t="str">
        <f>IF(inputPrYr!E28&gt;0,ROUND(+B20*D$43,0),"  ")</f>
        <v>  </v>
      </c>
      <c r="E20" s="159" t="str">
        <f>IF(inputPrYr!E28&gt;0,ROUND(+B20*E$45,0),"  ")</f>
        <v>  </v>
      </c>
      <c r="F20" s="159" t="str">
        <f>IF(inputPrYr!E28&gt;0,ROUND(+B20*F$47,0),"  ")</f>
        <v>  </v>
      </c>
      <c r="G20" s="159" t="str">
        <f>IF(inputPrYr!$E$28&gt;0,ROUND(+B20*G$49,0)," ")</f>
        <v> </v>
      </c>
      <c r="H20" s="128"/>
      <c r="I20" s="69"/>
    </row>
    <row r="21" spans="1:9" ht="15.75">
      <c r="A21" s="112" t="str">
        <f>IF((inputPrYr!$B29&gt;" "),(inputPrYr!$B29),"  ")</f>
        <v>  </v>
      </c>
      <c r="B21" s="159" t="str">
        <f>IF(inputPrYr!E29&gt;0,inputPrYr!E29,"  ")</f>
        <v>  </v>
      </c>
      <c r="C21" s="230" t="str">
        <f>IF(inputPrYr!F29&gt;0,(inputPrYr!F29),"  ")</f>
        <v>  </v>
      </c>
      <c r="D21" s="159" t="str">
        <f>IF(inputPrYr!E29&gt;0,ROUND(+B21*D$43,0),"  ")</f>
        <v>  </v>
      </c>
      <c r="E21" s="159" t="str">
        <f>IF(inputPrYr!E29&gt;0,ROUND(+B21*E$45,0),"  ")</f>
        <v>  </v>
      </c>
      <c r="F21" s="159" t="str">
        <f>IF(inputPrYr!E29&gt;0,ROUND(+B21*F$47,0),"  ")</f>
        <v>  </v>
      </c>
      <c r="G21" s="159" t="str">
        <f>IF(inputPrYr!$E$29&gt;0,ROUND(+B21*G$49,0)," ")</f>
        <v> </v>
      </c>
      <c r="H21" s="128"/>
      <c r="I21" s="69"/>
    </row>
    <row r="22" spans="1:9" ht="15.75">
      <c r="A22" s="112" t="str">
        <f>IF((inputPrYr!$B30&gt;" "),(inputPrYr!$B30),"  ")</f>
        <v>  </v>
      </c>
      <c r="B22" s="159" t="str">
        <f>IF(inputPrYr!E30&gt;0,inputPrYr!E30,"  ")</f>
        <v>  </v>
      </c>
      <c r="C22" s="230" t="str">
        <f>IF(inputPrYr!F30&gt;0,(inputPrYr!F30),"  ")</f>
        <v>  </v>
      </c>
      <c r="D22" s="159" t="str">
        <f>IF(inputPrYr!E30&gt;0,ROUND(+B22*D$43,0),"  ")</f>
        <v>  </v>
      </c>
      <c r="E22" s="159" t="str">
        <f>IF(inputPrYr!E30&gt;0,ROUND(+B22*E$45,0),"  ")</f>
        <v>  </v>
      </c>
      <c r="F22" s="159" t="str">
        <f>IF(inputPrYr!E30&gt;0,ROUND(+B22*F$47,0),"  ")</f>
        <v>  </v>
      </c>
      <c r="G22" s="159" t="str">
        <f>IF(inputPrYr!$E$30&gt;0,ROUND(+B22*G$49,0)," ")</f>
        <v> </v>
      </c>
      <c r="H22" s="128"/>
      <c r="I22" s="69"/>
    </row>
    <row r="23" spans="1:9" ht="15.75">
      <c r="A23" s="112" t="str">
        <f>IF((inputPrYr!$B31&gt;" "),(inputPrYr!$B31),"  ")</f>
        <v>  </v>
      </c>
      <c r="B23" s="159" t="str">
        <f>IF(inputPrYr!E31&gt;0,inputPrYr!E31,"  ")</f>
        <v>  </v>
      </c>
      <c r="C23" s="230" t="str">
        <f>IF(inputPrYr!F31&gt;0,(inputPrYr!F31),"  ")</f>
        <v>  </v>
      </c>
      <c r="D23" s="159" t="str">
        <f>IF(inputPrYr!E31&gt;0,ROUND(+B23*D$43,0),"  ")</f>
        <v>  </v>
      </c>
      <c r="E23" s="159" t="str">
        <f>IF(inputPrYr!E31&gt;0,ROUND(B23*E$45,0),"  ")</f>
        <v>  </v>
      </c>
      <c r="F23" s="159" t="str">
        <f>IF(inputPrYr!E31&gt;0,ROUND(+B23*F$47,0),"  ")</f>
        <v>  </v>
      </c>
      <c r="G23" s="159" t="str">
        <f>IF(inputPrYr!$E$31&gt;0,ROUND(+B23*G$49,0)," ")</f>
        <v> </v>
      </c>
      <c r="H23" s="128"/>
      <c r="I23" s="69"/>
    </row>
    <row r="24" spans="1:9" ht="15.75">
      <c r="A24" s="112" t="str">
        <f>IF((inputPrYr!$B32&gt;" "),(inputPrYr!$B32),"  ")</f>
        <v>  </v>
      </c>
      <c r="B24" s="159" t="str">
        <f>IF(inputPrYr!E32&gt;0,inputPrYr!E32,"  ")</f>
        <v>  </v>
      </c>
      <c r="C24" s="230" t="str">
        <f>IF(inputPrYr!F32&gt;0,(inputPrYr!F32),"  ")</f>
        <v>  </v>
      </c>
      <c r="D24" s="159" t="str">
        <f>IF(inputPrYr!E32&gt;0,ROUND(+B24*D$43,0),"  ")</f>
        <v>  </v>
      </c>
      <c r="E24" s="159" t="str">
        <f>IF(inputPrYr!E32&gt;0,ROUND(+B24*E$45,0),"  ")</f>
        <v>  </v>
      </c>
      <c r="F24" s="159" t="str">
        <f>IF(inputPrYr!E32&gt;0,ROUND(+B24*F$47,0),"  ")</f>
        <v>  </v>
      </c>
      <c r="G24" s="159" t="str">
        <f>IF(inputPrYr!$E$32&gt;0,ROUND(+B24*G$49,0)," ")</f>
        <v> </v>
      </c>
      <c r="H24" s="128"/>
      <c r="I24" s="69"/>
    </row>
    <row r="25" spans="1:9" ht="15.75">
      <c r="A25" s="112" t="str">
        <f>IF((inputPrYr!$B33&gt;" "),(inputPrYr!$B33),"  ")</f>
        <v>  </v>
      </c>
      <c r="B25" s="159" t="str">
        <f>IF(inputPrYr!E33&gt;0,inputPrYr!E33,"  ")</f>
        <v>  </v>
      </c>
      <c r="C25" s="230" t="str">
        <f>IF(inputPrYr!F33&gt;0,(inputPrYr!F33),"  ")</f>
        <v>  </v>
      </c>
      <c r="D25" s="159" t="str">
        <f>IF(inputPrYr!E33&gt;0,ROUND(+B25*D$43,0),"  ")</f>
        <v>  </v>
      </c>
      <c r="E25" s="159" t="str">
        <f>IF(inputPrYr!E33&gt;0,ROUND(+B25*E$45,0),"  ")</f>
        <v>  </v>
      </c>
      <c r="F25" s="159" t="str">
        <f>IF(inputPrYr!E33&gt;0,ROUND(+B25*F$47,0),"  ")</f>
        <v>  </v>
      </c>
      <c r="G25" s="159" t="str">
        <f>IF(inputPrYr!$E$33&gt;0,ROUND(+B25*G$49,0)," ")</f>
        <v> </v>
      </c>
      <c r="H25" s="128"/>
      <c r="I25" s="69"/>
    </row>
    <row r="26" spans="1:9" ht="15.75">
      <c r="A26" s="112" t="str">
        <f>IF((inputPrYr!$B34&gt;" "),(inputPrYr!$B34),"  ")</f>
        <v>  </v>
      </c>
      <c r="B26" s="159" t="str">
        <f>IF(inputPrYr!E34&gt;0,inputPrYr!E34,"  ")</f>
        <v>  </v>
      </c>
      <c r="C26" s="230" t="str">
        <f>IF(inputPrYr!F34&gt;0,(inputPrYr!F34),"  ")</f>
        <v>  </v>
      </c>
      <c r="D26" s="159" t="str">
        <f>IF(inputPrYr!E34&gt;0,ROUND(+B26*D$43,0),"  ")</f>
        <v>  </v>
      </c>
      <c r="E26" s="159" t="str">
        <f>IF(inputPrYr!E34&gt;0,ROUND(+B26*E$45,0),"  ")</f>
        <v>  </v>
      </c>
      <c r="F26" s="159" t="str">
        <f>IF(inputPrYr!E34&gt;0,ROUND(+B26*F$47,0),"  ")</f>
        <v>  </v>
      </c>
      <c r="G26" s="159" t="str">
        <f>IF(inputPrYr!$E$34&gt;0,ROUND(+B26*G$49,0)," ")</f>
        <v> </v>
      </c>
      <c r="H26" s="128"/>
      <c r="I26" s="69"/>
    </row>
    <row r="27" spans="1:9" ht="15.75">
      <c r="A27" s="112" t="str">
        <f>IF((inputPrYr!$B35&gt;" "),(inputPrYr!$B35),"  ")</f>
        <v>  </v>
      </c>
      <c r="B27" s="159" t="str">
        <f>IF(inputPrYr!E35&gt;0,inputPrYr!E35,"  ")</f>
        <v>  </v>
      </c>
      <c r="C27" s="230" t="str">
        <f>IF(inputPrYr!F35&gt;0,(inputPrYr!F35),"  ")</f>
        <v>  </v>
      </c>
      <c r="D27" s="159" t="str">
        <f>IF(inputPrYr!E35&gt;0,ROUND(+B27*D$43,0),"  ")</f>
        <v>  </v>
      </c>
      <c r="E27" s="159" t="str">
        <f>IF(inputPrYr!E35&gt;0,ROUND(+B27*E$45,0),"  ")</f>
        <v>  </v>
      </c>
      <c r="F27" s="159" t="str">
        <f>IF(inputPrYr!E35&gt;0,ROUND(+B27*F$47,0),"  ")</f>
        <v>  </v>
      </c>
      <c r="G27" s="159" t="str">
        <f>IF(inputPrYr!$E$35&gt;0,ROUND(+B27*G$49,0)," ")</f>
        <v> </v>
      </c>
      <c r="H27" s="128"/>
      <c r="I27" s="69"/>
    </row>
    <row r="28" spans="1:9" ht="15.75">
      <c r="A28" s="112" t="str">
        <f>IF((inputPrYr!$B36&gt;" "),(inputPrYr!$B36),"  ")</f>
        <v>  </v>
      </c>
      <c r="B28" s="159" t="str">
        <f>IF(inputPrYr!E36&gt;0,inputPrYr!E36,"  ")</f>
        <v>  </v>
      </c>
      <c r="C28" s="230" t="str">
        <f>IF(inputPrYr!F36&gt;0,(inputPrYr!F36),"  ")</f>
        <v>  </v>
      </c>
      <c r="D28" s="159" t="str">
        <f>IF(inputPrYr!E36&gt;0,ROUND(+B28*D$43,0),"  ")</f>
        <v>  </v>
      </c>
      <c r="E28" s="159" t="str">
        <f>IF(inputPrYr!E36&gt;0,ROUND(+B28*E$45,0),"  ")</f>
        <v>  </v>
      </c>
      <c r="F28" s="159" t="str">
        <f>IF(inputPrYr!E36&gt;0,ROUND(+B28*F$47,0),"  ")</f>
        <v>  </v>
      </c>
      <c r="G28" s="159" t="str">
        <f>IF(inputPrYr!$E$36&gt;0,ROUND(+B28*G$49,0)," ")</f>
        <v> </v>
      </c>
      <c r="H28" s="128"/>
      <c r="I28" s="69"/>
    </row>
    <row r="29" spans="1:9" ht="15.75">
      <c r="A29" s="112" t="str">
        <f>IF((inputPrYr!$B37&gt;" "),(inputPrYr!$B37),"  ")</f>
        <v>  </v>
      </c>
      <c r="B29" s="159" t="str">
        <f>IF(inputPrYr!E37&gt;0,inputPrYr!E37,"  ")</f>
        <v>  </v>
      </c>
      <c r="C29" s="230" t="str">
        <f>IF(inputPrYr!F37&gt;0,(inputPrYr!F37),"  ")</f>
        <v>  </v>
      </c>
      <c r="D29" s="159" t="str">
        <f>IF(inputPrYr!E37&gt;0,ROUND(+B29*D$43,0),"  ")</f>
        <v>  </v>
      </c>
      <c r="E29" s="159" t="str">
        <f>IF(inputPrYr!E37&gt;0,ROUND(+B29*E$45,0),"  ")</f>
        <v>  </v>
      </c>
      <c r="F29" s="159" t="str">
        <f>IF(inputPrYr!E37&gt;0,ROUND(+B29*F$47,0),"  ")</f>
        <v>  </v>
      </c>
      <c r="G29" s="159" t="str">
        <f>IF(inputPrYr!$E$37&gt;0,ROUND(+B29*G$49,0)," ")</f>
        <v> </v>
      </c>
      <c r="H29" s="128"/>
      <c r="I29" s="69"/>
    </row>
    <row r="30" spans="1:9" ht="15.75">
      <c r="A30" s="112" t="str">
        <f>IF((inputPrYr!$B38&gt;" "),(inputPrYr!$B38),"  ")</f>
        <v>  </v>
      </c>
      <c r="B30" s="159" t="str">
        <f>IF(inputPrYr!E38&gt;0,inputPrYr!E38,"  ")</f>
        <v>  </v>
      </c>
      <c r="C30" s="230" t="str">
        <f>IF(inputPrYr!F38&gt;0,(inputPrYr!F38),"  ")</f>
        <v>  </v>
      </c>
      <c r="D30" s="159" t="str">
        <f>IF(inputPrYr!E38&gt;0,ROUND(+B30*D$43,0),"  ")</f>
        <v>  </v>
      </c>
      <c r="E30" s="159" t="str">
        <f>IF(inputPrYr!E38&gt;0,ROUND(+B30*E$45,0),"  ")</f>
        <v>  </v>
      </c>
      <c r="F30" s="159" t="str">
        <f>IF(inputPrYr!E38&gt;0,ROUND(+B30*F$47,0),"  ")</f>
        <v>  </v>
      </c>
      <c r="G30" s="159" t="str">
        <f>IF(inputPrYr!$E$38&gt;0,ROUND(+B30*G$49,0)," ")</f>
        <v> </v>
      </c>
      <c r="H30" s="128"/>
      <c r="I30" s="69"/>
    </row>
    <row r="31" spans="1:9" ht="15.75">
      <c r="A31" s="112" t="str">
        <f>IF((inputPrYr!$B39&gt;" "),(inputPrYr!$B39),"  ")</f>
        <v>  </v>
      </c>
      <c r="B31" s="159" t="str">
        <f>IF(inputPrYr!E39&gt;0,inputPrYr!E39,"  ")</f>
        <v>  </v>
      </c>
      <c r="C31" s="230" t="str">
        <f>IF(inputPrYr!F39&gt;0,(inputPrYr!F39),"  ")</f>
        <v>  </v>
      </c>
      <c r="D31" s="159" t="str">
        <f>IF(inputPrYr!E39&gt;0,ROUND(+B31*D$43,0),"  ")</f>
        <v>  </v>
      </c>
      <c r="E31" s="159" t="str">
        <f>IF(inputPrYr!E39&gt;0,ROUND(+B31*E$45,0),"  ")</f>
        <v>  </v>
      </c>
      <c r="F31" s="159" t="str">
        <f>IF(inputPrYr!E39&gt;0,ROUND(+B31*F$47,0),"  ")</f>
        <v>  </v>
      </c>
      <c r="G31" s="159" t="str">
        <f>IF(inputPrYr!$E$39&gt;0,ROUND(+B31*G$49,0)," ")</f>
        <v> </v>
      </c>
      <c r="H31" s="128"/>
      <c r="I31" s="69"/>
    </row>
    <row r="32" spans="1:9" ht="15.75">
      <c r="A32" s="112" t="str">
        <f>IF((inputPrYr!$B40&gt;" "),(inputPrYr!$B40),"  ")</f>
        <v>  </v>
      </c>
      <c r="B32" s="159" t="str">
        <f>IF(inputPrYr!E40&gt;0,inputPrYr!E40,"  ")</f>
        <v>  </v>
      </c>
      <c r="C32" s="230" t="str">
        <f>IF(inputPrYr!F40&gt;0,(inputPrYr!F40),"  ")</f>
        <v>  </v>
      </c>
      <c r="D32" s="159" t="str">
        <f>IF(inputPrYr!E40&gt;0,ROUND(+B32*D$43,0),"  ")</f>
        <v>  </v>
      </c>
      <c r="E32" s="159" t="str">
        <f>IF(inputPrYr!E40&gt;0,ROUND(+B32*E$45,0),"  ")</f>
        <v>  </v>
      </c>
      <c r="F32" s="159" t="str">
        <f>IF(inputPrYr!E40&gt;0,ROUND(+B32*F$47,0),"  ")</f>
        <v>  </v>
      </c>
      <c r="G32" s="159" t="str">
        <f>IF(inputPrYr!$E$40&gt;0,ROUND(+B32*G$49,0)," ")</f>
        <v> </v>
      </c>
      <c r="H32" s="128"/>
      <c r="I32" s="69"/>
    </row>
    <row r="33" spans="1:9" ht="21.75" customHeight="1" thickBot="1">
      <c r="A33" s="88" t="s">
        <v>468</v>
      </c>
      <c r="B33" s="231">
        <f aca="true" t="shared" si="0" ref="B33:G33">SUM(B8:B32)</f>
        <v>4097712</v>
      </c>
      <c r="C33" s="232">
        <f t="shared" si="0"/>
        <v>64.35</v>
      </c>
      <c r="D33" s="231">
        <f t="shared" si="0"/>
        <v>387245</v>
      </c>
      <c r="E33" s="231">
        <f t="shared" si="0"/>
        <v>10349</v>
      </c>
      <c r="F33" s="231">
        <f t="shared" si="0"/>
        <v>31316</v>
      </c>
      <c r="G33" s="231">
        <f t="shared" si="0"/>
        <v>0</v>
      </c>
      <c r="H33" s="128"/>
      <c r="I33" s="69"/>
    </row>
    <row r="34" spans="1:9" ht="16.5" thickTop="1">
      <c r="A34" s="69"/>
      <c r="B34" s="83"/>
      <c r="C34" s="83"/>
      <c r="D34" s="83"/>
      <c r="E34" s="83"/>
      <c r="F34" s="83"/>
      <c r="G34" s="83"/>
      <c r="H34" s="233"/>
      <c r="I34" s="69"/>
    </row>
    <row r="35" spans="1:9" ht="19.5" customHeight="1">
      <c r="A35" s="68" t="s">
        <v>844</v>
      </c>
      <c r="B35" s="234"/>
      <c r="C35" s="234"/>
      <c r="D35" s="235">
        <f>(inputOth!E14)</f>
        <v>387245</v>
      </c>
      <c r="E35" s="234"/>
      <c r="F35" s="83"/>
      <c r="G35" s="83"/>
      <c r="H35" s="233"/>
      <c r="I35" s="69"/>
    </row>
    <row r="36" spans="1:9" ht="15.75">
      <c r="A36" s="68"/>
      <c r="B36" s="234"/>
      <c r="C36" s="234"/>
      <c r="D36" s="236"/>
      <c r="E36" s="234"/>
      <c r="F36" s="83"/>
      <c r="G36" s="83"/>
      <c r="H36" s="233"/>
      <c r="I36" s="69"/>
    </row>
    <row r="37" spans="1:9" ht="19.5" customHeight="1">
      <c r="A37" s="68" t="s">
        <v>845</v>
      </c>
      <c r="B37" s="83"/>
      <c r="C37" s="83"/>
      <c r="D37" s="83"/>
      <c r="E37" s="235">
        <f>(inputOth!E15)</f>
        <v>10349</v>
      </c>
      <c r="F37" s="83"/>
      <c r="G37" s="83"/>
      <c r="H37" s="233"/>
      <c r="I37" s="69"/>
    </row>
    <row r="38" spans="1:9" ht="15.75">
      <c r="A38" s="68"/>
      <c r="B38" s="83"/>
      <c r="C38" s="83"/>
      <c r="D38" s="83"/>
      <c r="E38" s="236"/>
      <c r="F38" s="83"/>
      <c r="G38" s="83"/>
      <c r="H38" s="233"/>
      <c r="I38" s="69"/>
    </row>
    <row r="39" spans="1:9" ht="18.75" customHeight="1">
      <c r="A39" s="68" t="s">
        <v>532</v>
      </c>
      <c r="B39" s="83"/>
      <c r="C39" s="83"/>
      <c r="D39" s="83"/>
      <c r="E39" s="83"/>
      <c r="F39" s="235">
        <f>inputOth!E16</f>
        <v>31316</v>
      </c>
      <c r="G39" s="236"/>
      <c r="H39" s="233"/>
      <c r="I39" s="69"/>
    </row>
    <row r="40" spans="1:9" ht="15.75">
      <c r="A40" s="69"/>
      <c r="B40" s="83"/>
      <c r="C40" s="83"/>
      <c r="D40" s="83"/>
      <c r="E40" s="83"/>
      <c r="F40" s="83"/>
      <c r="G40" s="83"/>
      <c r="H40" s="233"/>
      <c r="I40" s="69"/>
    </row>
    <row r="41" spans="1:9" ht="19.5" customHeight="1">
      <c r="A41" s="69" t="s">
        <v>296</v>
      </c>
      <c r="B41" s="83"/>
      <c r="C41" s="83"/>
      <c r="D41" s="83"/>
      <c r="E41" s="83"/>
      <c r="F41" s="83"/>
      <c r="G41" s="237">
        <f>inputOth!E19</f>
        <v>0</v>
      </c>
      <c r="H41" s="233"/>
      <c r="I41" s="69"/>
    </row>
    <row r="42" spans="1:9" ht="15.75">
      <c r="A42" s="69"/>
      <c r="B42" s="83"/>
      <c r="C42" s="83"/>
      <c r="D42" s="83"/>
      <c r="E42" s="83"/>
      <c r="F42" s="83"/>
      <c r="G42" s="83"/>
      <c r="H42" s="233"/>
      <c r="I42" s="69"/>
    </row>
    <row r="43" spans="1:9" ht="20.25" customHeight="1">
      <c r="A43" s="68" t="s">
        <v>846</v>
      </c>
      <c r="B43" s="83"/>
      <c r="C43" s="83"/>
      <c r="D43" s="238">
        <f>IF(B33=0,0,D35/B33)</f>
        <v>0.09450273713721218</v>
      </c>
      <c r="E43" s="83"/>
      <c r="F43" s="83"/>
      <c r="G43" s="83"/>
      <c r="H43" s="233"/>
      <c r="I43" s="69"/>
    </row>
    <row r="44" spans="1:9" ht="15.75">
      <c r="A44" s="68"/>
      <c r="B44" s="83"/>
      <c r="C44" s="83"/>
      <c r="D44" s="239"/>
      <c r="E44" s="83"/>
      <c r="F44" s="83"/>
      <c r="G44" s="83"/>
      <c r="H44" s="233"/>
      <c r="I44" s="69"/>
    </row>
    <row r="45" spans="1:9" ht="19.5" customHeight="1">
      <c r="A45" s="68" t="s">
        <v>593</v>
      </c>
      <c r="B45" s="83"/>
      <c r="C45" s="83"/>
      <c r="D45" s="83"/>
      <c r="E45" s="238">
        <f>IF(B33=0,0,E37/B33)</f>
        <v>0.0025255557247556683</v>
      </c>
      <c r="F45" s="83"/>
      <c r="G45" s="83"/>
      <c r="H45" s="233"/>
      <c r="I45" s="69"/>
    </row>
    <row r="46" spans="1:9" ht="15.75">
      <c r="A46" s="68"/>
      <c r="B46" s="83"/>
      <c r="C46" s="83"/>
      <c r="D46" s="83"/>
      <c r="E46" s="239"/>
      <c r="F46" s="83"/>
      <c r="G46" s="83"/>
      <c r="H46" s="233"/>
      <c r="I46" s="69"/>
    </row>
    <row r="47" spans="1:9" ht="20.25" customHeight="1">
      <c r="A47" s="68" t="s">
        <v>592</v>
      </c>
      <c r="B47" s="83"/>
      <c r="C47" s="83"/>
      <c r="D47" s="83"/>
      <c r="E47" s="83"/>
      <c r="F47" s="238">
        <f>IF(F39=0,0,F39/B33)</f>
        <v>0.007642313564252441</v>
      </c>
      <c r="G47" s="239"/>
      <c r="H47" s="233"/>
      <c r="I47" s="69"/>
    </row>
    <row r="48" spans="1:9" s="126" customFormat="1" ht="15" customHeight="1">
      <c r="A48" s="128"/>
      <c r="B48" s="240"/>
      <c r="C48" s="240"/>
      <c r="D48" s="240"/>
      <c r="E48" s="240"/>
      <c r="F48" s="240"/>
      <c r="G48" s="240"/>
      <c r="H48" s="240"/>
      <c r="I48" s="69"/>
    </row>
    <row r="49" spans="1:9" s="126" customFormat="1" ht="18.75" customHeight="1">
      <c r="A49" s="128"/>
      <c r="B49" s="240"/>
      <c r="C49" s="240"/>
      <c r="D49" s="233" t="s">
        <v>297</v>
      </c>
      <c r="E49" s="233"/>
      <c r="F49" s="240"/>
      <c r="G49" s="238">
        <f>IF(G41=0,0,G41/B33)</f>
        <v>0</v>
      </c>
      <c r="H49" s="240"/>
      <c r="I49" s="69"/>
    </row>
    <row r="50" spans="1:9" s="126" customFormat="1" ht="15" customHeight="1">
      <c r="A50" s="128"/>
      <c r="B50" s="240"/>
      <c r="C50" s="240"/>
      <c r="D50" s="240"/>
      <c r="E50" s="240"/>
      <c r="F50" s="240"/>
      <c r="G50" s="240"/>
      <c r="H50" s="240"/>
      <c r="I50" s="69"/>
    </row>
    <row r="51" spans="1:9" s="203" customFormat="1" ht="15" customHeight="1">
      <c r="A51" s="128"/>
      <c r="B51" s="240"/>
      <c r="C51" s="240"/>
      <c r="D51" s="240"/>
      <c r="E51" s="240"/>
      <c r="F51" s="240"/>
      <c r="G51" s="240"/>
      <c r="H51" s="240"/>
      <c r="I51" s="83"/>
    </row>
    <row r="52" spans="1:8" s="126" customFormat="1" ht="15" customHeight="1">
      <c r="A52" s="48"/>
      <c r="B52" s="48"/>
      <c r="C52" s="48"/>
      <c r="D52" s="48"/>
      <c r="E52" s="48"/>
      <c r="F52" s="48"/>
      <c r="G52" s="48"/>
      <c r="H52" s="48"/>
    </row>
    <row r="53" spans="1:8" s="126" customFormat="1" ht="15" customHeight="1">
      <c r="A53" s="48"/>
      <c r="B53" s="48"/>
      <c r="C53" s="48"/>
      <c r="D53" s="48"/>
      <c r="E53" s="48"/>
      <c r="F53" s="48"/>
      <c r="G53" s="48"/>
      <c r="H53" s="48"/>
    </row>
    <row r="54" spans="1:8" s="126" customFormat="1" ht="15" customHeight="1">
      <c r="A54" s="48"/>
      <c r="B54" s="48"/>
      <c r="C54" s="48"/>
      <c r="D54" s="48"/>
      <c r="E54" s="48"/>
      <c r="F54" s="48"/>
      <c r="G54" s="48"/>
      <c r="H54" s="48"/>
    </row>
    <row r="55" spans="1:8" s="126" customFormat="1" ht="15" customHeight="1">
      <c r="A55" s="48"/>
      <c r="B55" s="48"/>
      <c r="C55" s="48"/>
      <c r="D55" s="48"/>
      <c r="E55" s="48"/>
      <c r="F55" s="48"/>
      <c r="G55" s="48"/>
      <c r="H55" s="48"/>
    </row>
    <row r="56" spans="1:8" s="126" customFormat="1" ht="15" customHeight="1">
      <c r="A56" s="48"/>
      <c r="B56" s="48"/>
      <c r="C56" s="48"/>
      <c r="D56" s="48"/>
      <c r="E56" s="48"/>
      <c r="F56" s="48"/>
      <c r="G56" s="48"/>
      <c r="H56" s="48"/>
    </row>
    <row r="57" spans="1:8" s="126" customFormat="1" ht="15" customHeight="1">
      <c r="A57" s="48"/>
      <c r="B57" s="48"/>
      <c r="C57" s="48"/>
      <c r="D57" s="48"/>
      <c r="E57" s="48"/>
      <c r="F57" s="48"/>
      <c r="G57" s="48"/>
      <c r="H57" s="48"/>
    </row>
    <row r="58" spans="1:8" s="126" customFormat="1" ht="15" customHeight="1">
      <c r="A58" s="48"/>
      <c r="B58" s="48"/>
      <c r="C58" s="48"/>
      <c r="D58" s="48"/>
      <c r="E58" s="48"/>
      <c r="F58" s="48"/>
      <c r="G58" s="48"/>
      <c r="H58" s="48"/>
    </row>
    <row r="59" spans="1:8" s="126" customFormat="1" ht="15" customHeight="1">
      <c r="A59" s="48"/>
      <c r="B59" s="48"/>
      <c r="C59" s="48"/>
      <c r="D59" s="48"/>
      <c r="E59" s="48"/>
      <c r="F59" s="48"/>
      <c r="G59" s="48"/>
      <c r="H59" s="48"/>
    </row>
    <row r="60" spans="1:8" s="126" customFormat="1" ht="15" customHeight="1">
      <c r="A60" s="48"/>
      <c r="B60" s="48"/>
      <c r="C60" s="48"/>
      <c r="D60" s="48"/>
      <c r="E60" s="48"/>
      <c r="F60" s="48"/>
      <c r="G60" s="48"/>
      <c r="H60" s="48"/>
    </row>
    <row r="61" spans="1:8" s="126" customFormat="1" ht="15" customHeight="1">
      <c r="A61" s="48"/>
      <c r="B61" s="48"/>
      <c r="C61" s="48"/>
      <c r="D61" s="48"/>
      <c r="E61" s="48"/>
      <c r="F61" s="48"/>
      <c r="G61" s="48"/>
      <c r="H61" s="48"/>
    </row>
    <row r="62" spans="1:8" s="126" customFormat="1" ht="15" customHeight="1">
      <c r="A62" s="48"/>
      <c r="B62" s="48"/>
      <c r="C62" s="48"/>
      <c r="D62" s="48"/>
      <c r="E62" s="48"/>
      <c r="F62" s="48"/>
      <c r="G62" s="48"/>
      <c r="H62" s="48"/>
    </row>
    <row r="63" spans="1:8" s="126" customFormat="1" ht="15" customHeight="1">
      <c r="A63" s="48"/>
      <c r="B63" s="48"/>
      <c r="C63" s="48"/>
      <c r="D63" s="48"/>
      <c r="E63" s="48"/>
      <c r="F63" s="48"/>
      <c r="G63" s="48"/>
      <c r="H63" s="48"/>
    </row>
    <row r="64" spans="1:8" s="126" customFormat="1" ht="15" customHeight="1">
      <c r="A64" s="48"/>
      <c r="B64" s="48"/>
      <c r="C64" s="48"/>
      <c r="D64" s="48"/>
      <c r="E64" s="48"/>
      <c r="F64" s="48"/>
      <c r="G64" s="48"/>
      <c r="H64" s="48"/>
    </row>
    <row r="65" spans="1:8" s="126" customFormat="1" ht="15" customHeight="1">
      <c r="A65" s="48"/>
      <c r="B65" s="48"/>
      <c r="C65" s="48"/>
      <c r="D65" s="48"/>
      <c r="E65" s="48"/>
      <c r="F65" s="48"/>
      <c r="G65" s="48"/>
      <c r="H65" s="48"/>
    </row>
  </sheetData>
  <sheetProtection sheet="1" objects="1" scenarios="1"/>
  <mergeCells count="4">
    <mergeCell ref="B6:B7"/>
    <mergeCell ref="C6:C7"/>
    <mergeCell ref="A3:H3"/>
    <mergeCell ref="D6:G6"/>
  </mergeCells>
  <printOptions/>
  <pageMargins left="2" right="0.5" top="0.72" bottom="0.23" header="0.5" footer="0"/>
  <pageSetup blackAndWhite="1" fitToHeight="1" fitToWidth="1" horizontalDpi="120" verticalDpi="120" orientation="landscape" scale="71" r:id="rId1"/>
  <headerFooter alignWithMargins="0">
    <oddHeader>&amp;RState of Kansas
County
</oddHeader>
    <oddFooter>&amp;CPage No. 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City Budget Form - Short</dc:title>
  <dc:subject/>
  <dc:creator>Barbara Butts</dc:creator>
  <cp:keywords/>
  <dc:description/>
  <cp:lastModifiedBy>Rbasinge</cp:lastModifiedBy>
  <cp:lastPrinted>2011-11-21T21:45:12Z</cp:lastPrinted>
  <dcterms:created xsi:type="dcterms:W3CDTF">1998-08-26T13:26:11Z</dcterms:created>
  <dcterms:modified xsi:type="dcterms:W3CDTF">2014-01-19T22:48:51Z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