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05" firstSheet="15" activeTab="23"/>
  </bookViews>
  <sheets>
    <sheet name="inputPrYr" sheetId="1" r:id="rId1"/>
    <sheet name="inputOth" sheetId="2" r:id="rId2"/>
    <sheet name="inputBudSum" sheetId="3" r:id="rId3"/>
    <sheet name="cert" sheetId="4" r:id="rId4"/>
    <sheet name="computation" sheetId="5" r:id="rId5"/>
    <sheet name="mvalloc" sheetId="6" r:id="rId6"/>
    <sheet name="transfers" sheetId="7" r:id="rId7"/>
    <sheet name="debt" sheetId="8" r:id="rId8"/>
    <sheet name="lpform" sheetId="9" r:id="rId9"/>
    <sheet name="general" sheetId="10" r:id="rId10"/>
    <sheet name="gen-detail" sheetId="11" r:id="rId11"/>
    <sheet name="DebtService" sheetId="12" r:id="rId12"/>
    <sheet name="road" sheetId="13" r:id="rId13"/>
    <sheet name="SpecBrdg-NW" sheetId="14" r:id="rId14"/>
    <sheet name="LawEnf-CoHealth" sheetId="15" r:id="rId15"/>
    <sheet name="Ambul-EmplBen" sheetId="16" r:id="rId16"/>
    <sheet name="Emgy911consol-E-911" sheetId="17" r:id="rId17"/>
    <sheet name="Refuse" sheetId="18" r:id="rId18"/>
    <sheet name="nonbudA" sheetId="19" r:id="rId19"/>
    <sheet name="nonbudB" sheetId="20" r:id="rId20"/>
    <sheet name="nonbudC" sheetId="21" r:id="rId21"/>
    <sheet name="nonbudD" sheetId="22" r:id="rId22"/>
    <sheet name="summ" sheetId="23" r:id="rId23"/>
    <sheet name="Sign Cert" sheetId="24" r:id="rId24"/>
    <sheet name="ProofPub" sheetId="25" r:id="rId25"/>
    <sheet name="AdptRes" sheetId="26" r:id="rId26"/>
  </sheets>
  <definedNames>
    <definedName name="_xlnm.Print_Area" localSheetId="15">'Ambul-EmplBen'!$A$1:$E$80</definedName>
    <definedName name="_xlnm.Print_Area" localSheetId="11">'DebtService'!$B$1:$E$63</definedName>
    <definedName name="_xlnm.Print_Area" localSheetId="9">'general'!$A$1:$E$133</definedName>
    <definedName name="_xlnm.Print_Area" localSheetId="0">'inputPrYr'!$A$1:$F$90</definedName>
    <definedName name="_xlnm.Print_Area" localSheetId="14">'LawEnf-CoHealth'!$A$1:$E$82</definedName>
    <definedName name="_xlnm.Print_Area" localSheetId="12">'road'!$B$1:$E$53</definedName>
    <definedName name="_xlnm.Print_Area" localSheetId="13">'SpecBrdg-NW'!$A$1:$E$79</definedName>
    <definedName name="_xlnm.Print_Area" localSheetId="22">'summ'!$A$1:$H$55</definedName>
  </definedNames>
  <calcPr fullCalcOnLoad="1"/>
</workbook>
</file>

<file path=xl/sharedStrings.xml><?xml version="1.0" encoding="utf-8"?>
<sst xmlns="http://schemas.openxmlformats.org/spreadsheetml/2006/main" count="1173" uniqueCount="440">
  <si>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</si>
  <si>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</si>
  <si>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</si>
  <si>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</si>
  <si>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</si>
  <si>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</si>
  <si>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</si>
  <si>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</si>
  <si>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County Equalization</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</si>
  <si>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</si>
  <si>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</si>
  <si>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</si>
  <si>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</si>
  <si>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</si>
  <si>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</si>
  <si>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</si>
  <si>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</si>
  <si>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</si>
  <si>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</si>
  <si>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</si>
  <si>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</si>
  <si>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</si>
  <si>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</si>
  <si>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</si>
  <si>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</si>
  <si>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</si>
  <si>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</si>
  <si>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</si>
  <si>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Budget Summary</t>
  </si>
  <si>
    <t>xxxxx</t>
  </si>
  <si>
    <t>Resolution</t>
  </si>
  <si>
    <t>Is a Resolution required?</t>
  </si>
  <si>
    <t>Note:  All amounts are to be entered in as whole numbers only.</t>
  </si>
  <si>
    <t>**</t>
  </si>
  <si>
    <t>**Note: These two block figures should agree.</t>
  </si>
  <si>
    <t>Allocation Veh Taxes, Slider &amp; Neigh Revital</t>
  </si>
  <si>
    <t>County Treasurers Slider Estimate</t>
  </si>
  <si>
    <t>Slider Factor</t>
  </si>
  <si>
    <t>Funds</t>
  </si>
  <si>
    <t xml:space="preserve">expenditure amounts should reflect the amended </t>
  </si>
  <si>
    <t>expenditure amounts.</t>
  </si>
  <si>
    <t xml:space="preserve">Tax Levy Rate </t>
  </si>
  <si>
    <t>Allocation of Motor, Recreational, 16/20M Vehicle Taxes &amp; Slider</t>
  </si>
  <si>
    <t>Miscellaneous</t>
  </si>
  <si>
    <t>Does miscellaneous exceed 10% of Total Receipts</t>
  </si>
  <si>
    <t>Neighborhood Revitalization Rebate</t>
  </si>
  <si>
    <t>Does miscellaneous exceed 10% of Total Expenditure</t>
  </si>
  <si>
    <t>Cash Balance Jan 1</t>
  </si>
  <si>
    <t>***If you are merely leasing/renting with no intent to purchase, do not list--such transactions are not lease-purchases.</t>
  </si>
  <si>
    <t xml:space="preserve">Ad Valorem Tax </t>
  </si>
  <si>
    <t>Budget Summary Page</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</si>
  <si>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</si>
  <si>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</si>
  <si>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</si>
  <si>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</si>
  <si>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</si>
  <si>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</si>
  <si>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</si>
  <si>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</si>
  <si>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</si>
  <si>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</si>
  <si>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</si>
  <si>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</si>
  <si>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</si>
  <si>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</si>
  <si>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</si>
  <si>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</si>
  <si>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</si>
  <si>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</si>
  <si>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</si>
  <si>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</si>
  <si>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</si>
  <si>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</si>
  <si>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</si>
  <si>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</si>
  <si>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</si>
  <si>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</si>
  <si>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</si>
  <si>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</si>
  <si>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</si>
  <si>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District Court</t>
  </si>
  <si>
    <t>Juvenile Detention</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</si>
  <si>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</si>
  <si>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</si>
  <si>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</si>
  <si>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</si>
  <si>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</si>
  <si>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</si>
  <si>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</si>
  <si>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</si>
  <si>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</si>
  <si>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</si>
  <si>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</si>
  <si>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</si>
  <si>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</si>
  <si>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</si>
  <si>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</si>
  <si>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</si>
  <si>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</si>
  <si>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</si>
  <si>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</si>
  <si>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</si>
  <si>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</si>
  <si>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</si>
  <si>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Ambulance</t>
  </si>
  <si>
    <t>County Attorney/Counselor</t>
  </si>
  <si>
    <t>County Commission</t>
  </si>
  <si>
    <t>County Treasurer</t>
  </si>
  <si>
    <t>Debt Service</t>
  </si>
  <si>
    <t>Economic Development</t>
  </si>
  <si>
    <t>Election</t>
  </si>
  <si>
    <t>Employee Benefits</t>
  </si>
  <si>
    <t>Law Enforcement</t>
  </si>
  <si>
    <t>Register of Deeds</t>
  </si>
  <si>
    <t>Road &amp; Bridge</t>
  </si>
  <si>
    <t>Services for the Aged</t>
  </si>
  <si>
    <t>Soil Conservation</t>
  </si>
  <si>
    <t>Other</t>
  </si>
  <si>
    <t>Page No.</t>
  </si>
  <si>
    <t>Prior Year Actual</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</si>
  <si>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</si>
  <si>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</si>
  <si>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</si>
  <si>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</si>
  <si>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</si>
  <si>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</si>
  <si>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</si>
  <si>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</si>
  <si>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</si>
  <si>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</si>
  <si>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</si>
  <si>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</si>
  <si>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</si>
  <si>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</si>
  <si>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</si>
  <si>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</si>
  <si>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</si>
  <si>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</si>
  <si>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</si>
  <si>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</si>
  <si>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</si>
  <si>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</si>
  <si>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</si>
  <si>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</si>
  <si>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</si>
  <si>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</si>
  <si>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</si>
  <si>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</si>
  <si>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</si>
  <si>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</si>
  <si>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</si>
  <si>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</si>
  <si>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</si>
  <si>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</si>
  <si>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</si>
  <si>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</si>
  <si>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</si>
  <si>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</si>
  <si>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</si>
  <si>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 M Vehicle Tax</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</si>
  <si>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</si>
  <si>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</si>
  <si>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</si>
  <si>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</si>
  <si>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</si>
  <si>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</si>
  <si>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</si>
  <si>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</si>
  <si>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</si>
  <si>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</si>
  <si>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</si>
  <si>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</si>
  <si>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</si>
  <si>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</si>
  <si>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</si>
  <si>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</si>
  <si>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</si>
  <si>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</si>
  <si>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</si>
  <si>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</si>
  <si>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</si>
  <si>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</si>
  <si>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</si>
  <si>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</si>
  <si>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</si>
  <si>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</si>
  <si>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</si>
  <si>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</si>
  <si>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</si>
  <si>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</si>
  <si>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</si>
  <si>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</si>
  <si>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</si>
  <si>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</si>
  <si>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</si>
  <si>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</si>
  <si>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</si>
  <si>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</si>
  <si>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</si>
  <si>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</si>
  <si>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</si>
  <si>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</si>
  <si>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</si>
  <si>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</si>
  <si>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</si>
  <si>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</si>
  <si>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</si>
  <si>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</si>
  <si>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</si>
  <si>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</si>
  <si>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</si>
  <si>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</si>
  <si>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</si>
  <si>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</si>
  <si>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</si>
  <si>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</si>
  <si>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</si>
  <si>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</si>
  <si>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</si>
  <si>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</si>
  <si>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</si>
  <si>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</si>
  <si>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Page 7e</t>
  </si>
  <si>
    <t xml:space="preserve">                                                                          16/20M Vehicle Factor</t>
  </si>
  <si>
    <t xml:space="preserve">                                         Recreational Vehicle Factor</t>
  </si>
  <si>
    <t>Current</t>
  </si>
  <si>
    <t>Proposed</t>
  </si>
  <si>
    <t>Total - Page 7b</t>
  </si>
  <si>
    <t>Total - Page7c</t>
  </si>
  <si>
    <t>Total - Page7d</t>
  </si>
  <si>
    <t>Total - Page7b</t>
  </si>
  <si>
    <t>Total - Page 7c</t>
  </si>
  <si>
    <t>County Clerk's Use Only</t>
  </si>
  <si>
    <t>Address:</t>
  </si>
  <si>
    <t>Input sheet for County1 budget form</t>
  </si>
  <si>
    <t>Enter County Name followed by 'County'</t>
  </si>
  <si>
    <t>Enter year being budgeted (YYYY)</t>
  </si>
  <si>
    <t>Information comes from the Certificate, Page No. 1</t>
  </si>
  <si>
    <t>Fund Names for all funds with a tax levy:</t>
  </si>
  <si>
    <t>10-113</t>
  </si>
  <si>
    <t>Current Year Estimate</t>
  </si>
  <si>
    <t>Proposed Budget Year</t>
  </si>
  <si>
    <t>In Lieu of Tax (IRB)</t>
  </si>
  <si>
    <t>Neighborhood Revitalization</t>
  </si>
  <si>
    <t>LAVTR</t>
  </si>
  <si>
    <t>City and County Revenue Sharing</t>
  </si>
  <si>
    <t>Slider</t>
  </si>
  <si>
    <t>Computation of Delinquency</t>
  </si>
  <si>
    <t>Rate used in this budget will be shown on all fund pages with a tax levy**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</si>
  <si>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</si>
  <si>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</si>
  <si>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</si>
  <si>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</si>
  <si>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</si>
  <si>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</si>
  <si>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</si>
  <si>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</si>
  <si>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</si>
  <si>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</si>
  <si>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</si>
  <si>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</si>
  <si>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</si>
  <si>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</si>
  <si>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</si>
  <si>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</si>
  <si>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</si>
  <si>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</si>
  <si>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</si>
  <si>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</si>
  <si>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</si>
  <si>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</si>
  <si>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answering objections of taxpayers relating to the proposed use of all funds and the amount of ad valorem tax.</t>
  </si>
  <si>
    <r>
      <t>Adjustments</t>
    </r>
    <r>
      <rPr>
        <sz val="12"/>
        <color indexed="10"/>
        <rFont val="Times New Roman"/>
        <family val="1"/>
      </rPr>
      <t>*</t>
    </r>
  </si>
  <si>
    <t>*Note:</t>
  </si>
  <si>
    <t>Expenditure</t>
  </si>
  <si>
    <t>Receipt</t>
  </si>
  <si>
    <t xml:space="preserve">Fund Transferred </t>
  </si>
  <si>
    <t>Fund Transferred</t>
  </si>
  <si>
    <t>in the appropriate locations.  If any of the numbers are wrong, change them on this input sheet.</t>
  </si>
  <si>
    <t xml:space="preserve">Enter the following information from the sources shown.  This information will be  entered on the budget forms </t>
  </si>
  <si>
    <t>Budget Authority</t>
  </si>
  <si>
    <t>for Expenditures</t>
  </si>
  <si>
    <t>Compensating Use Tax</t>
  </si>
  <si>
    <t>Local Sales Tax</t>
  </si>
  <si>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</si>
  <si>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</si>
  <si>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</si>
  <si>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</si>
  <si>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</si>
  <si>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</si>
  <si>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</si>
  <si>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</si>
  <si>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Change in Ad Valorem Tax Revenue:</t>
  </si>
  <si>
    <t>What Mill Rate Would Be Desired?</t>
  </si>
  <si>
    <t>and hearing held.</t>
  </si>
  <si>
    <t xml:space="preserve">Must be at least 10 days between date published </t>
  </si>
  <si>
    <t>LINCOLN COUNTY</t>
  </si>
  <si>
    <t>Special Bridge</t>
  </si>
  <si>
    <t>Noxious Weed</t>
  </si>
  <si>
    <t>County Health</t>
  </si>
  <si>
    <t>68-1135</t>
  </si>
  <si>
    <t>2-1318</t>
  </si>
  <si>
    <t>12-11a01</t>
  </si>
  <si>
    <t>65-204</t>
  </si>
  <si>
    <t>65-6113</t>
  </si>
  <si>
    <t>12-16,102</t>
  </si>
  <si>
    <t>Refuse</t>
  </si>
  <si>
    <t>Special  Machinery</t>
  </si>
  <si>
    <t>Special  Highway Imprv.</t>
  </si>
  <si>
    <t>Ambulance C.O.</t>
  </si>
  <si>
    <t>Capital Imprv.</t>
  </si>
  <si>
    <t>County Health C.O.</t>
  </si>
  <si>
    <t>Home for Aged Imprv.</t>
  </si>
  <si>
    <t>Noxious Weed C.O.</t>
  </si>
  <si>
    <t>Reappraisal C.O.</t>
  </si>
  <si>
    <t>Register of Deeds-Technology</t>
  </si>
  <si>
    <t>Windpower Econ. Benefit</t>
  </si>
  <si>
    <t>Windpower Interest Earned</t>
  </si>
  <si>
    <t>Treasurer's Motor Vehicle</t>
  </si>
  <si>
    <t>Motor Vehicle C.O.</t>
  </si>
  <si>
    <t>Ambulance Memorial</t>
  </si>
  <si>
    <t>County Health Memorial</t>
  </si>
  <si>
    <t>Delia Pittard Bequest</t>
  </si>
  <si>
    <t>Children's Health Care Endow.</t>
  </si>
  <si>
    <t>August 22, 2011</t>
  </si>
  <si>
    <t>Commissioner's Room</t>
  </si>
  <si>
    <t>Clerk's Office</t>
  </si>
  <si>
    <t>Pitney Bowes Postage Machine</t>
  </si>
  <si>
    <t>1998 Freightliner Rescue Truck</t>
  </si>
  <si>
    <t>Lincoln County Hospital Imprv.</t>
  </si>
  <si>
    <t>4.375-5.5</t>
  </si>
  <si>
    <t>Interest &amp; Chgs. On Delinquent Taxes</t>
  </si>
  <si>
    <t>Mortgage Reg. Fees</t>
  </si>
  <si>
    <t>Officer's Fees</t>
  </si>
  <si>
    <t>Transfer from Reappraisal C.O.</t>
  </si>
  <si>
    <t>Transfer from Treasurer's Motor Vehicle</t>
  </si>
  <si>
    <t>Sheriff</t>
  </si>
  <si>
    <t>Courthouse ( General Expense )</t>
  </si>
  <si>
    <t>Occupation Center of Kansas</t>
  </si>
  <si>
    <t>Area Agency for Aging-Sr. Care Act</t>
  </si>
  <si>
    <t xml:space="preserve">  Match</t>
  </si>
  <si>
    <t>Abandoned Cemeteries</t>
  </si>
  <si>
    <t>Safety Center</t>
  </si>
  <si>
    <t>Liability Insurance</t>
  </si>
  <si>
    <t>County Fair</t>
  </si>
  <si>
    <t xml:space="preserve">  Appropriations</t>
  </si>
  <si>
    <t>Bus</t>
  </si>
  <si>
    <t>Recycling Center</t>
  </si>
  <si>
    <t>Rescue Squad</t>
  </si>
  <si>
    <t xml:space="preserve">  Reimbursements</t>
  </si>
  <si>
    <t>Capital Improvement</t>
  </si>
  <si>
    <t xml:space="preserve">  Transfer to Capital Imprv. Fund</t>
  </si>
  <si>
    <t>Sylvan TE Grant</t>
  </si>
  <si>
    <t xml:space="preserve">  Grant</t>
  </si>
  <si>
    <t>CASA</t>
  </si>
  <si>
    <t>Emergency Preparedness</t>
  </si>
  <si>
    <t>Special Reappraisal</t>
  </si>
  <si>
    <t>Special Building</t>
  </si>
  <si>
    <t xml:space="preserve">  Building Construction &amp; Maint.</t>
  </si>
  <si>
    <t>Communications</t>
  </si>
  <si>
    <t xml:space="preserve">  Regional Planning</t>
  </si>
  <si>
    <t xml:space="preserve">Historical Society </t>
  </si>
  <si>
    <t>Special Alcohol &amp; Drug</t>
  </si>
  <si>
    <t>Nursing Home</t>
  </si>
  <si>
    <t>Hospital Maintenance</t>
  </si>
  <si>
    <t xml:space="preserve">  Hospital Maintenance</t>
  </si>
  <si>
    <t>Promotion &amp; Advertising</t>
  </si>
  <si>
    <t>Computer Contract</t>
  </si>
  <si>
    <t xml:space="preserve">  Computer Contract</t>
  </si>
  <si>
    <t>LEP Program</t>
  </si>
  <si>
    <t>Post Rock Recreation Dept.</t>
  </si>
  <si>
    <t xml:space="preserve">  Appropriation to City of Lincoln</t>
  </si>
  <si>
    <t>Reimbursements</t>
  </si>
  <si>
    <t>In Lieu of Tax</t>
  </si>
  <si>
    <t xml:space="preserve">  Office Building</t>
  </si>
  <si>
    <t xml:space="preserve">  Bridge Construction</t>
  </si>
  <si>
    <t>Chemical Sales</t>
  </si>
  <si>
    <t>Transfer from Noxoious Weed C.O.</t>
  </si>
  <si>
    <t>Transfer from Childrens Health Care Endow.</t>
  </si>
  <si>
    <t>Transfer from Co. Health C.O.</t>
  </si>
  <si>
    <t>Reimbursements &amp; Grants</t>
  </si>
  <si>
    <t xml:space="preserve">Reimbursements </t>
  </si>
  <si>
    <t>Ambulance Runs</t>
  </si>
  <si>
    <t xml:space="preserve">  Social Security</t>
  </si>
  <si>
    <t xml:space="preserve">  U.E.</t>
  </si>
  <si>
    <t xml:space="preserve">  KPERS</t>
  </si>
  <si>
    <t xml:space="preserve">  Workman's Comp</t>
  </si>
  <si>
    <t xml:space="preserve">  Medical Insurance</t>
  </si>
  <si>
    <t xml:space="preserve">  Group Life Insurance</t>
  </si>
  <si>
    <t>911 Fees</t>
  </si>
  <si>
    <t>User Fees</t>
  </si>
  <si>
    <t>Tax Receipts</t>
  </si>
  <si>
    <t>Trfs. From R &amp; B</t>
  </si>
  <si>
    <t>Capital Outlay</t>
  </si>
  <si>
    <t>Trfs. From Ambulance</t>
  </si>
  <si>
    <t>Trfs. From Co. General</t>
  </si>
  <si>
    <t>Capital Improvements</t>
  </si>
  <si>
    <t>Other Licenses &amp; Fees</t>
  </si>
  <si>
    <t>Lease Proceeds</t>
  </si>
  <si>
    <t xml:space="preserve">  Transfer to C.O.</t>
  </si>
  <si>
    <t>Trfs. To Co. Health</t>
  </si>
  <si>
    <t>Rental Fees</t>
  </si>
  <si>
    <t>Misc. &amp; Reimb.</t>
  </si>
  <si>
    <t>Trfs. To Nox. Weed</t>
  </si>
  <si>
    <t>Trfs. To Gen. Fund-</t>
  </si>
  <si>
    <t xml:space="preserve">     Reappraisal</t>
  </si>
  <si>
    <t>Fees</t>
  </si>
  <si>
    <t>Interest  Earned</t>
  </si>
  <si>
    <t>Salaries</t>
  </si>
  <si>
    <t>Contractual</t>
  </si>
  <si>
    <t>Trfs. To Co. Gen.</t>
  </si>
  <si>
    <t>Donations</t>
  </si>
  <si>
    <t>Expenses</t>
  </si>
  <si>
    <t>Interest Earned</t>
  </si>
  <si>
    <t>Trfs. To Children's</t>
  </si>
  <si>
    <t xml:space="preserve">  Health Care Endow.</t>
  </si>
  <si>
    <t>Trfs. From Delia Pittard</t>
  </si>
  <si>
    <t xml:space="preserve">    Bequest</t>
  </si>
  <si>
    <t>Trfs. To County  Health</t>
  </si>
  <si>
    <t>Other Fees &amp; Reimbursements</t>
  </si>
  <si>
    <t>Budget</t>
  </si>
  <si>
    <t>Credit</t>
  </si>
  <si>
    <t>Authorized</t>
  </si>
  <si>
    <t>Treas. Motor Vehicle</t>
  </si>
  <si>
    <t>K.S.A. 8-145</t>
  </si>
  <si>
    <t>County General</t>
  </si>
  <si>
    <t>Capital Impr. Fund</t>
  </si>
  <si>
    <t>K.S.A. 19-120</t>
  </si>
  <si>
    <t>K.S.A. 12-110(d)</t>
  </si>
  <si>
    <t xml:space="preserve">  Narrow Banding</t>
  </si>
  <si>
    <t xml:space="preserve">  Courthouse Mowing</t>
  </si>
  <si>
    <t>2008 Mack Truck</t>
  </si>
  <si>
    <t>E-911</t>
  </si>
  <si>
    <t>Emergency 911-Consolidated</t>
  </si>
  <si>
    <t>10:15 A.M.</t>
  </si>
  <si>
    <t>Lindburg, Vogel, Pierce, Faris,</t>
  </si>
  <si>
    <t>Chartered</t>
  </si>
  <si>
    <t>2301 N. Halstead</t>
  </si>
  <si>
    <t>Hutchinson, Kansas 67502</t>
  </si>
  <si>
    <t>2- J.D. Motorgraders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</si>
</sst>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10"/>
      <name val="Times New Roman"/>
      <family val="1"/>
    </font>
    <font>
      <b/>
      <sz val="10"/>
      <name val="Times New Roman"/>
      <family val="1"/>
    </font>
    <font>
      <sz val="10"/>
      <name val="Courier"/>
      <family val="3"/>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sz val="12"/>
      <color indexed="10"/>
      <name val="Courier"/>
      <family val="3"/>
    </font>
    <font>
      <i/>
      <sz val="12"/>
      <name val="Times New Roman"/>
      <family val="1"/>
    </font>
    <font>
      <b/>
      <sz val="12"/>
      <color indexed="10"/>
      <name val="Times New Roman"/>
      <family val="1"/>
    </font>
    <font>
      <b/>
      <u val="single"/>
      <sz val="8"/>
      <color indexed="10"/>
      <name val="Times New Roman"/>
      <family val="1"/>
    </font>
    <font>
      <u val="single"/>
      <sz val="12"/>
      <color indexed="12"/>
      <name val="Courier"/>
      <family val="3"/>
    </font>
    <font>
      <b/>
      <u val="single"/>
      <sz val="8"/>
      <name val="Times New Roman"/>
      <family val="1"/>
    </font>
    <font>
      <b/>
      <u val="single"/>
      <sz val="10"/>
      <name val="Courier"/>
      <family val="3"/>
    </font>
    <font>
      <sz val="10"/>
      <color indexed="10"/>
      <name val="Times New Roman"/>
      <family val="1"/>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double"/>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s>
  <cellStyleXfs count="4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43">
    <xf numFmtId="0" fontId="0" fillId="0" borderId="0" xfId="0" applyAlignment="1">
      <alignment/>
    </xf>
    <xf numFmtId="0" fontId="4" fillId="0" borderId="0" xfId="0" applyFont="1" applyAlignment="1">
      <alignment/>
    </xf>
    <xf numFmtId="37" fontId="4" fillId="33" borderId="10" xfId="0" applyNumberFormat="1" applyFont="1" applyFill="1" applyBorder="1" applyAlignment="1" applyProtection="1">
      <alignment horizontal="center"/>
      <protection/>
    </xf>
    <xf numFmtId="37" fontId="4" fillId="33" borderId="0" xfId="0" applyNumberFormat="1" applyFont="1" applyFill="1" applyAlignment="1" applyProtection="1">
      <alignment horizontal="right"/>
      <protection/>
    </xf>
    <xf numFmtId="0" fontId="4" fillId="33" borderId="0" xfId="0" applyFont="1" applyFill="1" applyAlignment="1" applyProtection="1">
      <alignment/>
      <protection/>
    </xf>
    <xf numFmtId="37" fontId="4" fillId="33" borderId="0" xfId="0" applyNumberFormat="1" applyFont="1" applyFill="1" applyAlignment="1" applyProtection="1">
      <alignment horizontal="left"/>
      <protection/>
    </xf>
    <xf numFmtId="37" fontId="4" fillId="33" borderId="0" xfId="0" applyNumberFormat="1" applyFont="1" applyFill="1" applyAlignment="1" applyProtection="1">
      <alignment horizontal="centerContinuous"/>
      <protection/>
    </xf>
    <xf numFmtId="0" fontId="4" fillId="33" borderId="0" xfId="0" applyFont="1" applyFill="1" applyAlignment="1" applyProtection="1">
      <alignment horizontal="centerContinuous"/>
      <protection/>
    </xf>
    <xf numFmtId="37" fontId="4" fillId="33" borderId="11" xfId="0" applyNumberFormat="1" applyFont="1" applyFill="1" applyBorder="1" applyAlignment="1" applyProtection="1">
      <alignment horizontal="center"/>
      <protection/>
    </xf>
    <xf numFmtId="37" fontId="4" fillId="33" borderId="12" xfId="0" applyNumberFormat="1" applyFont="1" applyFill="1" applyBorder="1" applyAlignment="1" applyProtection="1">
      <alignment horizontal="left"/>
      <protection/>
    </xf>
    <xf numFmtId="37" fontId="4" fillId="33" borderId="12" xfId="0" applyNumberFormat="1" applyFont="1" applyFill="1" applyBorder="1" applyAlignment="1" applyProtection="1">
      <alignment/>
      <protection/>
    </xf>
    <xf numFmtId="37" fontId="4" fillId="33" borderId="0" xfId="0" applyNumberFormat="1" applyFont="1" applyFill="1" applyAlignment="1" applyProtection="1">
      <alignment/>
      <protection/>
    </xf>
    <xf numFmtId="0" fontId="4" fillId="33" borderId="0" xfId="0" applyFont="1" applyFill="1" applyAlignment="1">
      <alignment/>
    </xf>
    <xf numFmtId="0" fontId="4" fillId="33" borderId="0" xfId="0" applyFont="1" applyFill="1" applyAlignment="1" applyProtection="1">
      <alignment horizontal="center"/>
      <protection/>
    </xf>
    <xf numFmtId="0" fontId="4" fillId="33" borderId="13" xfId="0" applyFont="1" applyFill="1" applyBorder="1" applyAlignment="1">
      <alignment/>
    </xf>
    <xf numFmtId="37" fontId="4" fillId="33" borderId="0" xfId="0" applyNumberFormat="1" applyFont="1" applyFill="1" applyBorder="1" applyAlignment="1" applyProtection="1">
      <alignment horizontal="left"/>
      <protection/>
    </xf>
    <xf numFmtId="0" fontId="4" fillId="33" borderId="0" xfId="0" applyFont="1" applyFill="1" applyAlignment="1">
      <alignment horizontal="center"/>
    </xf>
    <xf numFmtId="37" fontId="4" fillId="33" borderId="12" xfId="0" applyNumberFormat="1" applyFont="1" applyFill="1" applyBorder="1" applyAlignment="1" applyProtection="1">
      <alignment horizontal="center"/>
      <protection/>
    </xf>
    <xf numFmtId="177" fontId="4" fillId="33" borderId="12" xfId="0" applyNumberFormat="1" applyFont="1" applyFill="1" applyBorder="1" applyAlignment="1" applyProtection="1">
      <alignment horizontal="center"/>
      <protection/>
    </xf>
    <xf numFmtId="37" fontId="4" fillId="34" borderId="14" xfId="0" applyNumberFormat="1" applyFont="1" applyFill="1" applyBorder="1" applyAlignment="1" applyProtection="1">
      <alignment horizontal="center"/>
      <protection/>
    </xf>
    <xf numFmtId="177" fontId="4" fillId="34" borderId="14" xfId="0" applyNumberFormat="1" applyFont="1" applyFill="1" applyBorder="1" applyAlignment="1" applyProtection="1">
      <alignment horizontal="center"/>
      <protection/>
    </xf>
    <xf numFmtId="166" fontId="4" fillId="33" borderId="0" xfId="0" applyNumberFormat="1" applyFont="1" applyFill="1" applyAlignment="1" applyProtection="1">
      <alignment horizontal="center"/>
      <protection/>
    </xf>
    <xf numFmtId="37" fontId="4" fillId="33" borderId="15" xfId="0" applyNumberFormat="1" applyFont="1" applyFill="1" applyBorder="1" applyAlignment="1" applyProtection="1">
      <alignment horizontal="center"/>
      <protection/>
    </xf>
    <xf numFmtId="37" fontId="4" fillId="33" borderId="0" xfId="0" applyNumberFormat="1" applyFont="1" applyFill="1" applyBorder="1" applyAlignment="1" applyProtection="1">
      <alignment horizontal="center"/>
      <protection/>
    </xf>
    <xf numFmtId="165" fontId="4" fillId="34" borderId="15" xfId="0" applyNumberFormat="1" applyFont="1" applyFill="1" applyBorder="1" applyAlignment="1" applyProtection="1">
      <alignment horizontal="center"/>
      <protection/>
    </xf>
    <xf numFmtId="165" fontId="4" fillId="33" borderId="0" xfId="0" applyNumberFormat="1" applyFont="1" applyFill="1" applyBorder="1" applyAlignment="1" applyProtection="1">
      <alignment horizontal="center"/>
      <protection/>
    </xf>
    <xf numFmtId="3" fontId="4" fillId="33" borderId="15" xfId="0" applyNumberFormat="1" applyFont="1" applyFill="1" applyBorder="1" applyAlignment="1" applyProtection="1">
      <alignment horizontal="center"/>
      <protection/>
    </xf>
    <xf numFmtId="0" fontId="4" fillId="33" borderId="0" xfId="0" applyFont="1" applyFill="1" applyAlignment="1">
      <alignment horizontal="left"/>
    </xf>
    <xf numFmtId="37" fontId="5" fillId="33" borderId="0" xfId="0" applyNumberFormat="1" applyFont="1" applyFill="1" applyAlignment="1" applyProtection="1">
      <alignment horizontal="center"/>
      <protection/>
    </xf>
    <xf numFmtId="0" fontId="0" fillId="33" borderId="0" xfId="0" applyFill="1" applyAlignment="1">
      <alignment/>
    </xf>
    <xf numFmtId="0" fontId="0" fillId="33" borderId="0" xfId="0" applyFill="1" applyAlignment="1">
      <alignment/>
    </xf>
    <xf numFmtId="177" fontId="4" fillId="33" borderId="0" xfId="0" applyNumberFormat="1" applyFont="1" applyFill="1" applyBorder="1" applyAlignment="1" applyProtection="1">
      <alignment horizontal="center"/>
      <protection/>
    </xf>
    <xf numFmtId="0" fontId="4" fillId="0" borderId="0" xfId="0" applyFont="1" applyAlignment="1">
      <alignment vertical="center"/>
    </xf>
    <xf numFmtId="0" fontId="4" fillId="35" borderId="0" xfId="0" applyFont="1" applyFill="1" applyAlignment="1">
      <alignment vertical="center"/>
    </xf>
    <xf numFmtId="37" fontId="4" fillId="33" borderId="0" xfId="0" applyNumberFormat="1" applyFont="1" applyFill="1" applyAlignment="1" applyProtection="1">
      <alignment horizontal="left" vertical="center"/>
      <protection/>
    </xf>
    <xf numFmtId="0" fontId="4" fillId="33" borderId="0" xfId="0" applyFont="1" applyFill="1" applyAlignment="1" applyProtection="1">
      <alignment vertical="center"/>
      <protection/>
    </xf>
    <xf numFmtId="0" fontId="4" fillId="36" borderId="15" xfId="0" applyFont="1" applyFill="1" applyBorder="1" applyAlignment="1" applyProtection="1">
      <alignment vertical="center"/>
      <protection/>
    </xf>
    <xf numFmtId="37" fontId="4" fillId="36" borderId="15" xfId="0" applyNumberFormat="1" applyFont="1" applyFill="1" applyBorder="1" applyAlignment="1" applyProtection="1">
      <alignment horizontal="left" vertical="center"/>
      <protection locked="0"/>
    </xf>
    <xf numFmtId="0" fontId="4" fillId="33" borderId="0" xfId="0" applyFont="1" applyFill="1" applyBorder="1" applyAlignment="1" applyProtection="1">
      <alignment vertical="center"/>
      <protection/>
    </xf>
    <xf numFmtId="37" fontId="4" fillId="33" borderId="0" xfId="0" applyNumberFormat="1" applyFont="1" applyFill="1" applyBorder="1" applyAlignment="1" applyProtection="1">
      <alignment horizontal="left" vertical="center"/>
      <protection locked="0"/>
    </xf>
    <xf numFmtId="0" fontId="5" fillId="36" borderId="12" xfId="0" applyFont="1" applyFill="1" applyBorder="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37" fontId="5"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centerContinuous" vertical="center"/>
      <protection/>
    </xf>
    <xf numFmtId="0" fontId="5" fillId="37" borderId="0" xfId="0" applyFont="1" applyFill="1" applyAlignment="1" applyProtection="1">
      <alignment vertical="center"/>
      <protection/>
    </xf>
    <xf numFmtId="0" fontId="4" fillId="37"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3" borderId="0" xfId="0" applyFont="1" applyFill="1" applyAlignment="1" applyProtection="1">
      <alignment horizontal="center" vertical="center"/>
      <protection/>
    </xf>
    <xf numFmtId="0" fontId="4" fillId="37" borderId="13" xfId="0" applyFont="1" applyFill="1" applyBorder="1" applyAlignment="1" applyProtection="1">
      <alignment horizontal="center" vertical="center"/>
      <protection/>
    </xf>
    <xf numFmtId="37" fontId="4" fillId="37" borderId="13" xfId="0" applyNumberFormat="1" applyFont="1" applyFill="1" applyBorder="1" applyAlignment="1" applyProtection="1">
      <alignment horizontal="center" vertical="center"/>
      <protection/>
    </xf>
    <xf numFmtId="0" fontId="4" fillId="37" borderId="13" xfId="0" applyNumberFormat="1" applyFont="1" applyFill="1" applyBorder="1" applyAlignment="1" applyProtection="1">
      <alignment horizontal="center" vertical="center"/>
      <protection/>
    </xf>
    <xf numFmtId="37" fontId="4" fillId="33" borderId="0" xfId="0" applyNumberFormat="1" applyFont="1" applyFill="1" applyAlignment="1" applyProtection="1">
      <alignment horizontal="center" vertical="center"/>
      <protection/>
    </xf>
    <xf numFmtId="37" fontId="4" fillId="37" borderId="11" xfId="0" applyNumberFormat="1" applyFont="1" applyFill="1" applyBorder="1" applyAlignment="1" applyProtection="1">
      <alignment horizontal="center" vertical="center"/>
      <protection/>
    </xf>
    <xf numFmtId="37" fontId="4" fillId="33"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6" borderId="12" xfId="0" applyNumberFormat="1" applyFont="1" applyFill="1" applyBorder="1" applyAlignment="1" applyProtection="1">
      <alignment vertical="center"/>
      <protection locked="0"/>
    </xf>
    <xf numFmtId="3" fontId="4" fillId="36" borderId="12" xfId="0" applyNumberFormat="1" applyFont="1" applyFill="1" applyBorder="1" applyAlignment="1" applyProtection="1">
      <alignment vertical="center" wrapText="1"/>
      <protection locked="0"/>
    </xf>
    <xf numFmtId="164" fontId="4" fillId="36" borderId="12" xfId="0" applyNumberFormat="1" applyFont="1" applyFill="1" applyBorder="1" applyAlignment="1" applyProtection="1">
      <alignment vertical="center"/>
      <protection locked="0"/>
    </xf>
    <xf numFmtId="0" fontId="4" fillId="33" borderId="12" xfId="0" applyFont="1" applyFill="1" applyBorder="1" applyAlignment="1" applyProtection="1">
      <alignment vertical="center"/>
      <protection/>
    </xf>
    <xf numFmtId="164" fontId="4" fillId="36" borderId="12" xfId="0" applyNumberFormat="1" applyFont="1" applyFill="1" applyBorder="1" applyAlignment="1" applyProtection="1">
      <alignment vertical="center"/>
      <protection locked="0"/>
    </xf>
    <xf numFmtId="0" fontId="4" fillId="36" borderId="12" xfId="0" applyFont="1" applyFill="1" applyBorder="1" applyAlignment="1" applyProtection="1">
      <alignment horizontal="left" vertical="center"/>
      <protection locked="0"/>
    </xf>
    <xf numFmtId="0" fontId="4" fillId="36" borderId="12" xfId="0" applyFont="1" applyFill="1" applyBorder="1" applyAlignment="1" applyProtection="1">
      <alignment vertical="center"/>
      <protection locked="0"/>
    </xf>
    <xf numFmtId="3" fontId="4" fillId="36" borderId="12" xfId="0" applyNumberFormat="1" applyFont="1" applyFill="1" applyBorder="1" applyAlignment="1" applyProtection="1">
      <alignment vertical="center"/>
      <protection locked="0"/>
    </xf>
    <xf numFmtId="37" fontId="4" fillId="33" borderId="15" xfId="0" applyNumberFormat="1" applyFont="1" applyFill="1" applyBorder="1" applyAlignment="1" applyProtection="1">
      <alignment horizontal="left" vertical="center"/>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3" fontId="4" fillId="34" borderId="16"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164" fontId="4" fillId="33" borderId="15" xfId="0" applyNumberFormat="1" applyFont="1" applyFill="1" applyBorder="1" applyAlignment="1" applyProtection="1">
      <alignment vertical="center"/>
      <protection locked="0"/>
    </xf>
    <xf numFmtId="0" fontId="4" fillId="33" borderId="17"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3" borderId="0" xfId="0" applyNumberFormat="1" applyFont="1" applyFill="1" applyBorder="1" applyAlignment="1" applyProtection="1">
      <alignment horizontal="left" vertical="center"/>
      <protection/>
    </xf>
    <xf numFmtId="164" fontId="4" fillId="33" borderId="0" xfId="0" applyNumberFormat="1" applyFont="1" applyFill="1" applyBorder="1" applyAlignment="1" applyProtection="1">
      <alignment vertical="center"/>
      <protection locked="0"/>
    </xf>
    <xf numFmtId="3" fontId="4" fillId="33"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3" borderId="0" xfId="0" applyFont="1" applyFill="1" applyAlignment="1">
      <alignment vertical="center"/>
    </xf>
    <xf numFmtId="0" fontId="4" fillId="38" borderId="0" xfId="0" applyFont="1" applyFill="1" applyAlignment="1" applyProtection="1">
      <alignment vertical="center"/>
      <protection/>
    </xf>
    <xf numFmtId="37" fontId="4" fillId="33" borderId="12" xfId="0" applyNumberFormat="1" applyFont="1" applyFill="1" applyBorder="1" applyAlignment="1" applyProtection="1">
      <alignment vertical="center"/>
      <protection/>
    </xf>
    <xf numFmtId="37" fontId="4" fillId="37" borderId="15" xfId="0" applyNumberFormat="1" applyFont="1" applyFill="1" applyBorder="1" applyAlignment="1" applyProtection="1">
      <alignment horizontal="left" vertical="center"/>
      <protection/>
    </xf>
    <xf numFmtId="0" fontId="4" fillId="37" borderId="15" xfId="0" applyFont="1" applyFill="1" applyBorder="1" applyAlignment="1" applyProtection="1">
      <alignment vertical="center"/>
      <protection/>
    </xf>
    <xf numFmtId="37" fontId="4" fillId="37" borderId="18" xfId="0" applyNumberFormat="1" applyFont="1" applyFill="1" applyBorder="1" applyAlignment="1" applyProtection="1">
      <alignment horizontal="left" vertical="center"/>
      <protection/>
    </xf>
    <xf numFmtId="0" fontId="4" fillId="37" borderId="18" xfId="0" applyFont="1" applyFill="1" applyBorder="1" applyAlignment="1" applyProtection="1">
      <alignment vertical="center"/>
      <protection/>
    </xf>
    <xf numFmtId="0" fontId="4" fillId="33" borderId="18" xfId="0"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37" fontId="17" fillId="38" borderId="0" xfId="0" applyNumberFormat="1" applyFont="1" applyFill="1" applyAlignment="1" applyProtection="1">
      <alignment horizontal="left" vertical="center"/>
      <protection/>
    </xf>
    <xf numFmtId="0" fontId="6" fillId="37" borderId="0" xfId="0" applyFont="1" applyFill="1" applyAlignment="1">
      <alignment vertical="center"/>
    </xf>
    <xf numFmtId="0" fontId="4" fillId="38" borderId="0" xfId="0" applyFont="1" applyFill="1" applyAlignment="1" applyProtection="1">
      <alignment vertical="center"/>
      <protection locked="0"/>
    </xf>
    <xf numFmtId="0" fontId="4" fillId="33" borderId="0" xfId="0" applyFont="1" applyFill="1" applyAlignment="1" applyProtection="1">
      <alignment vertical="center"/>
      <protection locked="0"/>
    </xf>
    <xf numFmtId="0" fontId="4" fillId="33" borderId="1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locked="0"/>
    </xf>
    <xf numFmtId="0" fontId="4" fillId="38" borderId="15"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8" borderId="18"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3" borderId="0" xfId="0" applyNumberFormat="1" applyFont="1" applyFill="1" applyAlignment="1">
      <alignment vertical="center"/>
    </xf>
    <xf numFmtId="3" fontId="4" fillId="33" borderId="0" xfId="0" applyNumberFormat="1" applyFont="1" applyFill="1" applyAlignment="1" applyProtection="1">
      <alignment vertical="center"/>
      <protection/>
    </xf>
    <xf numFmtId="37" fontId="4" fillId="33" borderId="18" xfId="0" applyNumberFormat="1" applyFont="1" applyFill="1" applyBorder="1" applyAlignment="1" applyProtection="1">
      <alignment horizontal="left" vertical="center"/>
      <protection/>
    </xf>
    <xf numFmtId="37" fontId="4" fillId="36" borderId="12" xfId="0" applyNumberFormat="1" applyFont="1" applyFill="1" applyBorder="1" applyAlignment="1" applyProtection="1">
      <alignment vertical="center"/>
      <protection locked="0"/>
    </xf>
    <xf numFmtId="37" fontId="4" fillId="33" borderId="19"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xf>
    <xf numFmtId="3" fontId="4" fillId="33" borderId="16" xfId="0" applyNumberFormat="1" applyFont="1" applyFill="1" applyBorder="1" applyAlignment="1" applyProtection="1">
      <alignment vertical="center"/>
      <protection/>
    </xf>
    <xf numFmtId="3" fontId="4" fillId="33" borderId="18" xfId="0" applyNumberFormat="1" applyFont="1" applyFill="1" applyBorder="1" applyAlignment="1" applyProtection="1">
      <alignment vertical="center"/>
      <protection/>
    </xf>
    <xf numFmtId="0" fontId="5" fillId="33" borderId="0" xfId="0" applyFont="1" applyFill="1" applyAlignment="1" applyProtection="1">
      <alignment vertical="center"/>
      <protection/>
    </xf>
    <xf numFmtId="37" fontId="4" fillId="33" borderId="15" xfId="0" applyNumberFormat="1" applyFont="1" applyFill="1" applyBorder="1" applyAlignment="1" applyProtection="1">
      <alignment vertical="center"/>
      <protection/>
    </xf>
    <xf numFmtId="0" fontId="0" fillId="33" borderId="0" xfId="0" applyFill="1" applyAlignment="1">
      <alignment vertical="center"/>
    </xf>
    <xf numFmtId="0" fontId="4" fillId="37" borderId="13" xfId="0" applyFont="1" applyFill="1" applyBorder="1" applyAlignment="1">
      <alignment horizontal="center" vertical="center"/>
    </xf>
    <xf numFmtId="0" fontId="4" fillId="37" borderId="10" xfId="0" applyFont="1" applyFill="1" applyBorder="1" applyAlignment="1">
      <alignment horizontal="center" vertical="center"/>
    </xf>
    <xf numFmtId="0" fontId="18" fillId="33" borderId="0" xfId="0" applyFont="1" applyFill="1" applyAlignment="1">
      <alignment vertical="center"/>
    </xf>
    <xf numFmtId="0" fontId="23" fillId="33" borderId="0" xfId="0" applyFont="1" applyFill="1" applyAlignment="1">
      <alignment vertical="center"/>
    </xf>
    <xf numFmtId="0" fontId="4" fillId="37" borderId="11" xfId="0" applyFont="1" applyFill="1" applyBorder="1" applyAlignment="1">
      <alignment horizontal="center" vertical="center"/>
    </xf>
    <xf numFmtId="37" fontId="4" fillId="33" borderId="11" xfId="0" applyNumberFormat="1" applyFont="1" applyFill="1" applyBorder="1" applyAlignment="1">
      <alignment vertical="center"/>
    </xf>
    <xf numFmtId="3" fontId="4" fillId="36" borderId="11" xfId="0" applyNumberFormat="1" applyFont="1" applyFill="1" applyBorder="1" applyAlignment="1" applyProtection="1">
      <alignment vertical="center"/>
      <protection locked="0"/>
    </xf>
    <xf numFmtId="0" fontId="13" fillId="33" borderId="0" xfId="0" applyFont="1" applyFill="1" applyAlignment="1">
      <alignment vertical="center"/>
    </xf>
    <xf numFmtId="0" fontId="13" fillId="0" borderId="0" xfId="0" applyFont="1" applyAlignment="1">
      <alignment vertical="center"/>
    </xf>
    <xf numFmtId="0" fontId="13" fillId="33" borderId="0" xfId="0" applyFont="1" applyFill="1" applyAlignment="1" applyProtection="1">
      <alignment vertical="center"/>
      <protection/>
    </xf>
    <xf numFmtId="37" fontId="13" fillId="33" borderId="0" xfId="0" applyNumberFormat="1" applyFont="1" applyFill="1" applyAlignment="1" applyProtection="1">
      <alignment horizontal="centerContinuous" vertical="center"/>
      <protection/>
    </xf>
    <xf numFmtId="0" fontId="13" fillId="33" borderId="0" xfId="0" applyFont="1" applyFill="1" applyAlignment="1" applyProtection="1">
      <alignment horizontal="centerContinuous" vertical="center"/>
      <protection/>
    </xf>
    <xf numFmtId="37" fontId="13" fillId="33" borderId="0" xfId="0" applyNumberFormat="1" applyFont="1" applyFill="1" applyAlignment="1" applyProtection="1">
      <alignment horizontal="left" vertical="center"/>
      <protection/>
    </xf>
    <xf numFmtId="37" fontId="13" fillId="33" borderId="0" xfId="0" applyNumberFormat="1" applyFont="1" applyFill="1" applyAlignment="1" applyProtection="1">
      <alignment horizontal="fill" vertical="center"/>
      <protection/>
    </xf>
    <xf numFmtId="37" fontId="13" fillId="33" borderId="19" xfId="0" applyNumberFormat="1" applyFont="1" applyFill="1" applyBorder="1" applyAlignment="1" applyProtection="1">
      <alignment horizontal="centerContinuous" vertical="center"/>
      <protection/>
    </xf>
    <xf numFmtId="0" fontId="13" fillId="33" borderId="18" xfId="0" applyFont="1" applyFill="1" applyBorder="1" applyAlignment="1" applyProtection="1">
      <alignment horizontal="centerContinuous" vertical="center"/>
      <protection/>
    </xf>
    <xf numFmtId="0" fontId="13" fillId="33" borderId="16" xfId="0" applyFont="1" applyFill="1" applyBorder="1" applyAlignment="1" applyProtection="1">
      <alignment horizontal="centerContinuous" vertical="center"/>
      <protection/>
    </xf>
    <xf numFmtId="37" fontId="13" fillId="33" borderId="13" xfId="0" applyNumberFormat="1" applyFont="1" applyFill="1" applyBorder="1" applyAlignment="1" applyProtection="1">
      <alignment horizontal="center" vertical="center"/>
      <protection/>
    </xf>
    <xf numFmtId="37" fontId="14" fillId="33" borderId="15" xfId="0" applyNumberFormat="1" applyFont="1" applyFill="1" applyBorder="1" applyAlignment="1" applyProtection="1">
      <alignment horizontal="left" vertical="center"/>
      <protection/>
    </xf>
    <xf numFmtId="0" fontId="13" fillId="33" borderId="15" xfId="0" applyFont="1" applyFill="1" applyBorder="1" applyAlignment="1" applyProtection="1">
      <alignment vertical="center"/>
      <protection/>
    </xf>
    <xf numFmtId="37" fontId="13" fillId="33" borderId="11" xfId="0" applyNumberFormat="1" applyFont="1" applyFill="1" applyBorder="1" applyAlignment="1" applyProtection="1">
      <alignment horizontal="center" vertical="center"/>
      <protection/>
    </xf>
    <xf numFmtId="37" fontId="13" fillId="33" borderId="12" xfId="0" applyNumberFormat="1" applyFont="1" applyFill="1" applyBorder="1" applyAlignment="1" applyProtection="1">
      <alignment horizontal="left" vertical="center"/>
      <protection/>
    </xf>
    <xf numFmtId="37" fontId="13" fillId="33" borderId="10" xfId="0" applyNumberFormat="1" applyFont="1" applyFill="1" applyBorder="1" applyAlignment="1" applyProtection="1">
      <alignment horizontal="center" vertical="center"/>
      <protection/>
    </xf>
    <xf numFmtId="37" fontId="13" fillId="33" borderId="13" xfId="0" applyNumberFormat="1" applyFont="1" applyFill="1" applyBorder="1" applyAlignment="1" applyProtection="1">
      <alignment horizontal="left" vertical="center"/>
      <protection/>
    </xf>
    <xf numFmtId="0" fontId="13" fillId="33" borderId="0" xfId="0" applyFont="1" applyFill="1" applyBorder="1" applyAlignment="1" applyProtection="1">
      <alignment vertical="center"/>
      <protection/>
    </xf>
    <xf numFmtId="37" fontId="13" fillId="33" borderId="19" xfId="0" applyNumberFormat="1" applyFont="1" applyFill="1" applyBorder="1" applyAlignment="1" applyProtection="1">
      <alignment horizontal="left" vertical="center"/>
      <protection/>
    </xf>
    <xf numFmtId="0" fontId="13" fillId="33" borderId="16" xfId="0" applyFont="1" applyFill="1" applyBorder="1" applyAlignment="1" applyProtection="1">
      <alignment vertical="center"/>
      <protection/>
    </xf>
    <xf numFmtId="37" fontId="13" fillId="33" borderId="17" xfId="0" applyNumberFormat="1" applyFont="1" applyFill="1" applyBorder="1" applyAlignment="1" applyProtection="1">
      <alignment horizontal="center" vertical="center"/>
      <protection/>
    </xf>
    <xf numFmtId="37" fontId="13" fillId="33" borderId="12" xfId="0" applyNumberFormat="1" applyFont="1" applyFill="1" applyBorder="1" applyAlignment="1" applyProtection="1">
      <alignment horizontal="center" vertical="center"/>
      <protection/>
    </xf>
    <xf numFmtId="0" fontId="13" fillId="33" borderId="10" xfId="0" applyFont="1" applyFill="1" applyBorder="1" applyAlignment="1" applyProtection="1">
      <alignment vertical="center"/>
      <protection/>
    </xf>
    <xf numFmtId="37" fontId="13" fillId="33" borderId="16" xfId="0" applyNumberFormat="1" applyFont="1" applyFill="1" applyBorder="1" applyAlignment="1" applyProtection="1">
      <alignment horizontal="center" vertical="center"/>
      <protection/>
    </xf>
    <xf numFmtId="37" fontId="22" fillId="33" borderId="11" xfId="0" applyNumberFormat="1" applyFont="1" applyFill="1" applyBorder="1" applyAlignment="1" applyProtection="1">
      <alignment horizontal="left" vertical="center"/>
      <protection/>
    </xf>
    <xf numFmtId="37" fontId="22" fillId="33" borderId="11" xfId="0" applyNumberFormat="1" applyFont="1" applyFill="1" applyBorder="1" applyAlignment="1" applyProtection="1">
      <alignment horizontal="center" vertical="center"/>
      <protection/>
    </xf>
    <xf numFmtId="0" fontId="13" fillId="33" borderId="12" xfId="0" applyFont="1" applyFill="1" applyBorder="1" applyAlignment="1" applyProtection="1">
      <alignment vertical="center"/>
      <protection/>
    </xf>
    <xf numFmtId="0" fontId="13" fillId="33" borderId="11" xfId="0" applyFont="1" applyFill="1" applyBorder="1" applyAlignment="1" applyProtection="1">
      <alignment vertical="center"/>
      <protection/>
    </xf>
    <xf numFmtId="37" fontId="13" fillId="33" borderId="19" xfId="0" applyNumberFormat="1" applyFont="1" applyFill="1" applyBorder="1" applyAlignment="1" applyProtection="1">
      <alignment horizontal="center" vertical="center"/>
      <protection/>
    </xf>
    <xf numFmtId="37" fontId="13" fillId="33" borderId="12" xfId="0" applyNumberFormat="1" applyFont="1" applyFill="1" applyBorder="1" applyAlignment="1" applyProtection="1">
      <alignment vertical="center"/>
      <protection/>
    </xf>
    <xf numFmtId="183" fontId="4" fillId="33" borderId="12" xfId="0" applyNumberFormat="1" applyFont="1" applyFill="1" applyBorder="1" applyAlignment="1" applyProtection="1">
      <alignment vertical="center"/>
      <protection/>
    </xf>
    <xf numFmtId="37" fontId="4" fillId="33" borderId="12" xfId="0" applyNumberFormat="1"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3" xfId="0" applyFont="1" applyFill="1" applyBorder="1" applyAlignment="1" applyProtection="1">
      <alignment vertical="center"/>
      <protection/>
    </xf>
    <xf numFmtId="37" fontId="14" fillId="33" borderId="13" xfId="0" applyNumberFormat="1" applyFont="1" applyFill="1" applyBorder="1" applyAlignment="1" applyProtection="1">
      <alignment horizontal="left" vertical="center"/>
      <protection/>
    </xf>
    <xf numFmtId="37" fontId="13" fillId="33" borderId="14" xfId="0" applyNumberFormat="1" applyFont="1" applyFill="1" applyBorder="1" applyAlignment="1" applyProtection="1">
      <alignment vertical="center"/>
      <protection/>
    </xf>
    <xf numFmtId="183" fontId="13" fillId="33" borderId="14" xfId="0" applyNumberFormat="1" applyFont="1" applyFill="1" applyBorder="1" applyAlignment="1" applyProtection="1">
      <alignment vertical="center"/>
      <protection/>
    </xf>
    <xf numFmtId="37" fontId="13" fillId="33" borderId="20" xfId="0" applyNumberFormat="1" applyFont="1" applyFill="1" applyBorder="1" applyAlignment="1" applyProtection="1">
      <alignment horizontal="left" vertical="center"/>
      <protection/>
    </xf>
    <xf numFmtId="0" fontId="13" fillId="33" borderId="21" xfId="0" applyFont="1" applyFill="1" applyBorder="1" applyAlignment="1" applyProtection="1">
      <alignment vertical="center"/>
      <protection/>
    </xf>
    <xf numFmtId="37" fontId="13" fillId="33" borderId="0" xfId="0" applyNumberFormat="1" applyFont="1" applyFill="1" applyBorder="1" applyAlignment="1" applyProtection="1">
      <alignment vertical="center"/>
      <protection/>
    </xf>
    <xf numFmtId="0" fontId="13" fillId="33" borderId="0" xfId="0" applyFont="1" applyFill="1" applyAlignment="1" applyProtection="1">
      <alignment horizontal="center" vertical="center"/>
      <protection/>
    </xf>
    <xf numFmtId="0" fontId="4" fillId="39" borderId="12" xfId="0" applyFont="1" applyFill="1" applyBorder="1" applyAlignment="1">
      <alignment horizontal="center" vertical="center" shrinkToFit="1"/>
    </xf>
    <xf numFmtId="0" fontId="18" fillId="39" borderId="16" xfId="0" applyFont="1" applyFill="1" applyBorder="1" applyAlignment="1" applyProtection="1">
      <alignment horizontal="center" vertical="center"/>
      <protection/>
    </xf>
    <xf numFmtId="3" fontId="13" fillId="36" borderId="12" xfId="0" applyNumberFormat="1" applyFont="1" applyFill="1" applyBorder="1" applyAlignment="1" applyProtection="1">
      <alignment vertical="center"/>
      <protection locked="0"/>
    </xf>
    <xf numFmtId="37" fontId="13" fillId="33" borderId="16" xfId="0" applyNumberFormat="1" applyFont="1" applyFill="1" applyBorder="1" applyAlignment="1" applyProtection="1">
      <alignment horizontal="fill" vertical="center"/>
      <protection/>
    </xf>
    <xf numFmtId="37" fontId="13" fillId="33" borderId="0" xfId="0" applyNumberFormat="1" applyFont="1" applyFill="1" applyAlignment="1" applyProtection="1">
      <alignment horizontal="right" vertical="center"/>
      <protection/>
    </xf>
    <xf numFmtId="0" fontId="13" fillId="36" borderId="15"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6" borderId="18" xfId="0" applyFont="1" applyFill="1" applyBorder="1" applyAlignment="1" applyProtection="1">
      <alignment vertical="center"/>
      <protection locked="0"/>
    </xf>
    <xf numFmtId="37" fontId="13" fillId="33" borderId="15" xfId="0" applyNumberFormat="1" applyFont="1" applyFill="1" applyBorder="1" applyAlignment="1" applyProtection="1">
      <alignment horizontal="fill" vertical="center"/>
      <protection locked="0"/>
    </xf>
    <xf numFmtId="0" fontId="13" fillId="33" borderId="0" xfId="0" applyFont="1" applyFill="1" applyAlignment="1" applyProtection="1">
      <alignment horizontal="right" vertical="center"/>
      <protection/>
    </xf>
    <xf numFmtId="0" fontId="13" fillId="33" borderId="0" xfId="0" applyFont="1" applyFill="1" applyAlignment="1" applyProtection="1">
      <alignment horizontal="centerContinuous" vertical="center"/>
      <protection locked="0"/>
    </xf>
    <xf numFmtId="0" fontId="13" fillId="33" borderId="15" xfId="0" applyFont="1" applyFill="1" applyBorder="1" applyAlignment="1" applyProtection="1">
      <alignment vertical="center"/>
      <protection locked="0"/>
    </xf>
    <xf numFmtId="0" fontId="13" fillId="33" borderId="0" xfId="0" applyFont="1" applyFill="1" applyAlignment="1" applyProtection="1">
      <alignment horizontal="left" vertical="center"/>
      <protection/>
    </xf>
    <xf numFmtId="0" fontId="13" fillId="0" borderId="0" xfId="0" applyFont="1" applyAlignment="1" applyProtection="1">
      <alignment vertical="center"/>
      <protection locked="0"/>
    </xf>
    <xf numFmtId="37" fontId="4" fillId="33" borderId="0" xfId="0" applyNumberFormat="1" applyFont="1" applyFill="1" applyAlignment="1" applyProtection="1">
      <alignment horizontal="centerContinuous" vertical="center"/>
      <protection/>
    </xf>
    <xf numFmtId="37" fontId="4" fillId="33" borderId="19" xfId="0" applyNumberFormat="1" applyFont="1" applyFill="1" applyBorder="1" applyAlignment="1" applyProtection="1">
      <alignment horizontal="centerContinuous" vertical="center"/>
      <protection/>
    </xf>
    <xf numFmtId="0" fontId="4" fillId="33" borderId="18" xfId="0" applyFont="1" applyFill="1" applyBorder="1" applyAlignment="1" applyProtection="1">
      <alignment horizontal="centerContinuous" vertical="center"/>
      <protection/>
    </xf>
    <xf numFmtId="0" fontId="4" fillId="33" borderId="16" xfId="0" applyFont="1" applyFill="1" applyBorder="1" applyAlignment="1" applyProtection="1">
      <alignment horizontal="centerContinuous" vertical="center"/>
      <protection/>
    </xf>
    <xf numFmtId="37" fontId="4" fillId="33" borderId="13" xfId="0" applyNumberFormat="1" applyFont="1" applyFill="1" applyBorder="1" applyAlignment="1" applyProtection="1">
      <alignment horizontal="center" vertical="center"/>
      <protection/>
    </xf>
    <xf numFmtId="37" fontId="4" fillId="33" borderId="12" xfId="0" applyNumberFormat="1" applyFont="1" applyFill="1" applyBorder="1" applyAlignment="1" applyProtection="1">
      <alignment horizontal="fill" vertical="center"/>
      <protection/>
    </xf>
    <xf numFmtId="0" fontId="4" fillId="0" borderId="0" xfId="0" applyFont="1" applyAlignment="1" applyProtection="1">
      <alignment horizontal="center" vertical="center"/>
      <protection locked="0"/>
    </xf>
    <xf numFmtId="37" fontId="4" fillId="33" borderId="0" xfId="0" applyNumberFormat="1" applyFont="1" applyFill="1" applyAlignment="1" applyProtection="1">
      <alignment vertical="center"/>
      <protection/>
    </xf>
    <xf numFmtId="0" fontId="5"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5" xfId="0" applyNumberFormat="1" applyFont="1" applyFill="1" applyBorder="1" applyAlignment="1" applyProtection="1">
      <alignment vertical="center"/>
      <protection/>
    </xf>
    <xf numFmtId="3" fontId="4" fillId="33" borderId="22" xfId="0" applyNumberFormat="1" applyFont="1" applyFill="1" applyBorder="1" applyAlignment="1" applyProtection="1">
      <alignment vertical="center"/>
      <protection/>
    </xf>
    <xf numFmtId="0" fontId="4" fillId="33" borderId="22" xfId="0" applyFont="1" applyFill="1" applyBorder="1" applyAlignment="1" applyProtection="1">
      <alignment vertical="center"/>
      <protection/>
    </xf>
    <xf numFmtId="171" fontId="4" fillId="33" borderId="15"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 fontId="4" fillId="33" borderId="23" xfId="0" applyNumberFormat="1" applyFont="1" applyFill="1" applyBorder="1" applyAlignment="1" applyProtection="1">
      <alignment vertical="center"/>
      <protection/>
    </xf>
    <xf numFmtId="0" fontId="7" fillId="0" borderId="0" xfId="0" applyFont="1" applyAlignment="1">
      <alignment vertical="center"/>
    </xf>
    <xf numFmtId="37" fontId="4" fillId="33" borderId="0" xfId="0" applyNumberFormat="1" applyFont="1" applyFill="1" applyAlignment="1" applyProtection="1">
      <alignment horizontal="right" vertical="center"/>
      <protection/>
    </xf>
    <xf numFmtId="0" fontId="5" fillId="33" borderId="15"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21"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6" borderId="11" xfId="0" applyFont="1" applyFill="1" applyBorder="1" applyAlignment="1" applyProtection="1">
      <alignment vertical="center"/>
      <protection locked="0"/>
    </xf>
    <xf numFmtId="175" fontId="4" fillId="36" borderId="11" xfId="42" applyNumberFormat="1" applyFont="1" applyFill="1" applyBorder="1" applyAlignment="1" applyProtection="1">
      <alignment vertical="center"/>
      <protection locked="0"/>
    </xf>
    <xf numFmtId="175" fontId="4" fillId="36" borderId="12" xfId="42" applyNumberFormat="1" applyFont="1" applyFill="1" applyBorder="1" applyAlignment="1" applyProtection="1">
      <alignment vertical="center"/>
      <protection locked="0"/>
    </xf>
    <xf numFmtId="0" fontId="6" fillId="36" borderId="12" xfId="0" applyFont="1" applyFill="1" applyBorder="1" applyAlignment="1" applyProtection="1">
      <alignment vertical="center"/>
      <protection locked="0"/>
    </xf>
    <xf numFmtId="0" fontId="4" fillId="33" borderId="12"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locked="0"/>
    </xf>
    <xf numFmtId="1" fontId="4" fillId="33" borderId="0" xfId="0" applyNumberFormat="1" applyFont="1" applyFill="1" applyBorder="1" applyAlignment="1" applyProtection="1">
      <alignment horizontal="right" vertical="center"/>
      <protection/>
    </xf>
    <xf numFmtId="0" fontId="5" fillId="33" borderId="0" xfId="401" applyFont="1" applyFill="1" applyAlignment="1" applyProtection="1">
      <alignment horizontal="centerContinuous" vertical="center"/>
      <protection/>
    </xf>
    <xf numFmtId="0" fontId="4" fillId="33" borderId="15" xfId="0" applyFont="1" applyFill="1" applyBorder="1" applyAlignment="1" applyProtection="1">
      <alignment horizontal="fill" vertical="center"/>
      <protection/>
    </xf>
    <xf numFmtId="0" fontId="4" fillId="33" borderId="13" xfId="0" applyFont="1" applyFill="1" applyBorder="1" applyAlignment="1" applyProtection="1">
      <alignment horizontal="center" vertical="center"/>
      <protection/>
    </xf>
    <xf numFmtId="0" fontId="4" fillId="33" borderId="20" xfId="0" applyFont="1" applyFill="1" applyBorder="1" applyAlignment="1" applyProtection="1">
      <alignment horizontal="centerContinuous" vertical="center"/>
      <protection/>
    </xf>
    <xf numFmtId="0" fontId="4" fillId="33" borderId="21" xfId="0" applyFont="1" applyFill="1" applyBorder="1" applyAlignment="1" applyProtection="1">
      <alignment horizontal="centerContinuous" vertical="center"/>
      <protection/>
    </xf>
    <xf numFmtId="0" fontId="4" fillId="33" borderId="10" xfId="0" applyFont="1" applyFill="1" applyBorder="1" applyAlignment="1" applyProtection="1">
      <alignment horizontal="center" vertical="center"/>
      <protection/>
    </xf>
    <xf numFmtId="1" fontId="4" fillId="33" borderId="27" xfId="0" applyNumberFormat="1" applyFont="1" applyFill="1" applyBorder="1" applyAlignment="1" applyProtection="1">
      <alignment horizontal="center" vertical="center"/>
      <protection/>
    </xf>
    <xf numFmtId="0" fontId="4" fillId="33" borderId="12" xfId="0" applyFont="1" applyFill="1" applyBorder="1" applyAlignment="1" applyProtection="1">
      <alignment horizontal="left" vertical="center"/>
      <protection/>
    </xf>
    <xf numFmtId="0" fontId="4" fillId="33" borderId="11" xfId="0" applyFont="1" applyFill="1" applyBorder="1" applyAlignment="1" applyProtection="1">
      <alignment horizontal="center" vertical="center"/>
      <protection/>
    </xf>
    <xf numFmtId="2" fontId="4" fillId="33" borderId="12" xfId="0" applyNumberFormat="1" applyFont="1" applyFill="1" applyBorder="1" applyAlignment="1" applyProtection="1">
      <alignment vertical="center"/>
      <protection/>
    </xf>
    <xf numFmtId="3" fontId="4" fillId="33" borderId="12" xfId="0" applyNumberFormat="1" applyFont="1" applyFill="1" applyBorder="1" applyAlignment="1" applyProtection="1">
      <alignment vertical="center"/>
      <protection/>
    </xf>
    <xf numFmtId="0" fontId="4" fillId="36" borderId="12" xfId="0" applyFont="1" applyFill="1" applyBorder="1" applyAlignment="1" applyProtection="1">
      <alignment horizontal="center" vertical="center"/>
      <protection locked="0"/>
    </xf>
    <xf numFmtId="2" fontId="4" fillId="36" borderId="12" xfId="0" applyNumberFormat="1" applyFont="1" applyFill="1" applyBorder="1" applyAlignment="1" applyProtection="1">
      <alignment horizontal="center" vertical="center"/>
      <protection locked="0"/>
    </xf>
    <xf numFmtId="3" fontId="4" fillId="36" borderId="12" xfId="0" applyNumberFormat="1" applyFont="1" applyFill="1" applyBorder="1" applyAlignment="1" applyProtection="1">
      <alignment horizontal="center" vertical="center"/>
      <protection locked="0"/>
    </xf>
    <xf numFmtId="37" fontId="4" fillId="36" borderId="12" xfId="0" applyNumberFormat="1" applyFont="1" applyFill="1" applyBorder="1" applyAlignment="1" applyProtection="1">
      <alignment horizontal="center" vertical="center"/>
      <protection locked="0"/>
    </xf>
    <xf numFmtId="173" fontId="4" fillId="36" borderId="12" xfId="0" applyNumberFormat="1"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xf>
    <xf numFmtId="172" fontId="5" fillId="33" borderId="12" xfId="0" applyNumberFormat="1" applyFont="1" applyFill="1" applyBorder="1" applyAlignment="1" applyProtection="1">
      <alignment horizontal="center" vertical="center"/>
      <protection/>
    </xf>
    <xf numFmtId="2" fontId="5" fillId="33" borderId="12"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center" vertical="center"/>
      <protection/>
    </xf>
    <xf numFmtId="173" fontId="5" fillId="33" borderId="12" xfId="0" applyNumberFormat="1" applyFont="1" applyFill="1" applyBorder="1" applyAlignment="1" applyProtection="1">
      <alignment horizontal="center" vertical="center"/>
      <protection/>
    </xf>
    <xf numFmtId="172" fontId="4" fillId="33" borderId="12" xfId="0" applyNumberFormat="1" applyFont="1" applyFill="1" applyBorder="1" applyAlignment="1" applyProtection="1">
      <alignment horizontal="center" vertical="center"/>
      <protection/>
    </xf>
    <xf numFmtId="2" fontId="4" fillId="33" borderId="12" xfId="0" applyNumberFormat="1" applyFont="1" applyFill="1" applyBorder="1" applyAlignment="1" applyProtection="1">
      <alignment horizontal="center" vertical="center"/>
      <protection/>
    </xf>
    <xf numFmtId="3" fontId="4" fillId="33" borderId="12" xfId="0" applyNumberFormat="1" applyFont="1" applyFill="1" applyBorder="1" applyAlignment="1" applyProtection="1">
      <alignment horizontal="center" vertical="center"/>
      <protection/>
    </xf>
    <xf numFmtId="173" fontId="4" fillId="33" borderId="12" xfId="0" applyNumberFormat="1" applyFont="1" applyFill="1" applyBorder="1" applyAlignment="1" applyProtection="1">
      <alignment horizontal="center" vertical="center"/>
      <protection/>
    </xf>
    <xf numFmtId="1" fontId="5" fillId="33" borderId="12"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1" fontId="4" fillId="33" borderId="12"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3" borderId="0" xfId="0" applyNumberFormat="1" applyFont="1" applyFill="1" applyAlignment="1" applyProtection="1">
      <alignment horizontal="right" vertical="center"/>
      <protection/>
    </xf>
    <xf numFmtId="0" fontId="4" fillId="33" borderId="0" xfId="0" applyFont="1" applyFill="1" applyAlignment="1" applyProtection="1">
      <alignment horizontal="right" vertical="center"/>
      <protection/>
    </xf>
    <xf numFmtId="0" fontId="4" fillId="33" borderId="28"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3" borderId="27" xfId="0" applyFont="1" applyFill="1" applyBorder="1" applyAlignment="1" applyProtection="1">
      <alignment horizontal="left" vertical="center"/>
      <protection/>
    </xf>
    <xf numFmtId="0" fontId="8" fillId="33" borderId="11" xfId="0" applyFont="1" applyFill="1" applyBorder="1" applyAlignment="1" applyProtection="1">
      <alignment horizontal="center" vertical="center"/>
      <protection/>
    </xf>
    <xf numFmtId="14" fontId="4" fillId="33" borderId="11" xfId="0" applyNumberFormat="1" applyFont="1" applyFill="1" applyBorder="1" applyAlignment="1" applyProtection="1" quotePrefix="1">
      <alignment horizontal="center" vertical="center"/>
      <protection/>
    </xf>
    <xf numFmtId="0" fontId="4" fillId="36" borderId="12" xfId="0" applyFont="1" applyFill="1" applyBorder="1" applyAlignment="1" applyProtection="1">
      <alignment vertical="center"/>
      <protection locked="0"/>
    </xf>
    <xf numFmtId="1" fontId="4" fillId="36" borderId="12" xfId="0" applyNumberFormat="1" applyFont="1" applyFill="1" applyBorder="1" applyAlignment="1" applyProtection="1">
      <alignment vertical="center"/>
      <protection locked="0"/>
    </xf>
    <xf numFmtId="2" fontId="4" fillId="36" borderId="12" xfId="0" applyNumberFormat="1" applyFont="1" applyFill="1" applyBorder="1" applyAlignment="1" applyProtection="1">
      <alignment vertical="center"/>
      <protection locked="0"/>
    </xf>
    <xf numFmtId="3" fontId="5" fillId="34" borderId="14" xfId="0" applyNumberFormat="1" applyFont="1" applyFill="1" applyBorder="1" applyAlignment="1" applyProtection="1">
      <alignment vertical="center"/>
      <protection/>
    </xf>
    <xf numFmtId="0" fontId="4" fillId="0" borderId="0" xfId="0" applyFont="1" applyBorder="1" applyAlignment="1">
      <alignment vertical="center"/>
    </xf>
    <xf numFmtId="0" fontId="4" fillId="35" borderId="0" xfId="400" applyFont="1" applyFill="1" applyAlignment="1" applyProtection="1">
      <alignment vertical="center"/>
      <protection/>
    </xf>
    <xf numFmtId="0" fontId="4" fillId="35" borderId="0" xfId="0" applyFont="1" applyFill="1" applyAlignment="1" applyProtection="1">
      <alignment vertical="center"/>
      <protection/>
    </xf>
    <xf numFmtId="0" fontId="4" fillId="33" borderId="0" xfId="0" applyFont="1" applyFill="1" applyAlignment="1" applyProtection="1" quotePrefix="1">
      <alignment horizontal="right" vertical="center"/>
      <protection/>
    </xf>
    <xf numFmtId="0" fontId="4" fillId="33" borderId="0" xfId="0" applyFont="1" applyFill="1" applyAlignment="1" applyProtection="1">
      <alignment horizontal="left" vertical="center"/>
      <protection/>
    </xf>
    <xf numFmtId="1" fontId="4" fillId="33" borderId="11" xfId="0" applyNumberFormat="1" applyFont="1" applyFill="1" applyBorder="1" applyAlignment="1" applyProtection="1">
      <alignment horizontal="center" vertical="center"/>
      <protection/>
    </xf>
    <xf numFmtId="0" fontId="4" fillId="33" borderId="19" xfId="0" applyFont="1" applyFill="1" applyBorder="1" applyAlignment="1" applyProtection="1">
      <alignment horizontal="left" vertical="center"/>
      <protection/>
    </xf>
    <xf numFmtId="3" fontId="4" fillId="36" borderId="16" xfId="0" applyNumberFormat="1" applyFont="1" applyFill="1" applyBorder="1" applyAlignment="1" applyProtection="1">
      <alignment vertical="center"/>
      <protection locked="0"/>
    </xf>
    <xf numFmtId="37" fontId="4" fillId="33" borderId="19" xfId="0" applyNumberFormat="1" applyFont="1" applyFill="1" applyBorder="1" applyAlignment="1" applyProtection="1">
      <alignment vertical="center"/>
      <protection/>
    </xf>
    <xf numFmtId="37" fontId="4" fillId="36" borderId="12" xfId="0" applyNumberFormat="1" applyFont="1" applyFill="1" applyBorder="1" applyAlignment="1" applyProtection="1">
      <alignment vertical="center"/>
      <protection locked="0"/>
    </xf>
    <xf numFmtId="37" fontId="4" fillId="36" borderId="19" xfId="0" applyNumberFormat="1" applyFont="1" applyFill="1" applyBorder="1" applyAlignment="1" applyProtection="1">
      <alignment vertical="center"/>
      <protection locked="0"/>
    </xf>
    <xf numFmtId="0" fontId="4" fillId="36" borderId="19" xfId="0" applyFont="1" applyFill="1" applyBorder="1" applyAlignment="1" applyProtection="1">
      <alignment horizontal="left" vertical="center"/>
      <protection locked="0"/>
    </xf>
    <xf numFmtId="0" fontId="4" fillId="33" borderId="19" xfId="0" applyFont="1" applyFill="1" applyBorder="1" applyAlignment="1" applyProtection="1">
      <alignment vertical="center"/>
      <protection/>
    </xf>
    <xf numFmtId="3" fontId="18" fillId="40" borderId="21"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Alignment="1" applyProtection="1">
      <alignment horizontal="fill" vertical="center"/>
      <protection/>
    </xf>
    <xf numFmtId="0" fontId="4" fillId="33" borderId="11"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vertical="center"/>
      <protection/>
    </xf>
    <xf numFmtId="0" fontId="4" fillId="36" borderId="19" xfId="0" applyFont="1" applyFill="1" applyBorder="1" applyAlignment="1" applyProtection="1">
      <alignment vertical="center"/>
      <protection locked="0"/>
    </xf>
    <xf numFmtId="37" fontId="4" fillId="34" borderId="12" xfId="0" applyNumberFormat="1" applyFont="1" applyFill="1" applyBorder="1" applyAlignment="1" applyProtection="1">
      <alignment vertical="center"/>
      <protection/>
    </xf>
    <xf numFmtId="0" fontId="18" fillId="0" borderId="0" xfId="0" applyFont="1" applyAlignment="1">
      <alignment vertical="center"/>
    </xf>
    <xf numFmtId="0" fontId="19" fillId="33" borderId="0" xfId="0" applyFont="1" applyFill="1" applyAlignment="1" applyProtection="1">
      <alignment horizontal="center" vertical="center"/>
      <protection/>
    </xf>
    <xf numFmtId="0" fontId="4" fillId="33" borderId="0" xfId="0" applyFont="1" applyFill="1" applyAlignment="1">
      <alignment horizontal="right" vertical="center"/>
    </xf>
    <xf numFmtId="1" fontId="4" fillId="33" borderId="13" xfId="0" applyNumberFormat="1" applyFont="1" applyFill="1" applyBorder="1" applyAlignment="1" applyProtection="1">
      <alignment horizontal="center" vertical="center"/>
      <protection/>
    </xf>
    <xf numFmtId="0" fontId="4" fillId="36" borderId="12" xfId="0" applyFont="1" applyFill="1" applyBorder="1" applyAlignment="1" applyProtection="1">
      <alignment horizontal="left" vertical="center"/>
      <protection locked="0"/>
    </xf>
    <xf numFmtId="37" fontId="4" fillId="34" borderId="13" xfId="0" applyNumberFormat="1" applyFont="1" applyFill="1" applyBorder="1" applyAlignment="1" applyProtection="1">
      <alignment vertical="center"/>
      <protection/>
    </xf>
    <xf numFmtId="0" fontId="4" fillId="33" borderId="0" xfId="0" applyNumberFormat="1" applyFont="1" applyFill="1" applyAlignment="1" applyProtection="1">
      <alignment vertical="center"/>
      <protection/>
    </xf>
    <xf numFmtId="37" fontId="4" fillId="33" borderId="0" xfId="0" applyNumberFormat="1" applyFont="1" applyFill="1" applyAlignment="1" applyProtection="1">
      <alignment horizontal="fill" vertical="center"/>
      <protection/>
    </xf>
    <xf numFmtId="0" fontId="4" fillId="34" borderId="0" xfId="0" applyFont="1" applyFill="1" applyAlignment="1" applyProtection="1">
      <alignment horizontal="left" vertical="center"/>
      <protection/>
    </xf>
    <xf numFmtId="37" fontId="5" fillId="39" borderId="14" xfId="0" applyNumberFormat="1" applyFont="1" applyFill="1" applyBorder="1" applyAlignment="1" applyProtection="1">
      <alignment vertical="center"/>
      <protection/>
    </xf>
    <xf numFmtId="0" fontId="18" fillId="35" borderId="0" xfId="0" applyFont="1" applyFill="1" applyAlignment="1">
      <alignment vertical="center"/>
    </xf>
    <xf numFmtId="37" fontId="4" fillId="35" borderId="0" xfId="0" applyNumberFormat="1" applyFont="1" applyFill="1" applyAlignment="1">
      <alignment vertical="center"/>
    </xf>
    <xf numFmtId="37" fontId="4" fillId="0" borderId="0" xfId="0" applyNumberFormat="1" applyFont="1" applyAlignment="1">
      <alignment vertical="center"/>
    </xf>
    <xf numFmtId="166" fontId="4" fillId="33" borderId="0" xfId="0" applyNumberFormat="1" applyFont="1" applyFill="1" applyAlignment="1" applyProtection="1">
      <alignment vertical="center"/>
      <protection/>
    </xf>
    <xf numFmtId="37" fontId="4" fillId="33" borderId="0" xfId="0" applyNumberFormat="1" applyFont="1" applyFill="1" applyAlignment="1" applyProtection="1" quotePrefix="1">
      <alignment horizontal="right" vertical="center"/>
      <protection/>
    </xf>
    <xf numFmtId="3" fontId="4" fillId="33" borderId="12" xfId="42" applyNumberFormat="1" applyFont="1" applyFill="1" applyBorder="1" applyAlignment="1" applyProtection="1">
      <alignment horizontal="right" vertical="center"/>
      <protection/>
    </xf>
    <xf numFmtId="37" fontId="4" fillId="33" borderId="27"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fill" vertical="center"/>
      <protection/>
    </xf>
    <xf numFmtId="3" fontId="4" fillId="36" borderId="12" xfId="0" applyNumberFormat="1" applyFont="1" applyFill="1" applyBorder="1" applyAlignment="1" applyProtection="1">
      <alignment horizontal="right" vertical="center"/>
      <protection locked="0"/>
    </xf>
    <xf numFmtId="3" fontId="4" fillId="33" borderId="12" xfId="0" applyNumberFormat="1" applyFont="1" applyFill="1" applyBorder="1" applyAlignment="1" applyProtection="1">
      <alignment horizontal="right" vertical="center"/>
      <protection/>
    </xf>
    <xf numFmtId="0" fontId="4" fillId="33" borderId="19" xfId="0" applyNumberFormat="1" applyFont="1" applyFill="1" applyBorder="1" applyAlignment="1" applyProtection="1">
      <alignment horizontal="left" vertical="center"/>
      <protection/>
    </xf>
    <xf numFmtId="0" fontId="4" fillId="36" borderId="19" xfId="0" applyNumberFormat="1" applyFont="1" applyFill="1" applyBorder="1" applyAlignment="1" applyProtection="1">
      <alignment horizontal="left" vertical="center"/>
      <protection locked="0"/>
    </xf>
    <xf numFmtId="3" fontId="4" fillId="36" borderId="12" xfId="0" applyNumberFormat="1" applyFont="1" applyFill="1" applyBorder="1" applyAlignment="1" applyProtection="1">
      <alignment horizontal="right" vertical="center"/>
      <protection locked="0"/>
    </xf>
    <xf numFmtId="0" fontId="4" fillId="36" borderId="20" xfId="0" applyNumberFormat="1" applyFont="1" applyFill="1" applyBorder="1" applyAlignment="1" applyProtection="1">
      <alignment horizontal="left" vertical="center"/>
      <protection locked="0"/>
    </xf>
    <xf numFmtId="3" fontId="18" fillId="40" borderId="12"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right" vertical="center"/>
      <protection/>
    </xf>
    <xf numFmtId="3" fontId="5" fillId="34" borderId="12" xfId="0" applyNumberFormat="1" applyFont="1" applyFill="1" applyBorder="1" applyAlignment="1" applyProtection="1">
      <alignment horizontal="right" vertical="center"/>
      <protection/>
    </xf>
    <xf numFmtId="0" fontId="18" fillId="0" borderId="0" xfId="0" applyFont="1" applyAlignment="1" applyProtection="1">
      <alignment vertical="center"/>
      <protection/>
    </xf>
    <xf numFmtId="3" fontId="4" fillId="39" borderId="12" xfId="0" applyNumberFormat="1" applyFont="1" applyFill="1" applyBorder="1" applyAlignment="1" applyProtection="1">
      <alignment vertical="center"/>
      <protection/>
    </xf>
    <xf numFmtId="0" fontId="4" fillId="36" borderId="0" xfId="0" applyFont="1" applyFill="1" applyAlignment="1" applyProtection="1">
      <alignment horizontal="left" vertical="center"/>
      <protection locked="0"/>
    </xf>
    <xf numFmtId="0" fontId="4" fillId="36" borderId="19" xfId="0" applyFont="1" applyFill="1" applyBorder="1" applyAlignment="1" applyProtection="1">
      <alignment horizontal="left" vertical="center"/>
      <protection/>
    </xf>
    <xf numFmtId="0" fontId="4" fillId="36" borderId="19" xfId="0" applyFont="1" applyFill="1" applyBorder="1" applyAlignment="1">
      <alignment vertical="center"/>
    </xf>
    <xf numFmtId="3" fontId="5" fillId="34" borderId="12" xfId="0" applyNumberFormat="1" applyFont="1" applyFill="1" applyBorder="1" applyAlignment="1" applyProtection="1">
      <alignment vertical="center"/>
      <protection/>
    </xf>
    <xf numFmtId="0" fontId="4" fillId="33" borderId="0" xfId="0" applyFont="1" applyFill="1" applyAlignment="1" applyProtection="1">
      <alignment horizontal="center" vertical="center"/>
      <protection locked="0"/>
    </xf>
    <xf numFmtId="37" fontId="4" fillId="36" borderId="19" xfId="0" applyNumberFormat="1" applyFont="1" applyFill="1" applyBorder="1" applyAlignment="1" applyProtection="1">
      <alignment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4" fillId="33" borderId="0" xfId="0" applyFont="1" applyFill="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vertical="center"/>
    </xf>
    <xf numFmtId="0" fontId="16" fillId="33" borderId="13" xfId="0" applyFont="1" applyFill="1" applyBorder="1" applyAlignment="1">
      <alignment vertical="center"/>
    </xf>
    <xf numFmtId="0" fontId="16" fillId="33" borderId="16" xfId="0" applyFont="1" applyFill="1" applyBorder="1" applyAlignment="1">
      <alignment horizontal="center" vertical="center"/>
    </xf>
    <xf numFmtId="0" fontId="16" fillId="33" borderId="21" xfId="0" applyFont="1" applyFill="1" applyBorder="1" applyAlignment="1">
      <alignment vertical="center"/>
    </xf>
    <xf numFmtId="0" fontId="16" fillId="33" borderId="12" xfId="0" applyFont="1" applyFill="1" applyBorder="1" applyAlignment="1">
      <alignment horizontal="center" vertical="center"/>
    </xf>
    <xf numFmtId="0" fontId="4" fillId="33" borderId="16" xfId="0" applyFont="1" applyFill="1" applyBorder="1" applyAlignment="1">
      <alignment vertical="center"/>
    </xf>
    <xf numFmtId="0" fontId="4" fillId="33" borderId="12" xfId="0" applyFont="1" applyFill="1" applyBorder="1" applyAlignment="1">
      <alignment horizontal="center" vertical="center"/>
    </xf>
    <xf numFmtId="0" fontId="16" fillId="33" borderId="27" xfId="0" applyFont="1" applyFill="1" applyBorder="1" applyAlignment="1">
      <alignment vertical="center"/>
    </xf>
    <xf numFmtId="3" fontId="16" fillId="36" borderId="12" xfId="0" applyNumberFormat="1" applyFont="1" applyFill="1" applyBorder="1" applyAlignment="1" applyProtection="1">
      <alignment horizontal="center" vertical="center"/>
      <protection locked="0"/>
    </xf>
    <xf numFmtId="0" fontId="16" fillId="33" borderId="15" xfId="0" applyFont="1" applyFill="1" applyBorder="1" applyAlignment="1">
      <alignment vertical="center"/>
    </xf>
    <xf numFmtId="3" fontId="16" fillId="34" borderId="12" xfId="0" applyNumberFormat="1" applyFont="1" applyFill="1" applyBorder="1" applyAlignment="1">
      <alignment horizontal="center" vertical="center"/>
    </xf>
    <xf numFmtId="0" fontId="16" fillId="33" borderId="0" xfId="0" applyFont="1" applyFill="1" applyAlignment="1">
      <alignment vertical="center"/>
    </xf>
    <xf numFmtId="3" fontId="16" fillId="33" borderId="0" xfId="0" applyNumberFormat="1" applyFont="1" applyFill="1" applyAlignment="1">
      <alignment horizontal="center" vertical="center"/>
    </xf>
    <xf numFmtId="0" fontId="16" fillId="33" borderId="0" xfId="0" applyFont="1" applyFill="1" applyAlignment="1">
      <alignment horizontal="center" vertical="center"/>
    </xf>
    <xf numFmtId="0" fontId="16" fillId="36" borderId="12" xfId="0" applyFont="1" applyFill="1" applyBorder="1" applyAlignment="1" applyProtection="1">
      <alignment vertical="center"/>
      <protection locked="0"/>
    </xf>
    <xf numFmtId="0" fontId="16" fillId="36" borderId="21" xfId="0" applyFont="1" applyFill="1" applyBorder="1" applyAlignment="1" applyProtection="1">
      <alignment vertical="center"/>
      <protection locked="0"/>
    </xf>
    <xf numFmtId="0" fontId="16" fillId="36" borderId="0" xfId="0" applyFont="1" applyFill="1" applyAlignment="1" applyProtection="1">
      <alignment vertical="center"/>
      <protection locked="0"/>
    </xf>
    <xf numFmtId="0" fontId="16" fillId="36" borderId="16" xfId="0" applyFont="1" applyFill="1" applyBorder="1" applyAlignment="1" applyProtection="1">
      <alignment vertical="center"/>
      <protection locked="0"/>
    </xf>
    <xf numFmtId="0" fontId="16" fillId="36" borderId="11" xfId="0" applyFont="1" applyFill="1" applyBorder="1" applyAlignment="1" applyProtection="1">
      <alignment vertical="center"/>
      <protection locked="0"/>
    </xf>
    <xf numFmtId="0" fontId="16" fillId="36" borderId="24" xfId="0" applyFont="1" applyFill="1" applyBorder="1" applyAlignment="1" applyProtection="1">
      <alignment vertical="center"/>
      <protection locked="0"/>
    </xf>
    <xf numFmtId="3" fontId="16" fillId="33" borderId="12" xfId="0" applyNumberFormat="1" applyFont="1" applyFill="1" applyBorder="1" applyAlignment="1">
      <alignment horizontal="center" vertical="center"/>
    </xf>
    <xf numFmtId="3" fontId="21" fillId="39" borderId="12" xfId="0" applyNumberFormat="1" applyFont="1" applyFill="1" applyBorder="1" applyAlignment="1">
      <alignment horizontal="center" vertical="center"/>
    </xf>
    <xf numFmtId="3" fontId="4" fillId="33" borderId="0" xfId="0" applyNumberFormat="1" applyFont="1" applyFill="1" applyAlignment="1">
      <alignment vertical="center"/>
    </xf>
    <xf numFmtId="3" fontId="4" fillId="0" borderId="0" xfId="0" applyNumberFormat="1" applyFont="1" applyAlignment="1">
      <alignment vertical="center"/>
    </xf>
    <xf numFmtId="3" fontId="21" fillId="34" borderId="12" xfId="0" applyNumberFormat="1" applyFont="1" applyFill="1" applyBorder="1" applyAlignment="1">
      <alignment horizontal="center" vertical="center"/>
    </xf>
    <xf numFmtId="0" fontId="4" fillId="0" borderId="0" xfId="0" applyFont="1" applyAlignment="1">
      <alignment horizontal="centerContinuous" vertical="center"/>
    </xf>
    <xf numFmtId="0" fontId="4" fillId="33" borderId="13" xfId="0" applyFont="1" applyFill="1" applyBorder="1" applyAlignment="1" applyProtection="1">
      <alignment horizontal="centerContinuous" vertical="center"/>
      <protection/>
    </xf>
    <xf numFmtId="1" fontId="4" fillId="33" borderId="19" xfId="0" applyNumberFormat="1" applyFont="1" applyFill="1" applyBorder="1" applyAlignment="1" applyProtection="1">
      <alignment horizontal="centerContinuous" vertical="center"/>
      <protection/>
    </xf>
    <xf numFmtId="164" fontId="4" fillId="33" borderId="12" xfId="0" applyNumberFormat="1" applyFont="1" applyFill="1" applyBorder="1" applyAlignment="1" applyProtection="1">
      <alignment vertical="center"/>
      <protection/>
    </xf>
    <xf numFmtId="37" fontId="4" fillId="33" borderId="12" xfId="0" applyNumberFormat="1" applyFont="1" applyFill="1" applyBorder="1" applyAlignment="1" applyProtection="1">
      <alignment vertical="center"/>
      <protection locked="0"/>
    </xf>
    <xf numFmtId="1" fontId="4" fillId="33" borderId="0" xfId="0" applyNumberFormat="1" applyFont="1" applyFill="1" applyAlignment="1" applyProtection="1">
      <alignment vertical="center"/>
      <protection/>
    </xf>
    <xf numFmtId="1" fontId="6" fillId="33" borderId="0" xfId="0" applyNumberFormat="1" applyFont="1" applyFill="1" applyAlignment="1" applyProtection="1">
      <alignment horizontal="center" vertical="center"/>
      <protection/>
    </xf>
    <xf numFmtId="37" fontId="4" fillId="33" borderId="14" xfId="0" applyNumberFormat="1" applyFont="1" applyFill="1" applyBorder="1" applyAlignment="1" applyProtection="1">
      <alignment vertical="center"/>
      <protection/>
    </xf>
    <xf numFmtId="0" fontId="4" fillId="36" borderId="0" xfId="0" applyFont="1" applyFill="1" applyAlignment="1" applyProtection="1">
      <alignment vertical="center"/>
      <protection locked="0"/>
    </xf>
    <xf numFmtId="3" fontId="26" fillId="39" borderId="0" xfId="0" applyNumberFormat="1" applyFont="1" applyFill="1" applyAlignment="1">
      <alignment horizontal="center" vertical="center"/>
    </xf>
    <xf numFmtId="37" fontId="13" fillId="33" borderId="0" xfId="0" applyNumberFormat="1" applyFont="1" applyFill="1" applyBorder="1" applyAlignment="1" applyProtection="1">
      <alignment horizontal="left" vertical="center"/>
      <protection/>
    </xf>
    <xf numFmtId="37" fontId="13" fillId="33" borderId="0" xfId="0" applyNumberFormat="1" applyFont="1" applyFill="1" applyBorder="1" applyAlignment="1" applyProtection="1">
      <alignment horizontal="fill" vertical="center"/>
      <protection/>
    </xf>
    <xf numFmtId="0" fontId="12" fillId="0" borderId="0" xfId="380" applyFont="1">
      <alignment/>
      <protection/>
    </xf>
    <xf numFmtId="0" fontId="12" fillId="0" borderId="0" xfId="380" applyNumberFormat="1" applyFont="1" applyAlignment="1">
      <alignment horizontal="left" vertical="center"/>
      <protection/>
    </xf>
    <xf numFmtId="0" fontId="4" fillId="0" borderId="0" xfId="380" applyFont="1" applyAlignment="1">
      <alignment horizontal="left" vertical="center"/>
      <protection/>
    </xf>
    <xf numFmtId="49" fontId="4" fillId="36" borderId="0" xfId="380" applyNumberFormat="1" applyFont="1" applyFill="1" applyAlignment="1" applyProtection="1">
      <alignment horizontal="left" vertical="center"/>
      <protection locked="0"/>
    </xf>
    <xf numFmtId="185" fontId="16" fillId="0" borderId="0" xfId="380" applyNumberFormat="1" applyFont="1" applyAlignment="1">
      <alignment horizontal="left" vertical="center"/>
      <protection/>
    </xf>
    <xf numFmtId="49" fontId="4" fillId="0" borderId="0" xfId="380" applyNumberFormat="1" applyFont="1" applyAlignment="1">
      <alignment horizontal="left" vertical="center"/>
      <protection/>
    </xf>
    <xf numFmtId="0" fontId="16" fillId="0" borderId="0" xfId="380" applyFont="1" applyAlignment="1">
      <alignment horizontal="left" vertical="center"/>
      <protection/>
    </xf>
    <xf numFmtId="186" fontId="16" fillId="0" borderId="0" xfId="380" applyNumberFormat="1" applyFont="1" applyAlignment="1">
      <alignment horizontal="left" vertical="center"/>
      <protection/>
    </xf>
    <xf numFmtId="0" fontId="4" fillId="36" borderId="0" xfId="380" applyFont="1" applyFill="1" applyAlignment="1" applyProtection="1">
      <alignment horizontal="left" vertical="center"/>
      <protection locked="0"/>
    </xf>
    <xf numFmtId="0" fontId="12" fillId="36" borderId="0" xfId="380" applyFont="1" applyFill="1" applyAlignment="1" applyProtection="1">
      <alignment horizontal="left" vertical="center"/>
      <protection locked="0"/>
    </xf>
    <xf numFmtId="0" fontId="31" fillId="33" borderId="0" xfId="0" applyFont="1" applyFill="1" applyAlignment="1" applyProtection="1">
      <alignment horizontal="right" vertical="center"/>
      <protection locked="0"/>
    </xf>
    <xf numFmtId="0" fontId="8" fillId="33" borderId="0" xfId="0" applyFont="1" applyFill="1" applyAlignment="1" applyProtection="1">
      <alignment horizontal="left" vertical="center"/>
      <protection locked="0"/>
    </xf>
    <xf numFmtId="3" fontId="16" fillId="34" borderId="11" xfId="0" applyNumberFormat="1" applyFont="1" applyFill="1" applyBorder="1" applyAlignment="1">
      <alignment horizontal="center" vertical="center"/>
    </xf>
    <xf numFmtId="0" fontId="4" fillId="36" borderId="15" xfId="0" applyFont="1" applyFill="1" applyBorder="1" applyAlignment="1" applyProtection="1">
      <alignment vertical="center"/>
      <protection locked="0"/>
    </xf>
    <xf numFmtId="14" fontId="4" fillId="36" borderId="12" xfId="0" applyNumberFormat="1" applyFont="1" applyFill="1" applyBorder="1" applyAlignment="1" applyProtection="1">
      <alignment vertical="center"/>
      <protection locked="0"/>
    </xf>
    <xf numFmtId="14" fontId="4" fillId="36" borderId="12" xfId="0" applyNumberFormat="1" applyFont="1" applyFill="1" applyBorder="1" applyAlignment="1" applyProtection="1">
      <alignment horizontal="center" vertical="center"/>
      <protection locked="0"/>
    </xf>
    <xf numFmtId="3" fontId="4" fillId="36" borderId="19" xfId="0" applyNumberFormat="1" applyFont="1" applyFill="1" applyBorder="1" applyAlignment="1" applyProtection="1">
      <alignment vertical="center"/>
      <protection locked="0"/>
    </xf>
    <xf numFmtId="3" fontId="18" fillId="40" borderId="19" xfId="0" applyNumberFormat="1" applyFont="1" applyFill="1" applyBorder="1" applyAlignment="1" applyProtection="1">
      <alignment horizontal="center" vertical="center"/>
      <protection/>
    </xf>
    <xf numFmtId="3" fontId="5" fillId="34" borderId="19" xfId="0" applyNumberFormat="1" applyFont="1" applyFill="1" applyBorder="1" applyAlignment="1" applyProtection="1">
      <alignment vertical="center"/>
      <protection/>
    </xf>
    <xf numFmtId="0" fontId="4" fillId="33" borderId="27" xfId="0" applyNumberFormat="1" applyFont="1" applyFill="1" applyBorder="1" applyAlignment="1" applyProtection="1">
      <alignment horizontal="center" vertical="center"/>
      <protection/>
    </xf>
    <xf numFmtId="3" fontId="4" fillId="33" borderId="19"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3" fontId="4" fillId="33" borderId="19" xfId="0" applyNumberFormat="1" applyFont="1" applyFill="1" applyBorder="1" applyAlignment="1" applyProtection="1">
      <alignment horizontal="right" vertical="center"/>
      <protection locked="0"/>
    </xf>
    <xf numFmtId="3" fontId="4" fillId="36" borderId="19" xfId="0" applyNumberFormat="1" applyFont="1" applyFill="1" applyBorder="1" applyAlignment="1" applyProtection="1">
      <alignment horizontal="right" vertical="center"/>
      <protection locked="0"/>
    </xf>
    <xf numFmtId="3" fontId="4" fillId="33" borderId="19" xfId="0" applyNumberFormat="1" applyFont="1" applyFill="1" applyBorder="1" applyAlignment="1" applyProtection="1">
      <alignment horizontal="right" vertical="center"/>
      <protection/>
    </xf>
    <xf numFmtId="3" fontId="4" fillId="33" borderId="19" xfId="42" applyNumberFormat="1" applyFont="1" applyFill="1" applyBorder="1" applyAlignment="1" applyProtection="1">
      <alignment horizontal="right" vertical="center"/>
      <protection/>
    </xf>
    <xf numFmtId="3" fontId="5" fillId="34" borderId="27" xfId="0" applyNumberFormat="1" applyFont="1" applyFill="1" applyBorder="1" applyAlignment="1" applyProtection="1">
      <alignment horizontal="right" vertical="center"/>
      <protection/>
    </xf>
    <xf numFmtId="3" fontId="5" fillId="34" borderId="19" xfId="0" applyNumberFormat="1" applyFont="1" applyFill="1" applyBorder="1" applyAlignment="1" applyProtection="1">
      <alignment horizontal="right" vertical="center"/>
      <protection/>
    </xf>
    <xf numFmtId="3" fontId="4" fillId="34" borderId="19" xfId="0" applyNumberFormat="1" applyFont="1" applyFill="1" applyBorder="1" applyAlignment="1" applyProtection="1">
      <alignment horizontal="right" vertical="center"/>
      <protection/>
    </xf>
    <xf numFmtId="49" fontId="4" fillId="36" borderId="12" xfId="0" applyNumberFormat="1" applyFont="1" applyFill="1" applyBorder="1" applyAlignment="1" applyProtection="1">
      <alignment horizontal="center" vertical="center"/>
      <protection locked="0"/>
    </xf>
    <xf numFmtId="184" fontId="4" fillId="36" borderId="12" xfId="0" applyNumberFormat="1" applyFont="1" applyFill="1" applyBorder="1" applyAlignment="1" applyProtection="1">
      <alignment vertical="center"/>
      <protection locked="0"/>
    </xf>
    <xf numFmtId="184" fontId="4" fillId="36" borderId="12" xfId="0" applyNumberFormat="1" applyFont="1" applyFill="1" applyBorder="1" applyAlignment="1" applyProtection="1">
      <alignment vertical="center"/>
      <protection locked="0"/>
    </xf>
    <xf numFmtId="37" fontId="13" fillId="33" borderId="0" xfId="0" applyNumberFormat="1" applyFont="1" applyFill="1" applyAlignment="1" applyProtection="1">
      <alignment horizontal="center" vertical="center"/>
      <protection locked="0"/>
    </xf>
    <xf numFmtId="37" fontId="13" fillId="33" borderId="0" xfId="0" applyNumberFormat="1" applyFont="1" applyFill="1" applyAlignment="1" applyProtection="1">
      <alignment horizontal="left" vertical="center"/>
      <protection locked="0"/>
    </xf>
    <xf numFmtId="0" fontId="13" fillId="33" borderId="22" xfId="0" applyFont="1" applyFill="1" applyBorder="1" applyAlignment="1" applyProtection="1">
      <alignment vertical="center"/>
      <protection/>
    </xf>
    <xf numFmtId="0" fontId="13" fillId="33" borderId="22" xfId="0" applyFont="1" applyFill="1" applyBorder="1" applyAlignment="1" applyProtection="1">
      <alignment vertical="center"/>
      <protection locked="0"/>
    </xf>
    <xf numFmtId="0" fontId="13" fillId="37" borderId="12" xfId="0" applyFont="1" applyFill="1" applyBorder="1" applyAlignment="1" applyProtection="1">
      <alignment horizontal="center" vertical="center"/>
      <protection/>
    </xf>
    <xf numFmtId="37" fontId="13" fillId="33" borderId="22" xfId="0" applyNumberFormat="1" applyFont="1" applyFill="1" applyBorder="1" applyAlignment="1" applyProtection="1">
      <alignment horizontal="center" vertical="center"/>
      <protection/>
    </xf>
    <xf numFmtId="37" fontId="8" fillId="33" borderId="20" xfId="0" applyNumberFormat="1" applyFont="1" applyFill="1" applyBorder="1" applyAlignment="1" applyProtection="1">
      <alignment horizontal="center" vertical="center"/>
      <protection/>
    </xf>
    <xf numFmtId="1" fontId="8" fillId="33" borderId="20" xfId="0" applyNumberFormat="1" applyFont="1" applyFill="1" applyBorder="1" applyAlignment="1" applyProtection="1">
      <alignment horizontal="center" vertical="center"/>
      <protection/>
    </xf>
    <xf numFmtId="37" fontId="8" fillId="33" borderId="13" xfId="0" applyNumberFormat="1" applyFont="1" applyFill="1" applyBorder="1" applyAlignment="1" applyProtection="1">
      <alignment horizontal="center" vertical="center"/>
      <protection/>
    </xf>
    <xf numFmtId="0" fontId="16" fillId="39" borderId="15" xfId="75" applyFont="1" applyFill="1" applyBorder="1" applyAlignment="1" applyProtection="1">
      <alignment vertical="center"/>
      <protection/>
    </xf>
    <xf numFmtId="190" fontId="16" fillId="39" borderId="27" xfId="75" applyNumberFormat="1" applyFont="1" applyFill="1" applyBorder="1" applyAlignment="1" applyProtection="1">
      <alignment horizontal="center" vertical="center"/>
      <protection/>
    </xf>
    <xf numFmtId="190" fontId="16" fillId="33" borderId="28" xfId="75" applyNumberFormat="1" applyFont="1" applyFill="1" applyBorder="1" applyAlignment="1" applyProtection="1">
      <alignment vertical="center"/>
      <protection/>
    </xf>
    <xf numFmtId="190" fontId="16" fillId="33" borderId="27" xfId="75" applyNumberFormat="1" applyFont="1" applyFill="1" applyBorder="1" applyAlignment="1" applyProtection="1">
      <alignment horizontal="center" vertical="center"/>
      <protection/>
    </xf>
    <xf numFmtId="0" fontId="16" fillId="33" borderId="0" xfId="75" applyFont="1" applyFill="1" applyBorder="1" applyAlignment="1" applyProtection="1">
      <alignment vertical="center"/>
      <protection/>
    </xf>
    <xf numFmtId="0" fontId="16" fillId="33" borderId="0" xfId="75" applyFont="1" applyFill="1" applyBorder="1" applyAlignment="1" applyProtection="1">
      <alignment horizontal="left" vertical="center"/>
      <protection/>
    </xf>
    <xf numFmtId="190" fontId="16" fillId="33" borderId="28" xfId="75" applyNumberFormat="1" applyFont="1" applyFill="1" applyBorder="1" applyAlignment="1" applyProtection="1">
      <alignment horizontal="center" vertical="center"/>
      <protection/>
    </xf>
    <xf numFmtId="0" fontId="30" fillId="0" borderId="0" xfId="0" applyFont="1" applyAlignment="1" applyProtection="1">
      <alignment vertical="center"/>
      <protection/>
    </xf>
    <xf numFmtId="190" fontId="14" fillId="39" borderId="17" xfId="75" applyNumberFormat="1" applyFont="1" applyFill="1" applyBorder="1" applyAlignment="1" applyProtection="1">
      <alignment horizontal="center" vertical="center"/>
      <protection/>
    </xf>
    <xf numFmtId="0" fontId="13" fillId="39" borderId="15" xfId="75" applyFont="1" applyFill="1" applyBorder="1" applyAlignment="1" applyProtection="1">
      <alignment vertical="center"/>
      <protection/>
    </xf>
    <xf numFmtId="0" fontId="4" fillId="39" borderId="15" xfId="75" applyFont="1" applyFill="1" applyBorder="1" applyAlignment="1" applyProtection="1">
      <alignment vertical="center"/>
      <protection/>
    </xf>
    <xf numFmtId="0" fontId="14" fillId="39" borderId="27" xfId="75" applyFont="1" applyFill="1" applyBorder="1" applyAlignment="1" applyProtection="1">
      <alignment vertical="center"/>
      <protection/>
    </xf>
    <xf numFmtId="0" fontId="14" fillId="33" borderId="17" xfId="75" applyFont="1" applyFill="1" applyBorder="1" applyAlignment="1" applyProtection="1">
      <alignment horizontal="center" vertical="center"/>
      <protection/>
    </xf>
    <xf numFmtId="190" fontId="13" fillId="36" borderId="12" xfId="75" applyNumberFormat="1" applyFont="1" applyFill="1" applyBorder="1" applyAlignment="1" applyProtection="1">
      <alignment horizontal="center" vertical="center"/>
      <protection locked="0"/>
    </xf>
    <xf numFmtId="0" fontId="13" fillId="33" borderId="28" xfId="75" applyFont="1" applyFill="1" applyBorder="1" applyAlignment="1" applyProtection="1">
      <alignment horizontal="left" vertical="center"/>
      <protection/>
    </xf>
    <xf numFmtId="190" fontId="13" fillId="33" borderId="24" xfId="75" applyNumberFormat="1" applyFont="1" applyFill="1" applyBorder="1" applyAlignment="1" applyProtection="1">
      <alignment horizontal="center" vertical="center"/>
      <protection/>
    </xf>
    <xf numFmtId="0" fontId="13" fillId="33" borderId="28" xfId="75" applyFont="1" applyFill="1" applyBorder="1" applyAlignment="1" applyProtection="1">
      <alignment vertical="center"/>
      <protection/>
    </xf>
    <xf numFmtId="0" fontId="0" fillId="33" borderId="16" xfId="75" applyFill="1" applyBorder="1" applyAlignment="1" applyProtection="1">
      <alignment vertical="center"/>
      <protection/>
    </xf>
    <xf numFmtId="0" fontId="22" fillId="33" borderId="18" xfId="75" applyFont="1" applyFill="1" applyBorder="1" applyAlignment="1" applyProtection="1">
      <alignment horizontal="center" vertical="center"/>
      <protection/>
    </xf>
    <xf numFmtId="0" fontId="13" fillId="33" borderId="18" xfId="75" applyFont="1" applyFill="1" applyBorder="1" applyAlignment="1" applyProtection="1">
      <alignment horizontal="left" vertical="center"/>
      <protection/>
    </xf>
    <xf numFmtId="184" fontId="22" fillId="33" borderId="19" xfId="75" applyNumberFormat="1" applyFont="1" applyFill="1" applyBorder="1" applyAlignment="1" applyProtection="1">
      <alignment horizontal="center" vertical="center"/>
      <protection/>
    </xf>
    <xf numFmtId="0" fontId="4" fillId="39" borderId="17" xfId="75" applyFont="1" applyFill="1" applyBorder="1" applyAlignment="1" applyProtection="1">
      <alignment vertical="center"/>
      <protection/>
    </xf>
    <xf numFmtId="0" fontId="13" fillId="39" borderId="17" xfId="75" applyFont="1" applyFill="1" applyBorder="1" applyAlignment="1" applyProtection="1">
      <alignment vertical="center"/>
      <protection/>
    </xf>
    <xf numFmtId="37" fontId="13" fillId="33" borderId="11" xfId="84" applyNumberFormat="1" applyFont="1" applyFill="1" applyBorder="1" applyAlignment="1" applyProtection="1">
      <alignment horizontal="center" vertical="center"/>
      <protection/>
    </xf>
    <xf numFmtId="37" fontId="13" fillId="33" borderId="10" xfId="84" applyNumberFormat="1" applyFont="1" applyFill="1" applyBorder="1" applyAlignment="1" applyProtection="1">
      <alignment horizontal="center" vertical="center"/>
      <protection/>
    </xf>
    <xf numFmtId="184" fontId="4" fillId="33" borderId="0" xfId="0" applyNumberFormat="1" applyFont="1" applyFill="1" applyAlignment="1">
      <alignment horizontal="center" vertical="center"/>
    </xf>
    <xf numFmtId="0" fontId="19" fillId="33" borderId="12" xfId="0" applyFont="1" applyFill="1" applyBorder="1" applyAlignment="1" applyProtection="1">
      <alignment horizontal="center" vertical="center"/>
      <protection/>
    </xf>
    <xf numFmtId="3" fontId="19" fillId="33" borderId="12" xfId="0" applyNumberFormat="1" applyFont="1" applyFill="1" applyBorder="1" applyAlignment="1" applyProtection="1">
      <alignment horizontal="center" vertical="center"/>
      <protection/>
    </xf>
    <xf numFmtId="3" fontId="18" fillId="40" borderId="13" xfId="0" applyNumberFormat="1" applyFont="1" applyFill="1" applyBorder="1" applyAlignment="1" applyProtection="1">
      <alignment horizontal="center" vertical="center"/>
      <protection/>
    </xf>
    <xf numFmtId="0" fontId="5" fillId="33" borderId="17" xfId="0" applyFont="1" applyFill="1" applyBorder="1" applyAlignment="1" applyProtection="1">
      <alignment vertical="center"/>
      <protection/>
    </xf>
    <xf numFmtId="37" fontId="5" fillId="33" borderId="15" xfId="0" applyNumberFormat="1" applyFont="1" applyFill="1" applyBorder="1" applyAlignment="1" applyProtection="1">
      <alignment vertical="center"/>
      <protection/>
    </xf>
    <xf numFmtId="37" fontId="5" fillId="33" borderId="0" xfId="0" applyNumberFormat="1" applyFont="1" applyFill="1" applyBorder="1" applyAlignment="1" applyProtection="1">
      <alignment vertical="center"/>
      <protection/>
    </xf>
    <xf numFmtId="3" fontId="4" fillId="39" borderId="19" xfId="0" applyNumberFormat="1" applyFont="1" applyFill="1" applyBorder="1" applyAlignment="1" applyProtection="1">
      <alignment vertical="center"/>
      <protection/>
    </xf>
    <xf numFmtId="0" fontId="14" fillId="39" borderId="15" xfId="75" applyFont="1" applyFill="1" applyBorder="1" applyAlignment="1" applyProtection="1">
      <alignment vertical="center"/>
      <protection/>
    </xf>
    <xf numFmtId="190" fontId="14" fillId="39" borderId="27" xfId="75" applyNumberFormat="1" applyFont="1" applyFill="1" applyBorder="1" applyAlignment="1" applyProtection="1">
      <alignment horizontal="center" vertical="center"/>
      <protection/>
    </xf>
    <xf numFmtId="190" fontId="13" fillId="33" borderId="28" xfId="75" applyNumberFormat="1" applyFont="1" applyFill="1" applyBorder="1" applyAlignment="1" applyProtection="1">
      <alignment vertical="center"/>
      <protection/>
    </xf>
    <xf numFmtId="190" fontId="13" fillId="33" borderId="27" xfId="75" applyNumberFormat="1" applyFont="1" applyFill="1" applyBorder="1" applyAlignment="1" applyProtection="1">
      <alignment horizontal="center" vertical="center"/>
      <protection/>
    </xf>
    <xf numFmtId="0" fontId="13" fillId="33" borderId="0" xfId="75" applyFont="1" applyFill="1" applyBorder="1" applyAlignment="1" applyProtection="1">
      <alignment vertical="center"/>
      <protection/>
    </xf>
    <xf numFmtId="0" fontId="13" fillId="33" borderId="24" xfId="75" applyFont="1" applyFill="1" applyBorder="1" applyAlignment="1" applyProtection="1">
      <alignment vertical="center"/>
      <protection/>
    </xf>
    <xf numFmtId="0" fontId="13" fillId="33" borderId="0" xfId="75" applyFont="1" applyFill="1" applyBorder="1" applyAlignment="1" applyProtection="1">
      <alignment horizontal="left" vertical="center"/>
      <protection/>
    </xf>
    <xf numFmtId="0" fontId="30" fillId="0" borderId="0" xfId="0" applyFont="1" applyAlignment="1">
      <alignment vertical="center"/>
    </xf>
    <xf numFmtId="190" fontId="13" fillId="33" borderId="28" xfId="75" applyNumberFormat="1" applyFont="1" applyFill="1" applyBorder="1" applyAlignment="1" applyProtection="1">
      <alignment horizontal="center" vertical="center"/>
      <protection/>
    </xf>
    <xf numFmtId="0" fontId="4" fillId="33" borderId="0" xfId="87" applyFont="1" applyFill="1" applyAlignment="1" applyProtection="1">
      <alignment horizontal="right" vertical="center"/>
      <protection/>
    </xf>
    <xf numFmtId="0" fontId="25" fillId="33" borderId="0" xfId="0" applyFont="1" applyFill="1" applyBorder="1" applyAlignment="1" applyProtection="1">
      <alignment horizontal="center" vertical="center"/>
      <protection/>
    </xf>
    <xf numFmtId="0" fontId="25" fillId="33" borderId="0" xfId="0" applyFont="1" applyFill="1" applyAlignment="1" applyProtection="1">
      <alignment horizontal="center" vertical="center"/>
      <protection/>
    </xf>
    <xf numFmtId="0" fontId="4" fillId="33" borderId="29" xfId="0" applyFont="1" applyFill="1" applyBorder="1" applyAlignment="1" applyProtection="1">
      <alignment vertical="center"/>
      <protection locked="0"/>
    </xf>
    <xf numFmtId="0" fontId="4" fillId="33" borderId="29" xfId="0" applyFont="1" applyFill="1" applyBorder="1" applyAlignment="1" applyProtection="1">
      <alignment vertical="center"/>
      <protection/>
    </xf>
    <xf numFmtId="37" fontId="4" fillId="33" borderId="29" xfId="0" applyNumberFormat="1"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xf>
    <xf numFmtId="0" fontId="0" fillId="0" borderId="0" xfId="75">
      <alignment/>
      <protection/>
    </xf>
    <xf numFmtId="37" fontId="4" fillId="33" borderId="13" xfId="75" applyNumberFormat="1" applyFont="1" applyFill="1" applyBorder="1" applyAlignment="1" applyProtection="1">
      <alignment horizontal="center"/>
      <protection/>
    </xf>
    <xf numFmtId="37" fontId="4" fillId="33" borderId="11" xfId="75" applyNumberFormat="1" applyFont="1" applyFill="1" applyBorder="1" applyAlignment="1" applyProtection="1">
      <alignment horizontal="center"/>
      <protection/>
    </xf>
    <xf numFmtId="0" fontId="4" fillId="33" borderId="0" xfId="75" applyFont="1" applyFill="1" applyBorder="1" applyAlignment="1" applyProtection="1">
      <alignment vertical="center"/>
      <protection/>
    </xf>
    <xf numFmtId="0" fontId="4" fillId="33" borderId="28" xfId="75" applyFont="1" applyFill="1" applyBorder="1" applyAlignment="1" applyProtection="1">
      <alignment vertical="center"/>
      <protection/>
    </xf>
    <xf numFmtId="0" fontId="4" fillId="33" borderId="24" xfId="75" applyFont="1" applyFill="1" applyBorder="1" applyAlignment="1" applyProtection="1">
      <alignment vertical="center"/>
      <protection/>
    </xf>
    <xf numFmtId="0" fontId="4" fillId="0" borderId="0" xfId="75" applyFont="1" applyFill="1" applyBorder="1" applyAlignment="1" applyProtection="1">
      <alignment vertical="center"/>
      <protection/>
    </xf>
    <xf numFmtId="0" fontId="4" fillId="33" borderId="0" xfId="84" applyFont="1" applyFill="1" applyBorder="1" applyProtection="1">
      <alignment/>
      <protection/>
    </xf>
    <xf numFmtId="190" fontId="4" fillId="33" borderId="24" xfId="84" applyNumberFormat="1" applyFont="1" applyFill="1" applyBorder="1" applyAlignment="1" applyProtection="1">
      <alignment horizontal="center"/>
      <protection/>
    </xf>
    <xf numFmtId="190" fontId="4" fillId="39" borderId="17" xfId="84" applyNumberFormat="1" applyFont="1" applyFill="1" applyBorder="1" applyAlignment="1" applyProtection="1">
      <alignment horizontal="center"/>
      <protection/>
    </xf>
    <xf numFmtId="0" fontId="4" fillId="0" borderId="0" xfId="84" applyFont="1" applyFill="1" applyBorder="1" applyProtection="1">
      <alignment/>
      <protection/>
    </xf>
    <xf numFmtId="0" fontId="4" fillId="33" borderId="28" xfId="84" applyFont="1" applyFill="1" applyBorder="1" applyProtection="1">
      <alignment/>
      <protection/>
    </xf>
    <xf numFmtId="0" fontId="4" fillId="33" borderId="24" xfId="84" applyFont="1" applyFill="1" applyBorder="1" applyProtection="1">
      <alignment/>
      <protection/>
    </xf>
    <xf numFmtId="183" fontId="4" fillId="33" borderId="24" xfId="84" applyNumberFormat="1" applyFont="1" applyFill="1" applyBorder="1" applyAlignment="1" applyProtection="1">
      <alignment horizontal="center"/>
      <protection/>
    </xf>
    <xf numFmtId="0" fontId="4" fillId="39" borderId="28" xfId="84" applyFont="1" applyFill="1" applyBorder="1" applyProtection="1">
      <alignment/>
      <protection/>
    </xf>
    <xf numFmtId="0" fontId="4" fillId="39" borderId="0" xfId="84" applyFont="1" applyFill="1" applyBorder="1" applyProtection="1">
      <alignment/>
      <protection/>
    </xf>
    <xf numFmtId="0" fontId="4" fillId="39" borderId="27" xfId="84" applyFont="1" applyFill="1" applyBorder="1" applyProtection="1">
      <alignment/>
      <protection/>
    </xf>
    <xf numFmtId="0" fontId="4" fillId="39" borderId="15" xfId="84" applyFont="1" applyFill="1" applyBorder="1" applyProtection="1">
      <alignment/>
      <protection/>
    </xf>
    <xf numFmtId="0" fontId="4" fillId="0" borderId="0" xfId="84" applyFont="1" applyProtection="1">
      <alignment/>
      <protection/>
    </xf>
    <xf numFmtId="190" fontId="4" fillId="33" borderId="17" xfId="84" applyNumberFormat="1" applyFont="1" applyFill="1" applyBorder="1" applyAlignment="1" applyProtection="1">
      <alignment horizontal="center"/>
      <protection/>
    </xf>
    <xf numFmtId="184" fontId="4" fillId="36" borderId="24" xfId="84" applyNumberFormat="1" applyFont="1" applyFill="1" applyBorder="1" applyAlignment="1" applyProtection="1">
      <alignment horizontal="center"/>
      <protection locked="0"/>
    </xf>
    <xf numFmtId="37" fontId="4" fillId="34" borderId="14" xfId="0" applyNumberFormat="1" applyFont="1" applyFill="1" applyBorder="1" applyAlignment="1" applyProtection="1">
      <alignment vertical="center"/>
      <protection/>
    </xf>
    <xf numFmtId="1" fontId="8" fillId="33" borderId="13" xfId="0" applyNumberFormat="1" applyFont="1" applyFill="1" applyBorder="1" applyAlignment="1" applyProtection="1">
      <alignment horizontal="center" vertical="center"/>
      <protection/>
    </xf>
    <xf numFmtId="192" fontId="13" fillId="33" borderId="12" xfId="0" applyNumberFormat="1" applyFont="1" applyFill="1" applyBorder="1" applyAlignment="1" applyProtection="1">
      <alignment vertical="center"/>
      <protection/>
    </xf>
    <xf numFmtId="190" fontId="4" fillId="39" borderId="24" xfId="84" applyNumberFormat="1" applyFont="1" applyFill="1" applyBorder="1" applyAlignment="1" applyProtection="1">
      <alignment horizontal="center"/>
      <protection/>
    </xf>
    <xf numFmtId="0" fontId="4" fillId="39" borderId="27" xfId="0" applyFont="1" applyFill="1" applyBorder="1" applyAlignment="1">
      <alignment vertical="center"/>
    </xf>
    <xf numFmtId="0" fontId="4" fillId="39" borderId="15" xfId="0" applyFont="1" applyFill="1" applyBorder="1" applyAlignment="1">
      <alignment vertical="center"/>
    </xf>
    <xf numFmtId="190" fontId="4" fillId="39" borderId="17" xfId="0" applyNumberFormat="1" applyFont="1" applyFill="1" applyBorder="1" applyAlignment="1">
      <alignment horizontal="center" vertical="center"/>
    </xf>
    <xf numFmtId="2" fontId="4" fillId="36" borderId="12" xfId="0" applyNumberFormat="1" applyFont="1" applyFill="1" applyBorder="1" applyAlignment="1" applyProtection="1">
      <alignment horizontal="right" vertical="center"/>
      <protection locked="0"/>
    </xf>
    <xf numFmtId="0" fontId="0" fillId="0" borderId="11" xfId="0" applyBorder="1" applyAlignment="1">
      <alignment horizontal="center" vertical="center" wrapText="1"/>
    </xf>
    <xf numFmtId="175" fontId="4" fillId="36" borderId="19" xfId="42" applyNumberFormat="1" applyFont="1" applyFill="1" applyBorder="1" applyAlignment="1" applyProtection="1">
      <alignment vertical="center"/>
      <protection locked="0"/>
    </xf>
    <xf numFmtId="175" fontId="4" fillId="36" borderId="12" xfId="42" applyNumberFormat="1" applyFont="1" applyFill="1" applyBorder="1" applyAlignment="1" applyProtection="1">
      <alignment vertical="center"/>
      <protection locked="0"/>
    </xf>
    <xf numFmtId="0" fontId="16" fillId="36" borderId="12" xfId="0" applyFont="1" applyFill="1" applyBorder="1" applyAlignment="1" applyProtection="1">
      <alignment horizontal="left" vertical="center"/>
      <protection locked="0"/>
    </xf>
    <xf numFmtId="0" fontId="16" fillId="36" borderId="19" xfId="0" applyFont="1" applyFill="1" applyBorder="1" applyAlignment="1" applyProtection="1">
      <alignment horizontal="left" vertical="center"/>
      <protection locked="0"/>
    </xf>
    <xf numFmtId="0" fontId="18" fillId="33" borderId="0" xfId="0" applyFont="1" applyFill="1" applyAlignment="1">
      <alignment horizontal="center" vertical="center"/>
    </xf>
    <xf numFmtId="0" fontId="23" fillId="33" borderId="0" xfId="0" applyFont="1" applyFill="1" applyAlignment="1">
      <alignment horizontal="center" vertical="center"/>
    </xf>
    <xf numFmtId="0" fontId="18" fillId="33" borderId="27" xfId="0" applyFont="1" applyFill="1" applyBorder="1" applyAlignment="1">
      <alignment horizontal="center" vertical="center"/>
    </xf>
    <xf numFmtId="0" fontId="23" fillId="33" borderId="15" xfId="0" applyFont="1" applyFill="1" applyBorder="1" applyAlignment="1">
      <alignment horizontal="center" vertical="center"/>
    </xf>
    <xf numFmtId="175" fontId="18" fillId="33" borderId="0" xfId="42" applyNumberFormat="1" applyFont="1" applyFill="1" applyAlignment="1">
      <alignment vertical="center"/>
    </xf>
    <xf numFmtId="175" fontId="23" fillId="33" borderId="0" xfId="42" applyNumberFormat="1" applyFont="1" applyFill="1" applyAlignment="1">
      <alignment vertical="center"/>
    </xf>
    <xf numFmtId="175" fontId="0" fillId="33" borderId="0" xfId="42" applyNumberFormat="1" applyFont="1" applyFill="1" applyAlignment="1">
      <alignment vertical="center"/>
    </xf>
    <xf numFmtId="183" fontId="4" fillId="36" borderId="12" xfId="0" applyNumberFormat="1" applyFont="1" applyFill="1" applyBorder="1" applyAlignment="1" applyProtection="1">
      <alignment vertical="center"/>
      <protection locked="0"/>
    </xf>
    <xf numFmtId="37" fontId="4" fillId="37" borderId="0" xfId="0" applyNumberFormat="1" applyFont="1" applyFill="1" applyAlignment="1" applyProtection="1">
      <alignment horizontal="center" vertical="center" wrapText="1"/>
      <protection/>
    </xf>
    <xf numFmtId="0" fontId="0" fillId="37" borderId="15" xfId="0" applyFill="1" applyBorder="1" applyAlignment="1">
      <alignment horizontal="center" vertical="center" wrapText="1"/>
    </xf>
    <xf numFmtId="37" fontId="19" fillId="33"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5" fillId="33"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5"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4" fillId="37" borderId="1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8" fillId="33" borderId="0" xfId="0" applyFont="1" applyFill="1" applyBorder="1" applyAlignment="1">
      <alignment vertical="center"/>
    </xf>
    <xf numFmtId="0" fontId="23" fillId="0" borderId="0" xfId="0" applyFont="1" applyAlignment="1">
      <alignment vertical="center"/>
    </xf>
    <xf numFmtId="0" fontId="4" fillId="0" borderId="0" xfId="380" applyFont="1" applyAlignment="1">
      <alignment horizontal="left" vertical="center" wrapText="1"/>
      <protection/>
    </xf>
    <xf numFmtId="0" fontId="12" fillId="0" borderId="0" xfId="380" applyFont="1" applyAlignment="1">
      <alignment horizontal="left" vertical="center" wrapText="1"/>
      <protection/>
    </xf>
    <xf numFmtId="0" fontId="17" fillId="0" borderId="0" xfId="380" applyFont="1" applyAlignment="1">
      <alignment horizontal="left" vertical="center"/>
      <protection/>
    </xf>
    <xf numFmtId="37" fontId="13" fillId="0" borderId="0" xfId="0" applyNumberFormat="1" applyFont="1" applyAlignment="1" applyProtection="1">
      <alignment horizontal="center" vertical="center"/>
      <protection locked="0"/>
    </xf>
    <xf numFmtId="37" fontId="14" fillId="33" borderId="0" xfId="0" applyNumberFormat="1" applyFont="1" applyFill="1" applyAlignment="1" applyProtection="1">
      <alignment horizontal="center" vertical="center"/>
      <protection/>
    </xf>
    <xf numFmtId="37" fontId="13" fillId="33" borderId="13" xfId="0" applyNumberFormat="1" applyFont="1" applyFill="1" applyBorder="1" applyAlignment="1" applyProtection="1">
      <alignment horizontal="center" vertical="center" wrapText="1"/>
      <protection/>
    </xf>
    <xf numFmtId="0" fontId="15" fillId="0" borderId="11" xfId="0" applyFont="1" applyBorder="1" applyAlignment="1">
      <alignment horizontal="center" vertical="center" wrapText="1"/>
    </xf>
    <xf numFmtId="37" fontId="22" fillId="33"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3" fillId="33"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3" fillId="33" borderId="19" xfId="0" applyNumberFormat="1" applyFont="1" applyFill="1" applyBorder="1" applyAlignment="1" applyProtection="1">
      <alignment horizontal="fill" vertical="center"/>
      <protection/>
    </xf>
    <xf numFmtId="0" fontId="0" fillId="0" borderId="16" xfId="0" applyBorder="1" applyAlignment="1">
      <alignment vertical="center"/>
    </xf>
    <xf numFmtId="0" fontId="13" fillId="33" borderId="0" xfId="0" applyFont="1" applyFill="1" applyAlignment="1" applyProtection="1">
      <alignment horizontal="center" vertical="center"/>
      <protection/>
    </xf>
    <xf numFmtId="0" fontId="13" fillId="37" borderId="13" xfId="0" applyFont="1" applyFill="1" applyBorder="1" applyAlignment="1" applyProtection="1">
      <alignment horizontal="center" vertical="center" wrapText="1"/>
      <protection/>
    </xf>
    <xf numFmtId="0" fontId="0" fillId="0" borderId="11" xfId="0" applyBorder="1" applyAlignment="1">
      <alignment vertical="center" wrapText="1"/>
    </xf>
    <xf numFmtId="0" fontId="7" fillId="33" borderId="0" xfId="0"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37" fontId="4" fillId="33" borderId="13" xfId="0" applyNumberFormat="1" applyFont="1" applyFill="1" applyBorder="1" applyAlignment="1" applyProtection="1">
      <alignment horizontal="center" wrapText="1"/>
      <protection/>
    </xf>
    <xf numFmtId="0" fontId="0" fillId="0" borderId="11" xfId="0" applyBorder="1" applyAlignment="1">
      <alignment horizontal="center" wrapText="1"/>
    </xf>
    <xf numFmtId="37" fontId="5" fillId="33" borderId="0" xfId="0" applyNumberFormat="1" applyFont="1" applyFill="1" applyAlignment="1" applyProtection="1">
      <alignment horizontal="center"/>
      <protection/>
    </xf>
    <xf numFmtId="0" fontId="0" fillId="0" borderId="0" xfId="0" applyAlignment="1">
      <alignment/>
    </xf>
    <xf numFmtId="37" fontId="4" fillId="33" borderId="19" xfId="0" applyNumberFormat="1" applyFont="1" applyFill="1" applyBorder="1" applyAlignment="1" applyProtection="1">
      <alignment horizontal="center"/>
      <protection/>
    </xf>
    <xf numFmtId="0" fontId="0" fillId="0" borderId="18" xfId="0" applyBorder="1" applyAlignment="1">
      <alignment horizontal="center"/>
    </xf>
    <xf numFmtId="0" fontId="0" fillId="0" borderId="16" xfId="0" applyBorder="1" applyAlignment="1">
      <alignment horizontal="center"/>
    </xf>
    <xf numFmtId="0" fontId="4" fillId="33" borderId="27"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4" fillId="33" borderId="27"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4" fillId="33" borderId="0" xfId="0" applyFont="1" applyFill="1" applyAlignment="1" applyProtection="1">
      <alignment horizontal="center" vertical="center"/>
      <protection/>
    </xf>
    <xf numFmtId="0" fontId="4" fillId="33"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4" fillId="33" borderId="22" xfId="87" applyNumberFormat="1" applyFont="1" applyFill="1" applyBorder="1" applyAlignment="1" applyProtection="1">
      <alignment horizontal="right" vertical="center"/>
      <protection/>
    </xf>
    <xf numFmtId="0" fontId="0" fillId="0" borderId="21" xfId="87" applyBorder="1" applyAlignment="1">
      <alignment horizontal="right" vertical="center"/>
      <protection/>
    </xf>
    <xf numFmtId="0" fontId="4" fillId="33" borderId="0" xfId="87" applyFont="1" applyFill="1" applyAlignment="1" applyProtection="1">
      <alignment horizontal="right" vertical="center"/>
      <protection/>
    </xf>
    <xf numFmtId="0" fontId="4" fillId="0" borderId="24" xfId="87" applyFont="1" applyBorder="1" applyAlignment="1">
      <alignment horizontal="right" vertical="center"/>
      <protection/>
    </xf>
    <xf numFmtId="0" fontId="22" fillId="33" borderId="20" xfId="75" applyFont="1" applyFill="1" applyBorder="1" applyAlignment="1" applyProtection="1">
      <alignment horizontal="center" vertical="center"/>
      <protection/>
    </xf>
    <xf numFmtId="0" fontId="29" fillId="0" borderId="22" xfId="75" applyFont="1" applyBorder="1" applyAlignment="1" applyProtection="1">
      <alignment horizontal="center" vertical="center"/>
      <protection/>
    </xf>
    <xf numFmtId="0" fontId="0" fillId="0" borderId="21" xfId="75" applyBorder="1" applyAlignment="1" applyProtection="1">
      <alignment vertical="center"/>
      <protection/>
    </xf>
    <xf numFmtId="0" fontId="22" fillId="33" borderId="22" xfId="75" applyFont="1" applyFill="1" applyBorder="1" applyAlignment="1" applyProtection="1">
      <alignment horizontal="center" vertical="center"/>
      <protection/>
    </xf>
    <xf numFmtId="37" fontId="4" fillId="33" borderId="0" xfId="0" applyNumberFormat="1" applyFont="1" applyFill="1" applyAlignment="1" applyProtection="1">
      <alignment horizontal="center" vertical="center"/>
      <protection/>
    </xf>
    <xf numFmtId="0" fontId="28" fillId="33" borderId="20" xfId="75" applyFont="1" applyFill="1" applyBorder="1" applyAlignment="1" applyProtection="1">
      <alignment horizontal="center" vertical="center"/>
      <protection/>
    </xf>
    <xf numFmtId="0" fontId="20" fillId="0" borderId="22" xfId="75" applyFont="1" applyBorder="1" applyAlignment="1" applyProtection="1">
      <alignment horizontal="center" vertical="center"/>
      <protection/>
    </xf>
    <xf numFmtId="0" fontId="20" fillId="0" borderId="21" xfId="75" applyFont="1" applyBorder="1" applyAlignment="1" applyProtection="1">
      <alignment horizontal="center" vertical="center"/>
      <protection/>
    </xf>
    <xf numFmtId="0" fontId="4" fillId="33" borderId="19" xfId="0" applyFont="1" applyFill="1" applyBorder="1" applyAlignment="1">
      <alignment horizontal="center" vertical="center"/>
    </xf>
    <xf numFmtId="0" fontId="4" fillId="33" borderId="16" xfId="0" applyFont="1" applyFill="1" applyBorder="1" applyAlignment="1">
      <alignment horizontal="center" vertical="center"/>
    </xf>
    <xf numFmtId="37" fontId="17" fillId="33" borderId="0" xfId="0" applyNumberFormat="1" applyFont="1" applyFill="1" applyAlignment="1" applyProtection="1">
      <alignment horizontal="center" vertical="center"/>
      <protection/>
    </xf>
    <xf numFmtId="0" fontId="17" fillId="33" borderId="20" xfId="84" applyFont="1" applyFill="1" applyBorder="1" applyAlignment="1" applyProtection="1">
      <alignment horizontal="center"/>
      <protection/>
    </xf>
    <xf numFmtId="0" fontId="17" fillId="33" borderId="22" xfId="84" applyFont="1" applyFill="1" applyBorder="1" applyAlignment="1" applyProtection="1">
      <alignment horizontal="center"/>
      <protection/>
    </xf>
    <xf numFmtId="0" fontId="17" fillId="33" borderId="21" xfId="84" applyFont="1" applyFill="1" applyBorder="1" applyAlignment="1" applyProtection="1">
      <alignment horizontal="center"/>
      <protection/>
    </xf>
    <xf numFmtId="0" fontId="0" fillId="0" borderId="22" xfId="84" applyBorder="1" applyAlignment="1" applyProtection="1">
      <alignment horizontal="center"/>
      <protection/>
    </xf>
    <xf numFmtId="0" fontId="0" fillId="0" borderId="21" xfId="84" applyBorder="1" applyAlignment="1" applyProtection="1">
      <alignment horizontal="center"/>
      <protection/>
    </xf>
    <xf numFmtId="37" fontId="4" fillId="33" borderId="15" xfId="0" applyNumberFormat="1" applyFont="1" applyFill="1" applyBorder="1" applyAlignment="1" applyProtection="1">
      <alignment horizontal="fill" vertical="center"/>
      <protection locked="0"/>
    </xf>
    <xf numFmtId="37" fontId="4" fillId="33" borderId="13" xfId="0" applyNumberFormat="1" applyFont="1" applyFill="1" applyBorder="1" applyAlignment="1" applyProtection="1">
      <alignment horizontal="center" vertical="center" wrapText="1"/>
      <protection/>
    </xf>
  </cellXfs>
  <cellStyles count="3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3 2" xfId="64"/>
    <cellStyle name="Hyperlink 7"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2 2" xfId="79"/>
    <cellStyle name="Normal 11 3" xfId="80"/>
    <cellStyle name="Normal 11 4" xfId="81"/>
    <cellStyle name="Normal 11 5" xfId="82"/>
    <cellStyle name="Normal 12" xfId="83"/>
    <cellStyle name="Normal 12 10" xfId="84"/>
    <cellStyle name="Normal 12 11" xfId="85"/>
    <cellStyle name="Normal 12 12" xfId="86"/>
    <cellStyle name="Normal 12 2" xfId="87"/>
    <cellStyle name="Normal 12 2 2" xfId="88"/>
    <cellStyle name="Normal 12 3" xfId="89"/>
    <cellStyle name="Normal 12 4" xfId="90"/>
    <cellStyle name="Normal 12 5" xfId="91"/>
    <cellStyle name="Normal 12 6" xfId="92"/>
    <cellStyle name="Normal 12 7" xfId="93"/>
    <cellStyle name="Normal 12 8" xfId="94"/>
    <cellStyle name="Normal 12 9" xfId="95"/>
    <cellStyle name="Normal 13" xfId="96"/>
    <cellStyle name="Normal 13 10" xfId="97"/>
    <cellStyle name="Normal 13 11" xfId="98"/>
    <cellStyle name="Normal 13 12" xfId="99"/>
    <cellStyle name="Normal 13 2" xfId="100"/>
    <cellStyle name="Normal 13 2 2" xfId="101"/>
    <cellStyle name="Normal 13 3" xfId="102"/>
    <cellStyle name="Normal 13 4" xfId="103"/>
    <cellStyle name="Normal 13 5" xfId="104"/>
    <cellStyle name="Normal 13 6" xfId="105"/>
    <cellStyle name="Normal 13 7" xfId="106"/>
    <cellStyle name="Normal 13 8" xfId="107"/>
    <cellStyle name="Normal 13 9" xfId="108"/>
    <cellStyle name="Normal 14" xfId="109"/>
    <cellStyle name="Normal 14 2" xfId="110"/>
    <cellStyle name="Normal 14 3" xfId="111"/>
    <cellStyle name="Normal 14 4" xfId="112"/>
    <cellStyle name="Normal 14 5" xfId="113"/>
    <cellStyle name="Normal 14 6" xfId="114"/>
    <cellStyle name="Normal 15" xfId="115"/>
    <cellStyle name="Normal 15 2" xfId="116"/>
    <cellStyle name="Normal 15 3" xfId="117"/>
    <cellStyle name="Normal 15 4" xfId="118"/>
    <cellStyle name="Normal 16" xfId="119"/>
    <cellStyle name="Normal 16 2" xfId="120"/>
    <cellStyle name="Normal 16 3" xfId="121"/>
    <cellStyle name="Normal 16 4" xfId="122"/>
    <cellStyle name="Normal 17" xfId="123"/>
    <cellStyle name="Normal 17 2" xfId="124"/>
    <cellStyle name="Normal 17 3" xfId="125"/>
    <cellStyle name="Normal 17 4" xfId="126"/>
    <cellStyle name="Normal 18" xfId="127"/>
    <cellStyle name="Normal 18 2" xfId="128"/>
    <cellStyle name="Normal 18 2 2" xfId="129"/>
    <cellStyle name="Normal 18 2 3" xfId="130"/>
    <cellStyle name="Normal 18 3" xfId="131"/>
    <cellStyle name="Normal 18 4" xfId="132"/>
    <cellStyle name="Normal 18 5" xfId="133"/>
    <cellStyle name="Normal 18 6" xfId="134"/>
    <cellStyle name="Normal 18 7"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2" xfId="144"/>
    <cellStyle name="Normal 2 10" xfId="145"/>
    <cellStyle name="Normal 2 10 10" xfId="146"/>
    <cellStyle name="Normal 2 10 2" xfId="147"/>
    <cellStyle name="Normal 2 10 2 2" xfId="148"/>
    <cellStyle name="Normal 2 10 3" xfId="149"/>
    <cellStyle name="Normal 2 10 3 2" xfId="150"/>
    <cellStyle name="Normal 2 10 4" xfId="151"/>
    <cellStyle name="Normal 2 10 4 2" xfId="152"/>
    <cellStyle name="Normal 2 10 5" xfId="153"/>
    <cellStyle name="Normal 2 10 5 2" xfId="154"/>
    <cellStyle name="Normal 2 10 6" xfId="155"/>
    <cellStyle name="Normal 2 10 6 2" xfId="156"/>
    <cellStyle name="Normal 2 10 7" xfId="157"/>
    <cellStyle name="Normal 2 10 7 2" xfId="158"/>
    <cellStyle name="Normal 2 10 8" xfId="159"/>
    <cellStyle name="Normal 2 10 8 2" xfId="160"/>
    <cellStyle name="Normal 2 10 9" xfId="161"/>
    <cellStyle name="Normal 2 11" xfId="162"/>
    <cellStyle name="Normal 2 11 10" xfId="163"/>
    <cellStyle name="Normal 2 11 2" xfId="164"/>
    <cellStyle name="Normal 2 11 2 2" xfId="165"/>
    <cellStyle name="Normal 2 11 3" xfId="166"/>
    <cellStyle name="Normal 2 11 3 2" xfId="167"/>
    <cellStyle name="Normal 2 11 4" xfId="168"/>
    <cellStyle name="Normal 2 11 4 2" xfId="169"/>
    <cellStyle name="Normal 2 11 5" xfId="170"/>
    <cellStyle name="Normal 2 11 5 2" xfId="171"/>
    <cellStyle name="Normal 2 11 6" xfId="172"/>
    <cellStyle name="Normal 2 11 6 2" xfId="173"/>
    <cellStyle name="Normal 2 11 7" xfId="174"/>
    <cellStyle name="Normal 2 11 7 2" xfId="175"/>
    <cellStyle name="Normal 2 11 8" xfId="176"/>
    <cellStyle name="Normal 2 11 8 2" xfId="177"/>
    <cellStyle name="Normal 2 11 9" xfId="178"/>
    <cellStyle name="Normal 2 12" xfId="179"/>
    <cellStyle name="Normal 2 13" xfId="180"/>
    <cellStyle name="Normal 2 14" xfId="181"/>
    <cellStyle name="Normal 2 15" xfId="182"/>
    <cellStyle name="Normal 2 16"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3 3" xfId="240"/>
    <cellStyle name="Normal 2 3 4" xfId="241"/>
    <cellStyle name="Normal 2 3 5" xfId="242"/>
    <cellStyle name="Normal 2 3 6" xfId="243"/>
    <cellStyle name="Normal 2 3 7" xfId="244"/>
    <cellStyle name="Normal 2 3 8" xfId="245"/>
    <cellStyle name="Normal 2 3 9" xfId="246"/>
    <cellStyle name="Normal 2 4" xfId="247"/>
    <cellStyle name="Normal 2 4 10" xfId="248"/>
    <cellStyle name="Normal 2 4 11" xfId="249"/>
    <cellStyle name="Normal 2 4 2" xfId="250"/>
    <cellStyle name="Normal 2 4 2 2" xfId="251"/>
    <cellStyle name="Normal 2 4 3" xfId="252"/>
    <cellStyle name="Normal 2 4 3 2" xfId="253"/>
    <cellStyle name="Normal 2 4 3 3" xfId="254"/>
    <cellStyle name="Normal 2 4 4" xfId="255"/>
    <cellStyle name="Normal 2 4 5" xfId="256"/>
    <cellStyle name="Normal 2 4 6" xfId="257"/>
    <cellStyle name="Normal 2 4 7" xfId="258"/>
    <cellStyle name="Normal 2 4 8" xfId="259"/>
    <cellStyle name="Normal 2 4 9" xfId="260"/>
    <cellStyle name="Normal 2 5" xfId="261"/>
    <cellStyle name="Normal 2 5 10" xfId="262"/>
    <cellStyle name="Normal 2 5 11" xfId="263"/>
    <cellStyle name="Normal 2 5 12" xfId="264"/>
    <cellStyle name="Normal 2 5 2" xfId="265"/>
    <cellStyle name="Normal 2 5 2 2" xfId="266"/>
    <cellStyle name="Normal 2 5 3" xfId="267"/>
    <cellStyle name="Normal 2 5 3 2" xfId="268"/>
    <cellStyle name="Normal 2 5 4" xfId="269"/>
    <cellStyle name="Normal 2 5 5" xfId="270"/>
    <cellStyle name="Normal 2 5 6" xfId="271"/>
    <cellStyle name="Normal 2 5 7" xfId="272"/>
    <cellStyle name="Normal 2 5 8" xfId="273"/>
    <cellStyle name="Normal 2 5 9" xfId="274"/>
    <cellStyle name="Normal 2 6" xfId="275"/>
    <cellStyle name="Normal 2 6 10" xfId="276"/>
    <cellStyle name="Normal 2 6 11" xfId="277"/>
    <cellStyle name="Normal 2 6 12" xfId="278"/>
    <cellStyle name="Normal 2 6 2" xfId="279"/>
    <cellStyle name="Normal 2 6 2 2" xfId="280"/>
    <cellStyle name="Normal 2 6 3" xfId="281"/>
    <cellStyle name="Normal 2 6 3 2" xfId="282"/>
    <cellStyle name="Normal 2 6 4" xfId="283"/>
    <cellStyle name="Normal 2 6 5" xfId="284"/>
    <cellStyle name="Normal 2 6 6" xfId="285"/>
    <cellStyle name="Normal 2 6 7" xfId="286"/>
    <cellStyle name="Normal 2 6 8" xfId="287"/>
    <cellStyle name="Normal 2 6 9" xfId="288"/>
    <cellStyle name="Normal 2 7" xfId="289"/>
    <cellStyle name="Normal 2 7 10"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2" xfId="309"/>
    <cellStyle name="Normal 2 8 2 2" xfId="310"/>
    <cellStyle name="Normal 2 8 3" xfId="311"/>
    <cellStyle name="Normal 2 8 3 2" xfId="312"/>
    <cellStyle name="Normal 2 8 4" xfId="313"/>
    <cellStyle name="Normal 2 8 4 2" xfId="314"/>
    <cellStyle name="Normal 2 8 5" xfId="315"/>
    <cellStyle name="Normal 2 8 5 2" xfId="316"/>
    <cellStyle name="Normal 2 8 6" xfId="317"/>
    <cellStyle name="Normal 2 8 6 2" xfId="318"/>
    <cellStyle name="Normal 2 8 7" xfId="319"/>
    <cellStyle name="Normal 2 8 7 2" xfId="320"/>
    <cellStyle name="Normal 2 8 8" xfId="321"/>
    <cellStyle name="Normal 2 8 8 2" xfId="322"/>
    <cellStyle name="Normal 2 8 9" xfId="323"/>
    <cellStyle name="Normal 2 9" xfId="324"/>
    <cellStyle name="Normal 2 9 10" xfId="325"/>
    <cellStyle name="Normal 2 9 2" xfId="326"/>
    <cellStyle name="Normal 2 9 2 2" xfId="327"/>
    <cellStyle name="Normal 2 9 3" xfId="328"/>
    <cellStyle name="Normal 2 9 3 2" xfId="329"/>
    <cellStyle name="Normal 2 9 4" xfId="330"/>
    <cellStyle name="Normal 2 9 4 2" xfId="331"/>
    <cellStyle name="Normal 2 9 5" xfId="332"/>
    <cellStyle name="Normal 2 9 5 2" xfId="333"/>
    <cellStyle name="Normal 2 9 6" xfId="334"/>
    <cellStyle name="Normal 2 9 6 2" xfId="335"/>
    <cellStyle name="Normal 2 9 7" xfId="336"/>
    <cellStyle name="Normal 2 9 7 2" xfId="337"/>
    <cellStyle name="Normal 2 9 8" xfId="338"/>
    <cellStyle name="Normal 2 9 8 2" xfId="339"/>
    <cellStyle name="Normal 2 9 9" xfId="340"/>
    <cellStyle name="Normal 20" xfId="341"/>
    <cellStyle name="Normal 20 2" xfId="342"/>
    <cellStyle name="Normal 20 3" xfId="343"/>
    <cellStyle name="Normal 22" xfId="344"/>
    <cellStyle name="Normal 22 2" xfId="345"/>
    <cellStyle name="Normal 22 3" xfId="346"/>
    <cellStyle name="Normal 23" xfId="347"/>
    <cellStyle name="Normal 23 2" xfId="348"/>
    <cellStyle name="Normal 23 3" xfId="349"/>
    <cellStyle name="Normal 24" xfId="350"/>
    <cellStyle name="Normal 24 2" xfId="351"/>
    <cellStyle name="Normal 24 3" xfId="352"/>
    <cellStyle name="Normal 25" xfId="353"/>
    <cellStyle name="Normal 25 2" xfId="354"/>
    <cellStyle name="Normal 25 3" xfId="355"/>
    <cellStyle name="Normal 3" xfId="356"/>
    <cellStyle name="Normal 3 2" xfId="357"/>
    <cellStyle name="Normal 3 3" xfId="358"/>
    <cellStyle name="Normal 3 3 2" xfId="359"/>
    <cellStyle name="Normal 3 3 3" xfId="360"/>
    <cellStyle name="Normal 3 4" xfId="361"/>
    <cellStyle name="Normal 3 5" xfId="362"/>
    <cellStyle name="Normal 3 6" xfId="363"/>
    <cellStyle name="Normal 3 7" xfId="364"/>
    <cellStyle name="Normal 4" xfId="365"/>
    <cellStyle name="Normal 4 2" xfId="366"/>
    <cellStyle name="Normal 4 3" xfId="367"/>
    <cellStyle name="Normal 4 3 2" xfId="368"/>
    <cellStyle name="Normal 4 3 3" xfId="369"/>
    <cellStyle name="Normal 4 4" xfId="370"/>
    <cellStyle name="Normal 4 5" xfId="371"/>
    <cellStyle name="Normal 5" xfId="372"/>
    <cellStyle name="Normal 5 2" xfId="373"/>
    <cellStyle name="Normal 5 3" xfId="374"/>
    <cellStyle name="Normal 6" xfId="375"/>
    <cellStyle name="Normal 6 2" xfId="376"/>
    <cellStyle name="Normal 6 3" xfId="377"/>
    <cellStyle name="Normal 6 4" xfId="378"/>
    <cellStyle name="Normal 6 5" xfId="379"/>
    <cellStyle name="Normal 7" xfId="380"/>
    <cellStyle name="Normal 7 2" xfId="381"/>
    <cellStyle name="Normal 7 2 2" xfId="382"/>
    <cellStyle name="Normal 7 2 2 2" xfId="383"/>
    <cellStyle name="Normal 7 2 3" xfId="384"/>
    <cellStyle name="Normal 7 2 4" xfId="385"/>
    <cellStyle name="Normal 7 3" xfId="386"/>
    <cellStyle name="Normal 7 4" xfId="387"/>
    <cellStyle name="Normal 7 5" xfId="388"/>
    <cellStyle name="Normal 7 5 2" xfId="389"/>
    <cellStyle name="Normal 7 5 3" xfId="390"/>
    <cellStyle name="Normal 7 6" xfId="391"/>
    <cellStyle name="Normal 8" xfId="392"/>
    <cellStyle name="Normal 8 2" xfId="393"/>
    <cellStyle name="Normal 9" xfId="394"/>
    <cellStyle name="Normal 9 2" xfId="395"/>
    <cellStyle name="Normal 9 2 2" xfId="396"/>
    <cellStyle name="Normal 9 3" xfId="397"/>
    <cellStyle name="Normal 9 4" xfId="398"/>
    <cellStyle name="Normal 9 5" xfId="399"/>
    <cellStyle name="Normal_debt" xfId="400"/>
    <cellStyle name="Normal_lpform" xfId="401"/>
    <cellStyle name="Note" xfId="402"/>
    <cellStyle name="Output" xfId="403"/>
    <cellStyle name="Percent" xfId="404"/>
    <cellStyle name="Title" xfId="405"/>
    <cellStyle name="Total" xfId="406"/>
    <cellStyle name="Warning Text" xfId="407"/>
  </cellStyles>
  <dxfs count="136">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542925</xdr:colOff>
      <xdr:row>39</xdr:row>
      <xdr:rowOff>114300</xdr:rowOff>
    </xdr:to>
    <xdr:pic>
      <xdr:nvPicPr>
        <xdr:cNvPr id="1" name="Picture 3"/>
        <xdr:cNvPicPr preferRelativeResize="1">
          <a:picLocks noChangeAspect="1"/>
        </xdr:cNvPicPr>
      </xdr:nvPicPr>
      <xdr:blipFill>
        <a:blip r:embed="rId1"/>
        <a:stretch>
          <a:fillRect/>
        </a:stretch>
      </xdr:blipFill>
      <xdr:spPr>
        <a:xfrm>
          <a:off x="0" y="0"/>
          <a:ext cx="6410325" cy="7543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542925</xdr:colOff>
      <xdr:row>39</xdr:row>
      <xdr:rowOff>114300</xdr:rowOff>
    </xdr:to>
    <xdr:pic>
      <xdr:nvPicPr>
        <xdr:cNvPr id="1" name="Picture 2"/>
        <xdr:cNvPicPr preferRelativeResize="1">
          <a:picLocks noChangeAspect="1"/>
        </xdr:cNvPicPr>
      </xdr:nvPicPr>
      <xdr:blipFill>
        <a:blip r:embed="rId1"/>
        <a:stretch>
          <a:fillRect/>
        </a:stretch>
      </xdr:blipFill>
      <xdr:spPr>
        <a:xfrm>
          <a:off x="0" y="0"/>
          <a:ext cx="6410325" cy="7543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542925</xdr:colOff>
      <xdr:row>39</xdr:row>
      <xdr:rowOff>114300</xdr:rowOff>
    </xdr:to>
    <xdr:pic>
      <xdr:nvPicPr>
        <xdr:cNvPr id="1" name="Picture 1"/>
        <xdr:cNvPicPr preferRelativeResize="1">
          <a:picLocks noChangeAspect="1"/>
        </xdr:cNvPicPr>
      </xdr:nvPicPr>
      <xdr:blipFill>
        <a:blip r:embed="rId1"/>
        <a:stretch>
          <a:fillRect/>
        </a:stretch>
      </xdr:blipFill>
      <xdr:spPr>
        <a:xfrm>
          <a:off x="0" y="0"/>
          <a:ext cx="6410325" cy="754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90"/>
  <sheetViews>
    <sheetView view="pageBreakPreview" zoomScale="99" zoomScaleSheetLayoutView="99" zoomScalePageLayoutView="0" workbookViewId="0" topLeftCell="A61">
      <selection activeCell="B77" sqref="B77"/>
    </sheetView>
  </sheetViews>
  <sheetFormatPr defaultColWidth="8.796875" defaultRowHeight="15"/>
  <cols>
    <col min="1" max="1" width="15.796875" style="32" customWidth="1"/>
    <col min="2" max="2" width="22" style="32" customWidth="1"/>
    <col min="3" max="3" width="8.796875" style="32" customWidth="1"/>
    <col min="4" max="5" width="13.296875" style="32" customWidth="1"/>
    <col min="6" max="6" width="10.796875" style="32" customWidth="1"/>
    <col min="7" max="16384" width="8.8984375" style="32" customWidth="1"/>
  </cols>
  <sheetData>
    <row r="1" spans="1:6" ht="15.75">
      <c r="A1" s="479" t="s">
        <v>234</v>
      </c>
      <c r="B1" s="480"/>
      <c r="C1" s="480"/>
      <c r="D1" s="480"/>
      <c r="E1" s="480"/>
      <c r="F1" s="480"/>
    </row>
    <row r="2" spans="1:6" ht="15.75">
      <c r="A2" s="34" t="s">
        <v>235</v>
      </c>
      <c r="B2" s="35"/>
      <c r="C2" s="355" t="s">
        <v>296</v>
      </c>
      <c r="D2" s="36"/>
      <c r="E2" s="37"/>
      <c r="F2" s="38"/>
    </row>
    <row r="3" spans="1:6" ht="15.75">
      <c r="A3" s="34"/>
      <c r="B3" s="35"/>
      <c r="C3" s="35"/>
      <c r="D3" s="35"/>
      <c r="E3" s="39"/>
      <c r="F3" s="38"/>
    </row>
    <row r="4" spans="1:6" ht="15.75">
      <c r="A4" s="34" t="s">
        <v>236</v>
      </c>
      <c r="B4" s="35"/>
      <c r="C4" s="40">
        <v>2012</v>
      </c>
      <c r="D4" s="41"/>
      <c r="E4" s="39"/>
      <c r="F4" s="38"/>
    </row>
    <row r="5" spans="1:6" ht="15.75">
      <c r="A5" s="35"/>
      <c r="B5" s="35"/>
      <c r="C5" s="35"/>
      <c r="D5" s="35"/>
      <c r="E5" s="35"/>
      <c r="F5" s="35"/>
    </row>
    <row r="6" spans="1:6" ht="18.75" customHeight="1">
      <c r="A6" s="42" t="s">
        <v>279</v>
      </c>
      <c r="B6" s="43"/>
      <c r="C6" s="43"/>
      <c r="D6" s="43"/>
      <c r="E6" s="43"/>
      <c r="F6" s="43"/>
    </row>
    <row r="7" spans="1:6" ht="15.75">
      <c r="A7" s="42" t="s">
        <v>278</v>
      </c>
      <c r="B7" s="43"/>
      <c r="C7" s="43"/>
      <c r="D7" s="43"/>
      <c r="E7" s="43"/>
      <c r="F7" s="43"/>
    </row>
    <row r="8" spans="1:6" ht="15.75">
      <c r="A8" s="42"/>
      <c r="B8" s="43"/>
      <c r="C8" s="43"/>
      <c r="D8" s="43"/>
      <c r="E8" s="43"/>
      <c r="F8" s="43"/>
    </row>
    <row r="9" spans="1:6" ht="15.75">
      <c r="A9" s="477" t="s">
        <v>32</v>
      </c>
      <c r="B9" s="478"/>
      <c r="C9" s="478"/>
      <c r="D9" s="478"/>
      <c r="E9" s="478"/>
      <c r="F9" s="478"/>
    </row>
    <row r="10" spans="1:6" ht="15.75">
      <c r="A10" s="35"/>
      <c r="B10" s="35"/>
      <c r="C10" s="35"/>
      <c r="D10" s="35"/>
      <c r="E10" s="35"/>
      <c r="F10" s="35"/>
    </row>
    <row r="11" spans="1:6" ht="15.75">
      <c r="A11" s="44" t="str">
        <f>CONCATENATE("The input for the following comes directly from the ",C4-1," Budget:")</f>
        <v>The input for the following comes directly from the 2011 Budget:</v>
      </c>
      <c r="B11" s="45"/>
      <c r="C11" s="45"/>
      <c r="D11" s="45"/>
      <c r="E11" s="35"/>
      <c r="F11" s="35"/>
    </row>
    <row r="12" spans="1:6" ht="15.75">
      <c r="A12" s="46" t="s">
        <v>237</v>
      </c>
      <c r="B12" s="45"/>
      <c r="C12" s="45"/>
      <c r="D12" s="45"/>
      <c r="E12" s="35"/>
      <c r="F12" s="35"/>
    </row>
    <row r="13" spans="1:6" ht="15.75">
      <c r="A13" s="46" t="s">
        <v>261</v>
      </c>
      <c r="B13" s="45"/>
      <c r="C13" s="45"/>
      <c r="D13" s="45"/>
      <c r="E13" s="35"/>
      <c r="F13" s="35"/>
    </row>
    <row r="14" spans="1:6" ht="15.75">
      <c r="A14" s="35"/>
      <c r="B14" s="35"/>
      <c r="C14" s="47"/>
      <c r="D14" s="48">
        <f>C4-1</f>
        <v>2011</v>
      </c>
      <c r="E14" s="49" t="str">
        <f>CONCATENATE("",C4-2,"")</f>
        <v>2010</v>
      </c>
      <c r="F14" s="50">
        <f>C4-2</f>
        <v>2010</v>
      </c>
    </row>
    <row r="15" spans="1:6" ht="15.75">
      <c r="A15" s="34" t="s">
        <v>238</v>
      </c>
      <c r="B15" s="35"/>
      <c r="C15" s="51" t="s">
        <v>51</v>
      </c>
      <c r="D15" s="52" t="s">
        <v>260</v>
      </c>
      <c r="E15" s="52" t="s">
        <v>49</v>
      </c>
      <c r="F15" s="52" t="s">
        <v>41</v>
      </c>
    </row>
    <row r="16" spans="1:6" ht="15.75">
      <c r="A16" s="35"/>
      <c r="B16" s="53" t="s">
        <v>52</v>
      </c>
      <c r="C16" s="200" t="s">
        <v>211</v>
      </c>
      <c r="D16" s="55">
        <v>1973745</v>
      </c>
      <c r="E16" s="56">
        <v>1322628</v>
      </c>
      <c r="F16" s="57">
        <v>36.948</v>
      </c>
    </row>
    <row r="17" spans="1:6" ht="15.75">
      <c r="A17" s="35"/>
      <c r="B17" s="53" t="s">
        <v>108</v>
      </c>
      <c r="C17" s="200" t="s">
        <v>239</v>
      </c>
      <c r="D17" s="55"/>
      <c r="E17" s="56"/>
      <c r="F17" s="57"/>
    </row>
    <row r="18" spans="1:6" ht="15.75">
      <c r="A18" s="34"/>
      <c r="B18" s="58" t="s">
        <v>114</v>
      </c>
      <c r="C18" s="199" t="s">
        <v>211</v>
      </c>
      <c r="D18" s="55">
        <v>1813841</v>
      </c>
      <c r="E18" s="55">
        <v>1320222</v>
      </c>
      <c r="F18" s="59">
        <v>36.881</v>
      </c>
    </row>
    <row r="19" spans="1:6" ht="15.75">
      <c r="A19" s="35"/>
      <c r="B19" s="60" t="s">
        <v>297</v>
      </c>
      <c r="C19" s="371" t="s">
        <v>300</v>
      </c>
      <c r="D19" s="55">
        <v>200000</v>
      </c>
      <c r="E19" s="62">
        <v>47238</v>
      </c>
      <c r="F19" s="57">
        <v>1.32</v>
      </c>
    </row>
    <row r="20" spans="1:6" ht="15.75">
      <c r="A20" s="35"/>
      <c r="B20" s="60" t="s">
        <v>298</v>
      </c>
      <c r="C20" s="371" t="s">
        <v>301</v>
      </c>
      <c r="D20" s="55">
        <v>80077</v>
      </c>
      <c r="E20" s="62">
        <v>40181</v>
      </c>
      <c r="F20" s="57">
        <v>1.123</v>
      </c>
    </row>
    <row r="21" spans="1:6" ht="15.75">
      <c r="A21" s="35"/>
      <c r="B21" s="60" t="s">
        <v>112</v>
      </c>
      <c r="C21" s="371" t="s">
        <v>302</v>
      </c>
      <c r="D21" s="55">
        <v>32000</v>
      </c>
      <c r="E21" s="62">
        <v>18167</v>
      </c>
      <c r="F21" s="57">
        <v>0.508</v>
      </c>
    </row>
    <row r="22" spans="1:6" ht="15.75">
      <c r="A22" s="35"/>
      <c r="B22" s="60" t="s">
        <v>299</v>
      </c>
      <c r="C22" s="371" t="s">
        <v>303</v>
      </c>
      <c r="D22" s="55">
        <v>246700</v>
      </c>
      <c r="E22" s="62">
        <v>94731</v>
      </c>
      <c r="F22" s="57">
        <v>2.647</v>
      </c>
    </row>
    <row r="23" spans="1:6" ht="15.75">
      <c r="A23" s="35"/>
      <c r="B23" s="60" t="s">
        <v>104</v>
      </c>
      <c r="C23" s="371" t="s">
        <v>304</v>
      </c>
      <c r="D23" s="55">
        <v>230000</v>
      </c>
      <c r="E23" s="62">
        <v>118768</v>
      </c>
      <c r="F23" s="57">
        <v>3.318</v>
      </c>
    </row>
    <row r="24" spans="1:6" ht="15.75">
      <c r="A24" s="35"/>
      <c r="B24" s="60" t="s">
        <v>111</v>
      </c>
      <c r="C24" s="371" t="s">
        <v>305</v>
      </c>
      <c r="D24" s="55">
        <v>1100000</v>
      </c>
      <c r="E24" s="62">
        <v>874486</v>
      </c>
      <c r="F24" s="57">
        <v>24.429</v>
      </c>
    </row>
    <row r="25" spans="1:6" ht="15.75">
      <c r="A25" s="35"/>
      <c r="B25" s="60"/>
      <c r="C25" s="371"/>
      <c r="D25" s="55"/>
      <c r="E25" s="62"/>
      <c r="F25" s="57"/>
    </row>
    <row r="26" spans="1:6" ht="15.75">
      <c r="A26" s="35"/>
      <c r="B26" s="60"/>
      <c r="C26" s="371"/>
      <c r="D26" s="55"/>
      <c r="E26" s="62"/>
      <c r="F26" s="57"/>
    </row>
    <row r="27" spans="1:6" ht="15.75">
      <c r="A27" s="35"/>
      <c r="B27" s="60"/>
      <c r="C27" s="371"/>
      <c r="D27" s="55"/>
      <c r="E27" s="62"/>
      <c r="F27" s="57"/>
    </row>
    <row r="28" spans="1:6" ht="15.75">
      <c r="A28" s="35"/>
      <c r="B28" s="60"/>
      <c r="C28" s="371"/>
      <c r="D28" s="55"/>
      <c r="E28" s="62"/>
      <c r="F28" s="57"/>
    </row>
    <row r="29" spans="1:6" ht="15.75">
      <c r="A29" s="63" t="str">
        <f>CONCATENATE("Total Tax Levy Funds Levy Amounts and Levy Rates for ",C4-1," Budget")</f>
        <v>Total Tax Levy Funds Levy Amounts and Levy Rates for 2011 Budget</v>
      </c>
      <c r="B29" s="64"/>
      <c r="C29" s="64"/>
      <c r="D29" s="65"/>
      <c r="E29" s="66">
        <f>SUM(E16:E28)</f>
        <v>3836421</v>
      </c>
      <c r="F29" s="67">
        <f>SUM(F16:F28)</f>
        <v>107.174</v>
      </c>
    </row>
    <row r="30" spans="1:6" ht="15.75">
      <c r="A30" s="34" t="s">
        <v>24</v>
      </c>
      <c r="B30" s="35"/>
      <c r="C30" s="35"/>
      <c r="D30" s="35"/>
      <c r="E30" s="35"/>
      <c r="F30" s="35"/>
    </row>
    <row r="31" spans="1:6" ht="15.75">
      <c r="A31" s="35"/>
      <c r="B31" s="57" t="s">
        <v>433</v>
      </c>
      <c r="C31" s="35"/>
      <c r="D31" s="55">
        <v>15424</v>
      </c>
      <c r="E31" s="35"/>
      <c r="F31" s="35"/>
    </row>
    <row r="32" spans="1:6" ht="15.75">
      <c r="A32" s="35"/>
      <c r="B32" s="57" t="s">
        <v>432</v>
      </c>
      <c r="C32" s="35"/>
      <c r="D32" s="55">
        <v>15139</v>
      </c>
      <c r="E32" s="35"/>
      <c r="F32" s="35"/>
    </row>
    <row r="33" spans="1:6" ht="15.75">
      <c r="A33" s="35"/>
      <c r="B33" s="57" t="s">
        <v>306</v>
      </c>
      <c r="C33" s="35"/>
      <c r="D33" s="55">
        <v>250688</v>
      </c>
      <c r="E33" s="35"/>
      <c r="F33" s="35"/>
    </row>
    <row r="34" spans="1:6" ht="15.75">
      <c r="A34" s="35"/>
      <c r="B34" s="57"/>
      <c r="C34" s="35"/>
      <c r="D34" s="55"/>
      <c r="E34" s="35"/>
      <c r="F34" s="35"/>
    </row>
    <row r="35" spans="1:6" ht="15.75">
      <c r="A35" s="35"/>
      <c r="B35" s="57"/>
      <c r="C35" s="35"/>
      <c r="D35" s="55"/>
      <c r="E35" s="35"/>
      <c r="F35" s="35"/>
    </row>
    <row r="36" spans="1:6" ht="15.75">
      <c r="A36" s="63" t="str">
        <f>CONCATENATE("Total Expenditures for ",C4-1," Budgeted Year")</f>
        <v>Total Expenditures for 2011 Budgeted Year</v>
      </c>
      <c r="B36" s="68"/>
      <c r="C36" s="69"/>
      <c r="D36" s="70">
        <f>SUM(D16:D28,D31:D35)</f>
        <v>5957614</v>
      </c>
      <c r="E36" s="35"/>
      <c r="F36" s="35"/>
    </row>
    <row r="37" spans="1:6" ht="15.75">
      <c r="A37" s="71"/>
      <c r="B37" s="72"/>
      <c r="C37" s="35"/>
      <c r="D37" s="73"/>
      <c r="E37" s="35"/>
      <c r="F37" s="35"/>
    </row>
    <row r="38" spans="1:6" ht="15.75">
      <c r="A38" s="35" t="s">
        <v>10</v>
      </c>
      <c r="B38" s="72"/>
      <c r="C38" s="35"/>
      <c r="D38" s="35"/>
      <c r="E38" s="35"/>
      <c r="F38" s="35"/>
    </row>
    <row r="39" spans="1:6" ht="15.75">
      <c r="A39" s="35">
        <v>1</v>
      </c>
      <c r="B39" s="57" t="s">
        <v>307</v>
      </c>
      <c r="C39" s="35"/>
      <c r="D39" s="35"/>
      <c r="E39" s="35"/>
      <c r="F39" s="35"/>
    </row>
    <row r="40" spans="1:6" ht="15.75">
      <c r="A40" s="35">
        <v>2</v>
      </c>
      <c r="B40" s="57" t="s">
        <v>308</v>
      </c>
      <c r="C40" s="35"/>
      <c r="D40" s="35"/>
      <c r="E40" s="35"/>
      <c r="F40" s="35"/>
    </row>
    <row r="41" spans="1:6" ht="15.75">
      <c r="A41" s="35">
        <v>3</v>
      </c>
      <c r="B41" s="57" t="s">
        <v>309</v>
      </c>
      <c r="C41" s="35"/>
      <c r="D41" s="35"/>
      <c r="E41" s="35"/>
      <c r="F41" s="35"/>
    </row>
    <row r="42" spans="1:6" ht="15.75">
      <c r="A42" s="35">
        <v>4</v>
      </c>
      <c r="B42" s="57" t="s">
        <v>310</v>
      </c>
      <c r="C42" s="35"/>
      <c r="D42" s="35"/>
      <c r="E42" s="35"/>
      <c r="F42" s="35"/>
    </row>
    <row r="43" spans="1:6" ht="15.75">
      <c r="A43" s="35">
        <v>5</v>
      </c>
      <c r="B43" s="57" t="s">
        <v>311</v>
      </c>
      <c r="C43" s="35"/>
      <c r="D43" s="35"/>
      <c r="E43" s="35"/>
      <c r="F43" s="35"/>
    </row>
    <row r="44" spans="1:6" ht="15.75">
      <c r="A44" s="35" t="s">
        <v>19</v>
      </c>
      <c r="B44" s="72"/>
      <c r="C44" s="35"/>
      <c r="D44" s="35"/>
      <c r="E44" s="35"/>
      <c r="F44" s="35"/>
    </row>
    <row r="45" spans="1:6" ht="15.75">
      <c r="A45" s="35">
        <v>1</v>
      </c>
      <c r="B45" s="57" t="s">
        <v>312</v>
      </c>
      <c r="C45" s="35"/>
      <c r="D45" s="35"/>
      <c r="E45" s="35"/>
      <c r="F45" s="35"/>
    </row>
    <row r="46" spans="1:6" ht="15.75">
      <c r="A46" s="35">
        <v>2</v>
      </c>
      <c r="B46" s="57" t="s">
        <v>313</v>
      </c>
      <c r="C46" s="35"/>
      <c r="D46" s="35"/>
      <c r="E46" s="35"/>
      <c r="F46" s="35"/>
    </row>
    <row r="47" spans="1:6" ht="15.75">
      <c r="A47" s="35">
        <v>3</v>
      </c>
      <c r="B47" s="57" t="s">
        <v>314</v>
      </c>
      <c r="C47" s="35"/>
      <c r="D47" s="35"/>
      <c r="E47" s="35"/>
      <c r="F47" s="35"/>
    </row>
    <row r="48" spans="1:6" ht="15.75">
      <c r="A48" s="35">
        <v>4</v>
      </c>
      <c r="B48" s="57" t="s">
        <v>315</v>
      </c>
      <c r="C48" s="35"/>
      <c r="D48" s="35"/>
      <c r="E48" s="35"/>
      <c r="F48" s="35"/>
    </row>
    <row r="49" spans="1:6" ht="15.75">
      <c r="A49" s="35">
        <v>5</v>
      </c>
      <c r="B49" s="57" t="s">
        <v>316</v>
      </c>
      <c r="C49" s="35"/>
      <c r="D49" s="35"/>
      <c r="E49" s="35"/>
      <c r="F49" s="35"/>
    </row>
    <row r="50" spans="1:6" ht="15.75">
      <c r="A50" s="35" t="s">
        <v>21</v>
      </c>
      <c r="B50" s="72"/>
      <c r="C50" s="35"/>
      <c r="D50" s="35"/>
      <c r="E50" s="35"/>
      <c r="F50" s="35"/>
    </row>
    <row r="51" spans="1:6" ht="15.75">
      <c r="A51" s="35">
        <v>1</v>
      </c>
      <c r="B51" s="57" t="s">
        <v>317</v>
      </c>
      <c r="C51" s="35"/>
      <c r="D51" s="35"/>
      <c r="E51" s="35"/>
      <c r="F51" s="35"/>
    </row>
    <row r="52" spans="1:6" ht="15.75">
      <c r="A52" s="35">
        <v>2</v>
      </c>
      <c r="B52" s="57" t="s">
        <v>318</v>
      </c>
      <c r="C52" s="35"/>
      <c r="D52" s="35"/>
      <c r="E52" s="35"/>
      <c r="F52" s="35"/>
    </row>
    <row r="53" spans="1:6" ht="15.75">
      <c r="A53" s="35">
        <v>3</v>
      </c>
      <c r="B53" s="57" t="s">
        <v>319</v>
      </c>
      <c r="C53" s="35"/>
      <c r="D53" s="35"/>
      <c r="E53" s="35"/>
      <c r="F53" s="35"/>
    </row>
    <row r="54" spans="1:6" ht="15.75">
      <c r="A54" s="35">
        <v>4</v>
      </c>
      <c r="B54" s="57" t="s">
        <v>320</v>
      </c>
      <c r="C54" s="35"/>
      <c r="D54" s="35"/>
      <c r="E54" s="35"/>
      <c r="F54" s="35"/>
    </row>
    <row r="55" spans="1:6" ht="15.75">
      <c r="A55" s="35">
        <v>5</v>
      </c>
      <c r="B55" s="57" t="s">
        <v>321</v>
      </c>
      <c r="C55" s="35"/>
      <c r="D55" s="35"/>
      <c r="E55" s="35"/>
      <c r="F55" s="35"/>
    </row>
    <row r="56" spans="1:6" ht="15.75">
      <c r="A56" s="35" t="s">
        <v>23</v>
      </c>
      <c r="B56" s="72"/>
      <c r="C56" s="35"/>
      <c r="D56" s="35"/>
      <c r="E56" s="35"/>
      <c r="F56" s="35"/>
    </row>
    <row r="57" spans="1:6" ht="15.75">
      <c r="A57" s="35">
        <v>1</v>
      </c>
      <c r="B57" s="57" t="s">
        <v>322</v>
      </c>
      <c r="C57" s="35"/>
      <c r="D57" s="35"/>
      <c r="E57" s="35"/>
      <c r="F57" s="35"/>
    </row>
    <row r="58" spans="1:6" ht="15.75">
      <c r="A58" s="35">
        <v>2</v>
      </c>
      <c r="B58" s="57" t="s">
        <v>323</v>
      </c>
      <c r="C58" s="35"/>
      <c r="D58" s="35"/>
      <c r="E58" s="35"/>
      <c r="F58" s="35"/>
    </row>
    <row r="59" spans="1:6" ht="15.75">
      <c r="A59" s="35">
        <v>3</v>
      </c>
      <c r="B59" s="57"/>
      <c r="C59" s="35"/>
      <c r="D59" s="35"/>
      <c r="E59" s="35"/>
      <c r="F59" s="35"/>
    </row>
    <row r="60" spans="1:6" ht="15.75">
      <c r="A60" s="35">
        <v>4</v>
      </c>
      <c r="B60" s="57"/>
      <c r="C60" s="35"/>
      <c r="D60" s="35"/>
      <c r="E60" s="35"/>
      <c r="F60" s="35"/>
    </row>
    <row r="61" spans="1:6" ht="15.75">
      <c r="A61" s="35">
        <v>5</v>
      </c>
      <c r="B61" s="57"/>
      <c r="C61" s="35"/>
      <c r="D61" s="35"/>
      <c r="E61" s="35"/>
      <c r="F61" s="35"/>
    </row>
    <row r="62" spans="1:6" ht="15.75">
      <c r="A62" s="63" t="str">
        <f>CONCATENATE("County's Final Assessed Valuation for ",C4-1," (November 1,",C4-2," Abstract):")</f>
        <v>County's Final Assessed Valuation for 2011 (November 1,2010 Abstract):</v>
      </c>
      <c r="B62" s="64"/>
      <c r="C62" s="64"/>
      <c r="D62" s="64"/>
      <c r="E62" s="69"/>
      <c r="F62" s="62">
        <v>35797245</v>
      </c>
    </row>
    <row r="63" spans="1:6" ht="15.75">
      <c r="A63" s="34"/>
      <c r="B63" s="35"/>
      <c r="C63" s="35"/>
      <c r="D63" s="35"/>
      <c r="E63" s="35"/>
      <c r="F63" s="35"/>
    </row>
    <row r="64" spans="1:6" ht="15.75">
      <c r="A64" s="35"/>
      <c r="B64" s="35"/>
      <c r="C64" s="35"/>
      <c r="D64" s="35"/>
      <c r="E64" s="35"/>
      <c r="F64" s="35"/>
    </row>
    <row r="65" spans="1:6" ht="15.75">
      <c r="A65" s="74" t="str">
        <f>CONCATENATE("From the ",C4-1," Budget:")</f>
        <v>From the 2011 Budget:</v>
      </c>
      <c r="B65" s="45"/>
      <c r="C65" s="35"/>
      <c r="D65" s="475" t="str">
        <f>CONCATENATE("",C4-3," Tax Rate (",C4-2," Column)")</f>
        <v>2009 Tax Rate (2010 Column)</v>
      </c>
      <c r="E65" s="75"/>
      <c r="F65" s="35"/>
    </row>
    <row r="66" spans="1:6" ht="15.75">
      <c r="A66" s="74" t="s">
        <v>50</v>
      </c>
      <c r="B66" s="76"/>
      <c r="C66" s="35"/>
      <c r="D66" s="476"/>
      <c r="E66" s="75"/>
      <c r="F66" s="35"/>
    </row>
    <row r="67" spans="1:6" ht="15.75">
      <c r="A67" s="35"/>
      <c r="B67" s="77" t="str">
        <f aca="true" t="shared" si="0" ref="B67:B79">B16</f>
        <v>General</v>
      </c>
      <c r="C67" s="35"/>
      <c r="D67" s="57">
        <v>38.639</v>
      </c>
      <c r="E67" s="75"/>
      <c r="F67" s="35"/>
    </row>
    <row r="68" spans="1:6" ht="15.75">
      <c r="A68" s="35"/>
      <c r="B68" s="77" t="str">
        <f t="shared" si="0"/>
        <v>Debt Service</v>
      </c>
      <c r="C68" s="35"/>
      <c r="D68" s="57"/>
      <c r="E68" s="75"/>
      <c r="F68" s="35"/>
    </row>
    <row r="69" spans="1:6" ht="15.75">
      <c r="A69" s="35"/>
      <c r="B69" s="77" t="str">
        <f t="shared" si="0"/>
        <v>Road &amp; Bridge</v>
      </c>
      <c r="C69" s="35"/>
      <c r="D69" s="57">
        <v>33.571</v>
      </c>
      <c r="E69" s="75"/>
      <c r="F69" s="35"/>
    </row>
    <row r="70" spans="1:6" ht="15.75">
      <c r="A70" s="35"/>
      <c r="B70" s="77" t="str">
        <f t="shared" si="0"/>
        <v>Special Bridge</v>
      </c>
      <c r="C70" s="35"/>
      <c r="D70" s="57"/>
      <c r="E70" s="75"/>
      <c r="F70" s="35"/>
    </row>
    <row r="71" spans="1:6" ht="15.75">
      <c r="A71" s="35"/>
      <c r="B71" s="77" t="str">
        <f t="shared" si="0"/>
        <v>Noxious Weed</v>
      </c>
      <c r="C71" s="35"/>
      <c r="D71" s="57">
        <v>1.971</v>
      </c>
      <c r="E71" s="75"/>
      <c r="F71" s="35"/>
    </row>
    <row r="72" spans="1:6" ht="15.75">
      <c r="A72" s="35"/>
      <c r="B72" s="77" t="str">
        <f t="shared" si="0"/>
        <v>Law Enforcement</v>
      </c>
      <c r="C72" s="35"/>
      <c r="D72" s="57">
        <v>0.411</v>
      </c>
      <c r="E72" s="75"/>
      <c r="F72" s="35"/>
    </row>
    <row r="73" spans="1:6" ht="15.75">
      <c r="A73" s="35"/>
      <c r="B73" s="77" t="str">
        <f t="shared" si="0"/>
        <v>County Health</v>
      </c>
      <c r="C73" s="35"/>
      <c r="D73" s="57">
        <v>2.679</v>
      </c>
      <c r="E73" s="75"/>
      <c r="F73" s="35"/>
    </row>
    <row r="74" spans="1:6" ht="15.75">
      <c r="A74" s="35"/>
      <c r="B74" s="77" t="str">
        <f t="shared" si="0"/>
        <v>Ambulance</v>
      </c>
      <c r="C74" s="35"/>
      <c r="D74" s="57">
        <v>2.821</v>
      </c>
      <c r="E74" s="75"/>
      <c r="F74" s="35"/>
    </row>
    <row r="75" spans="1:6" ht="15.75">
      <c r="A75" s="35"/>
      <c r="B75" s="77" t="str">
        <f t="shared" si="0"/>
        <v>Employee Benefits</v>
      </c>
      <c r="C75" s="35"/>
      <c r="D75" s="57">
        <v>26.896</v>
      </c>
      <c r="E75" s="75"/>
      <c r="F75" s="35"/>
    </row>
    <row r="76" spans="1:6" ht="15.75">
      <c r="A76" s="35"/>
      <c r="B76" s="77">
        <f t="shared" si="0"/>
        <v>0</v>
      </c>
      <c r="C76" s="35"/>
      <c r="D76" s="57"/>
      <c r="E76" s="75"/>
      <c r="F76" s="35"/>
    </row>
    <row r="77" spans="1:6" ht="15.75">
      <c r="A77" s="35"/>
      <c r="B77" s="77">
        <f t="shared" si="0"/>
        <v>0</v>
      </c>
      <c r="C77" s="35"/>
      <c r="D77" s="57"/>
      <c r="E77" s="75"/>
      <c r="F77" s="35"/>
    </row>
    <row r="78" spans="1:6" ht="15.75">
      <c r="A78" s="35"/>
      <c r="B78" s="77">
        <f t="shared" si="0"/>
        <v>0</v>
      </c>
      <c r="C78" s="35"/>
      <c r="D78" s="57"/>
      <c r="E78" s="75"/>
      <c r="F78" s="35"/>
    </row>
    <row r="79" spans="1:6" ht="15.75">
      <c r="A79" s="35"/>
      <c r="B79" s="77">
        <f t="shared" si="0"/>
        <v>0</v>
      </c>
      <c r="C79" s="35"/>
      <c r="D79" s="57"/>
      <c r="E79" s="75"/>
      <c r="F79" s="35"/>
    </row>
    <row r="80" spans="1:6" ht="15.75">
      <c r="A80" s="64" t="s">
        <v>53</v>
      </c>
      <c r="B80" s="64"/>
      <c r="C80" s="69"/>
      <c r="D80" s="67">
        <f>SUM(D67:D79)</f>
        <v>106.98800000000001</v>
      </c>
      <c r="E80" s="75"/>
      <c r="F80" s="35"/>
    </row>
    <row r="81" spans="1:6" ht="15.75">
      <c r="A81" s="35"/>
      <c r="B81" s="35"/>
      <c r="C81" s="35"/>
      <c r="D81" s="35"/>
      <c r="E81" s="35"/>
      <c r="F81" s="35"/>
    </row>
    <row r="82" spans="1:6" ht="15.75">
      <c r="A82" s="78" t="str">
        <f>CONCATENATE("Total Tax Levied (",C4-2," budget column)")</f>
        <v>Total Tax Levied (2010 budget column)</v>
      </c>
      <c r="B82" s="79"/>
      <c r="C82" s="64"/>
      <c r="D82" s="64"/>
      <c r="E82" s="69"/>
      <c r="F82" s="62">
        <v>3856923</v>
      </c>
    </row>
    <row r="83" spans="1:6" ht="15.75">
      <c r="A83" s="80" t="str">
        <f>CONCATENATE("Assessed Valuation  (",C4-2," budget column)")</f>
        <v>Assessed Valuation  (2010 budget column)</v>
      </c>
      <c r="B83" s="81"/>
      <c r="C83" s="82"/>
      <c r="D83" s="82"/>
      <c r="E83" s="65"/>
      <c r="F83" s="62">
        <v>35485000</v>
      </c>
    </row>
    <row r="84" spans="1:6" ht="15.75">
      <c r="A84" s="71"/>
      <c r="B84" s="38"/>
      <c r="C84" s="38"/>
      <c r="D84" s="38"/>
      <c r="E84" s="38"/>
      <c r="F84" s="83"/>
    </row>
    <row r="85" spans="1:6" ht="15.75">
      <c r="A85" s="84" t="str">
        <f>CONCATENATE("From the ",C4-1," Budget, Budget Summary Page:")</f>
        <v>From the 2011 Budget, Budget Summary Page:</v>
      </c>
      <c r="B85" s="85"/>
      <c r="C85" s="75"/>
      <c r="D85" s="75"/>
      <c r="E85" s="75"/>
      <c r="F85" s="75"/>
    </row>
    <row r="86" spans="1:6" ht="15.75">
      <c r="A86" s="86" t="s">
        <v>0</v>
      </c>
      <c r="B86" s="86"/>
      <c r="C86" s="87"/>
      <c r="D86" s="88">
        <f>C4-3</f>
        <v>2009</v>
      </c>
      <c r="E86" s="89">
        <f>C4-2</f>
        <v>2010</v>
      </c>
      <c r="F86" s="75"/>
    </row>
    <row r="87" spans="1:6" ht="15.75">
      <c r="A87" s="90" t="s">
        <v>1</v>
      </c>
      <c r="B87" s="90"/>
      <c r="C87" s="91"/>
      <c r="D87" s="55"/>
      <c r="E87" s="55"/>
      <c r="F87" s="75"/>
    </row>
    <row r="88" spans="1:6" s="93" customFormat="1" ht="15.75">
      <c r="A88" s="92" t="s">
        <v>2</v>
      </c>
      <c r="B88" s="92"/>
      <c r="C88" s="91"/>
      <c r="D88" s="55"/>
      <c r="E88" s="55"/>
      <c r="F88" s="87"/>
    </row>
    <row r="89" spans="1:6" s="93" customFormat="1" ht="15.75">
      <c r="A89" s="92" t="s">
        <v>3</v>
      </c>
      <c r="B89" s="92"/>
      <c r="C89" s="91"/>
      <c r="D89" s="55"/>
      <c r="E89" s="55"/>
      <c r="F89" s="87"/>
    </row>
    <row r="90" spans="1:6" s="93" customFormat="1" ht="15.75">
      <c r="A90" s="92" t="s">
        <v>4</v>
      </c>
      <c r="B90" s="92"/>
      <c r="C90" s="91"/>
      <c r="D90" s="55">
        <v>6361123</v>
      </c>
      <c r="E90" s="55">
        <v>6382172</v>
      </c>
      <c r="F90" s="87"/>
    </row>
    <row r="91" s="93" customFormat="1" ht="15.75"/>
  </sheetData>
  <sheetProtection/>
  <mergeCells count="3">
    <mergeCell ref="D65:D66"/>
    <mergeCell ref="A9:F9"/>
    <mergeCell ref="A1:F1"/>
  </mergeCells>
  <printOptions/>
  <pageMargins left="0.5" right="0.5" top="1" bottom="0.5" header="0.5" footer="0.25"/>
  <pageSetup blackAndWhite="1" fitToHeight="3" fitToWidth="1" horizontalDpi="120" verticalDpi="120" orientation="portrait" scale="95" r:id="rId1"/>
</worksheet>
</file>

<file path=xl/worksheets/sheet10.xml><?xml version="1.0" encoding="utf-8"?>
<worksheet xmlns="http://schemas.openxmlformats.org/spreadsheetml/2006/main" xmlns:r="http://schemas.openxmlformats.org/officeDocument/2006/relationships">
  <dimension ref="B1:J138"/>
  <sheetViews>
    <sheetView view="pageBreakPreview" zoomScale="99" zoomScaleSheetLayoutView="99" zoomScalePageLayoutView="0" workbookViewId="0" topLeftCell="A15">
      <selection activeCell="A15" sqref="A15"/>
    </sheetView>
  </sheetViews>
  <sheetFormatPr defaultColWidth="8.796875" defaultRowHeight="15"/>
  <cols>
    <col min="1" max="1" width="2.3984375" style="32" customWidth="1"/>
    <col min="2" max="2" width="31.09765625" style="32" customWidth="1"/>
    <col min="3" max="4" width="15.796875" style="32" customWidth="1"/>
    <col min="5" max="5" width="17.3984375" style="32" customWidth="1"/>
    <col min="6" max="6" width="7.3984375" style="32" customWidth="1"/>
    <col min="7" max="7" width="7.09765625" style="32" customWidth="1"/>
    <col min="8" max="8" width="8.8984375" style="32" customWidth="1"/>
    <col min="9" max="9" width="5" style="32" customWidth="1"/>
    <col min="10" max="10" width="7.796875" style="32" customWidth="1"/>
    <col min="11" max="16384" width="8.8984375" style="32" customWidth="1"/>
  </cols>
  <sheetData>
    <row r="1" spans="2:5" ht="15.75">
      <c r="B1" s="174" t="str">
        <f>inputPrYr!C2</f>
        <v>LINCOLN COUNTY</v>
      </c>
      <c r="C1" s="35"/>
      <c r="D1" s="35"/>
      <c r="E1" s="233">
        <f>inputPrYr!C4</f>
        <v>2012</v>
      </c>
    </row>
    <row r="2" spans="2:5" ht="15.75">
      <c r="B2" s="35"/>
      <c r="C2" s="35"/>
      <c r="D2" s="35"/>
      <c r="E2" s="186"/>
    </row>
    <row r="3" spans="2:5" ht="15.75">
      <c r="B3" s="102" t="s">
        <v>166</v>
      </c>
      <c r="C3" s="35"/>
      <c r="D3" s="35"/>
      <c r="E3" s="247"/>
    </row>
    <row r="4" spans="2:5" ht="15.75">
      <c r="B4" s="248" t="s">
        <v>82</v>
      </c>
      <c r="C4" s="381" t="s">
        <v>119</v>
      </c>
      <c r="D4" s="380" t="s">
        <v>240</v>
      </c>
      <c r="E4" s="382" t="s">
        <v>241</v>
      </c>
    </row>
    <row r="5" spans="2:5" ht="15.75">
      <c r="B5" s="414" t="str">
        <f>inputPrYr!B16</f>
        <v>General</v>
      </c>
      <c r="C5" s="361">
        <f>E1-2</f>
        <v>2010</v>
      </c>
      <c r="D5" s="361">
        <f>E1-1</f>
        <v>2011</v>
      </c>
      <c r="E5" s="249">
        <f>E1</f>
        <v>2012</v>
      </c>
    </row>
    <row r="6" spans="2:5" ht="15.75">
      <c r="B6" s="250" t="s">
        <v>208</v>
      </c>
      <c r="C6" s="358">
        <v>290764</v>
      </c>
      <c r="D6" s="362">
        <f>C119</f>
        <v>252089</v>
      </c>
      <c r="E6" s="212">
        <f>D119</f>
        <v>87840</v>
      </c>
    </row>
    <row r="7" spans="2:5" ht="15.75">
      <c r="B7" s="237" t="s">
        <v>210</v>
      </c>
      <c r="C7" s="252"/>
      <c r="D7" s="252"/>
      <c r="E7" s="77"/>
    </row>
    <row r="8" spans="2:5" ht="15.75">
      <c r="B8" s="250" t="s">
        <v>83</v>
      </c>
      <c r="C8" s="358">
        <v>1369882</v>
      </c>
      <c r="D8" s="362">
        <v>1284105</v>
      </c>
      <c r="E8" s="172" t="s">
        <v>68</v>
      </c>
    </row>
    <row r="9" spans="2:5" ht="15.75">
      <c r="B9" s="250" t="s">
        <v>84</v>
      </c>
      <c r="C9" s="358">
        <v>13202</v>
      </c>
      <c r="D9" s="358">
        <v>10000</v>
      </c>
      <c r="E9" s="253">
        <v>10000</v>
      </c>
    </row>
    <row r="10" spans="2:5" ht="15.75">
      <c r="B10" s="250" t="s">
        <v>85</v>
      </c>
      <c r="C10" s="358">
        <v>116912</v>
      </c>
      <c r="D10" s="358">
        <v>117615</v>
      </c>
      <c r="E10" s="212">
        <f>mvalloc!D8</f>
        <v>107355</v>
      </c>
    </row>
    <row r="11" spans="2:5" ht="15.75">
      <c r="B11" s="250" t="s">
        <v>86</v>
      </c>
      <c r="C11" s="358"/>
      <c r="D11" s="358">
        <v>1781</v>
      </c>
      <c r="E11" s="212">
        <f>mvalloc!E8</f>
        <v>1703</v>
      </c>
    </row>
    <row r="12" spans="2:5" ht="15.75">
      <c r="B12" s="252" t="s">
        <v>190</v>
      </c>
      <c r="C12" s="358"/>
      <c r="D12" s="358">
        <v>17619</v>
      </c>
      <c r="E12" s="212">
        <f>mvalloc!F8</f>
        <v>19372</v>
      </c>
    </row>
    <row r="13" spans="2:5" ht="15.75">
      <c r="B13" s="250" t="s">
        <v>192</v>
      </c>
      <c r="C13" s="358">
        <v>18236</v>
      </c>
      <c r="D13" s="358">
        <v>16376</v>
      </c>
      <c r="E13" s="212">
        <f>inputOth!E11</f>
        <v>10229</v>
      </c>
    </row>
    <row r="14" spans="2:5" ht="15.75">
      <c r="B14" s="250" t="s">
        <v>244</v>
      </c>
      <c r="C14" s="358"/>
      <c r="D14" s="358"/>
      <c r="E14" s="212">
        <f>inputOth!E18</f>
        <v>0</v>
      </c>
    </row>
    <row r="15" spans="2:5" ht="15.75">
      <c r="B15" s="250" t="s">
        <v>245</v>
      </c>
      <c r="C15" s="358"/>
      <c r="D15" s="358"/>
      <c r="E15" s="212">
        <f>inputOth!E19</f>
        <v>0</v>
      </c>
    </row>
    <row r="16" spans="2:5" ht="15.75">
      <c r="B16" s="250" t="s">
        <v>246</v>
      </c>
      <c r="C16" s="358"/>
      <c r="D16" s="358"/>
      <c r="E16" s="212">
        <f>mvalloc!G8</f>
        <v>0</v>
      </c>
    </row>
    <row r="17" spans="2:5" ht="15.75">
      <c r="B17" s="254" t="s">
        <v>89</v>
      </c>
      <c r="C17" s="358"/>
      <c r="D17" s="358"/>
      <c r="E17" s="253"/>
    </row>
    <row r="18" spans="2:5" ht="15.75">
      <c r="B18" s="254" t="s">
        <v>87</v>
      </c>
      <c r="C18" s="358">
        <v>4140</v>
      </c>
      <c r="D18" s="358">
        <v>3005</v>
      </c>
      <c r="E18" s="253">
        <v>2454</v>
      </c>
    </row>
    <row r="19" spans="2:5" ht="15.75">
      <c r="B19" s="254" t="s">
        <v>282</v>
      </c>
      <c r="C19" s="358"/>
      <c r="D19" s="358"/>
      <c r="E19" s="253"/>
    </row>
    <row r="20" spans="2:5" ht="15.75">
      <c r="B20" s="255" t="s">
        <v>283</v>
      </c>
      <c r="C20" s="358">
        <v>156166</v>
      </c>
      <c r="D20" s="358">
        <v>160000</v>
      </c>
      <c r="E20" s="253">
        <v>160000</v>
      </c>
    </row>
    <row r="21" spans="2:5" ht="15.75">
      <c r="B21" s="254" t="s">
        <v>88</v>
      </c>
      <c r="C21" s="358">
        <v>1508</v>
      </c>
      <c r="D21" s="358">
        <v>1226</v>
      </c>
      <c r="E21" s="253">
        <v>1454</v>
      </c>
    </row>
    <row r="22" spans="2:5" ht="15.75">
      <c r="B22" s="254" t="s">
        <v>331</v>
      </c>
      <c r="C22" s="358">
        <v>18024</v>
      </c>
      <c r="D22" s="358">
        <v>15000</v>
      </c>
      <c r="E22" s="253">
        <v>15000</v>
      </c>
    </row>
    <row r="23" spans="2:5" ht="15.75">
      <c r="B23" s="254" t="s">
        <v>332</v>
      </c>
      <c r="C23" s="358">
        <v>40553</v>
      </c>
      <c r="D23" s="358">
        <v>38000</v>
      </c>
      <c r="E23" s="253">
        <v>37000</v>
      </c>
    </row>
    <row r="24" spans="2:5" ht="15.75">
      <c r="B24" s="254" t="s">
        <v>333</v>
      </c>
      <c r="C24" s="358">
        <v>1400</v>
      </c>
      <c r="D24" s="358">
        <v>1000</v>
      </c>
      <c r="E24" s="253">
        <v>1000</v>
      </c>
    </row>
    <row r="25" spans="2:5" ht="15.75">
      <c r="B25" s="254" t="s">
        <v>397</v>
      </c>
      <c r="C25" s="358">
        <v>5047</v>
      </c>
      <c r="D25" s="358">
        <v>7000</v>
      </c>
      <c r="E25" s="253">
        <v>7000</v>
      </c>
    </row>
    <row r="26" spans="2:5" ht="15.75">
      <c r="B26" s="254" t="s">
        <v>243</v>
      </c>
      <c r="C26" s="463">
        <v>-7953</v>
      </c>
      <c r="D26" s="463">
        <v>-6700</v>
      </c>
      <c r="E26" s="464">
        <v>-7300</v>
      </c>
    </row>
    <row r="27" spans="2:5" ht="15.75">
      <c r="B27" s="254" t="s">
        <v>335</v>
      </c>
      <c r="C27" s="358">
        <v>23423</v>
      </c>
      <c r="D27" s="358">
        <v>25405</v>
      </c>
      <c r="E27" s="253">
        <v>23000</v>
      </c>
    </row>
    <row r="28" spans="2:5" ht="15.75">
      <c r="B28" s="254" t="s">
        <v>334</v>
      </c>
      <c r="C28" s="358">
        <v>10000</v>
      </c>
      <c r="D28" s="358"/>
      <c r="E28" s="253"/>
    </row>
    <row r="29" spans="2:5" ht="15.75">
      <c r="B29" s="254"/>
      <c r="C29" s="358"/>
      <c r="D29" s="358"/>
      <c r="E29" s="253"/>
    </row>
    <row r="30" spans="2:5" ht="15.75">
      <c r="B30" s="254"/>
      <c r="C30" s="358"/>
      <c r="D30" s="358"/>
      <c r="E30" s="253"/>
    </row>
    <row r="31" spans="2:5" ht="15.75">
      <c r="B31" s="254"/>
      <c r="C31" s="358"/>
      <c r="D31" s="358"/>
      <c r="E31" s="253"/>
    </row>
    <row r="32" spans="2:5" ht="15.75">
      <c r="B32" s="254"/>
      <c r="C32" s="358"/>
      <c r="D32" s="358"/>
      <c r="E32" s="253"/>
    </row>
    <row r="33" spans="2:5" ht="15.75">
      <c r="B33" s="254"/>
      <c r="C33" s="358"/>
      <c r="D33" s="358"/>
      <c r="E33" s="253"/>
    </row>
    <row r="34" spans="2:5" ht="15.75">
      <c r="B34" s="254"/>
      <c r="C34" s="358"/>
      <c r="D34" s="358"/>
      <c r="E34" s="253"/>
    </row>
    <row r="35" spans="2:5" ht="15.75">
      <c r="B35" s="254"/>
      <c r="C35" s="358"/>
      <c r="D35" s="358"/>
      <c r="E35" s="253"/>
    </row>
    <row r="36" spans="2:5" ht="15.75">
      <c r="B36" s="254"/>
      <c r="C36" s="358"/>
      <c r="D36" s="358"/>
      <c r="E36" s="253"/>
    </row>
    <row r="37" spans="2:5" ht="15.75">
      <c r="B37" s="254"/>
      <c r="C37" s="358"/>
      <c r="D37" s="358"/>
      <c r="E37" s="253"/>
    </row>
    <row r="38" spans="2:5" ht="15.75">
      <c r="B38" s="254"/>
      <c r="C38" s="358"/>
      <c r="D38" s="358"/>
      <c r="E38" s="253"/>
    </row>
    <row r="39" spans="2:5" ht="15.75">
      <c r="B39" s="254"/>
      <c r="C39" s="358"/>
      <c r="D39" s="358"/>
      <c r="E39" s="253"/>
    </row>
    <row r="40" spans="2:5" ht="15.75">
      <c r="B40" s="254"/>
      <c r="C40" s="358"/>
      <c r="D40" s="358"/>
      <c r="E40" s="253"/>
    </row>
    <row r="41" spans="2:5" ht="15.75">
      <c r="B41" s="254"/>
      <c r="C41" s="358"/>
      <c r="D41" s="358"/>
      <c r="E41" s="253"/>
    </row>
    <row r="42" spans="2:5" ht="15.75">
      <c r="B42" s="254"/>
      <c r="C42" s="358"/>
      <c r="D42" s="358"/>
      <c r="E42" s="253"/>
    </row>
    <row r="43" spans="2:5" ht="15.75">
      <c r="B43" s="254"/>
      <c r="C43" s="358"/>
      <c r="D43" s="358"/>
      <c r="E43" s="253"/>
    </row>
    <row r="44" spans="2:5" ht="15.75">
      <c r="B44" s="254"/>
      <c r="C44" s="358"/>
      <c r="D44" s="358"/>
      <c r="E44" s="253"/>
    </row>
    <row r="45" spans="2:5" ht="15.75">
      <c r="B45" s="254"/>
      <c r="C45" s="358"/>
      <c r="D45" s="358"/>
      <c r="E45" s="253"/>
    </row>
    <row r="46" spans="2:5" ht="15.75">
      <c r="B46" s="254"/>
      <c r="C46" s="358"/>
      <c r="D46" s="358"/>
      <c r="E46" s="253"/>
    </row>
    <row r="47" spans="2:5" ht="15.75">
      <c r="B47" s="254"/>
      <c r="C47" s="358"/>
      <c r="D47" s="358"/>
      <c r="E47" s="253"/>
    </row>
    <row r="48" spans="2:5" ht="15.75">
      <c r="B48" s="254"/>
      <c r="C48" s="358"/>
      <c r="D48" s="358"/>
      <c r="E48" s="253"/>
    </row>
    <row r="49" spans="2:5" ht="15.75">
      <c r="B49" s="254"/>
      <c r="C49" s="358"/>
      <c r="D49" s="358"/>
      <c r="E49" s="253"/>
    </row>
    <row r="50" spans="2:5" ht="15.75">
      <c r="B50" s="254" t="s">
        <v>88</v>
      </c>
      <c r="C50" s="358"/>
      <c r="D50" s="358"/>
      <c r="E50" s="253"/>
    </row>
    <row r="51" spans="2:5" ht="15.75">
      <c r="B51" s="255" t="s">
        <v>90</v>
      </c>
      <c r="C51" s="358">
        <v>72050</v>
      </c>
      <c r="D51" s="358">
        <v>45000</v>
      </c>
      <c r="E51" s="253">
        <v>35000</v>
      </c>
    </row>
    <row r="52" spans="2:5" ht="15.75">
      <c r="B52" s="256" t="s">
        <v>43</v>
      </c>
      <c r="C52" s="358">
        <v>25357</v>
      </c>
      <c r="D52" s="358">
        <v>10000</v>
      </c>
      <c r="E52" s="253">
        <v>10000</v>
      </c>
    </row>
    <row r="53" spans="2:5" ht="15.75">
      <c r="B53" s="256" t="s">
        <v>285</v>
      </c>
      <c r="C53" s="359">
        <f>IF(C54*0.1&lt;C52,"Exceed 10% Rule","")</f>
      </c>
      <c r="D53" s="359">
        <f>IF(D54*0.1&lt;D52,"Exceed 10% Rule","")</f>
      </c>
      <c r="E53" s="290">
        <f>IF(E54*0.1+E125&lt;E52,"Exceed 10% Rule","")</f>
      </c>
    </row>
    <row r="54" spans="2:5" ht="15.75">
      <c r="B54" s="258" t="s">
        <v>91</v>
      </c>
      <c r="C54" s="360">
        <f>SUM(C8:C52)</f>
        <v>1867947</v>
      </c>
      <c r="D54" s="360">
        <f>SUM(D8:D52)</f>
        <v>1746432</v>
      </c>
      <c r="E54" s="298">
        <f>SUM(E9:E52)</f>
        <v>433267</v>
      </c>
    </row>
    <row r="55" spans="2:5" ht="15.75">
      <c r="B55" s="258" t="s">
        <v>92</v>
      </c>
      <c r="C55" s="360">
        <f>C6+C54</f>
        <v>2158711</v>
      </c>
      <c r="D55" s="360">
        <f>D6+D54</f>
        <v>1998521</v>
      </c>
      <c r="E55" s="298">
        <f>E6+E54</f>
        <v>521107</v>
      </c>
    </row>
    <row r="56" spans="2:5" ht="15.75">
      <c r="B56" s="35"/>
      <c r="C56" s="174"/>
      <c r="D56" s="174"/>
      <c r="E56" s="174"/>
    </row>
    <row r="57" spans="2:5" ht="15.75">
      <c r="B57" s="518" t="s">
        <v>217</v>
      </c>
      <c r="C57" s="518"/>
      <c r="D57" s="518"/>
      <c r="E57" s="518"/>
    </row>
    <row r="58" spans="2:5" ht="15.75">
      <c r="B58" s="174" t="str">
        <f>inputPrYr!C2</f>
        <v>LINCOLN COUNTY</v>
      </c>
      <c r="C58" s="174"/>
      <c r="D58" s="174"/>
      <c r="E58" s="233">
        <f>inputPrYr!C4</f>
        <v>2012</v>
      </c>
    </row>
    <row r="59" spans="2:5" ht="15.75">
      <c r="B59" s="35"/>
      <c r="C59" s="174"/>
      <c r="D59" s="174"/>
      <c r="E59" s="186"/>
    </row>
    <row r="60" spans="2:5" ht="15.75">
      <c r="B60" s="260" t="s">
        <v>164</v>
      </c>
      <c r="C60" s="261"/>
      <c r="D60" s="261"/>
      <c r="E60" s="261"/>
    </row>
    <row r="61" spans="2:5" ht="15.75">
      <c r="B61" s="35" t="s">
        <v>82</v>
      </c>
      <c r="C61" s="381" t="s">
        <v>119</v>
      </c>
      <c r="D61" s="380" t="s">
        <v>240</v>
      </c>
      <c r="E61" s="382" t="str">
        <f>E4</f>
        <v>Proposed Budget Year</v>
      </c>
    </row>
    <row r="62" spans="2:5" ht="15.75">
      <c r="B62" s="64" t="s">
        <v>94</v>
      </c>
      <c r="C62" s="361">
        <f>E58-2</f>
        <v>2010</v>
      </c>
      <c r="D62" s="361">
        <f>E58-1</f>
        <v>2011</v>
      </c>
      <c r="E62" s="262">
        <f>E5</f>
        <v>2012</v>
      </c>
    </row>
    <row r="63" spans="2:5" ht="15.75">
      <c r="B63" s="258" t="s">
        <v>92</v>
      </c>
      <c r="C63" s="362">
        <f>C55</f>
        <v>2158711</v>
      </c>
      <c r="D63" s="362">
        <f>D55</f>
        <v>1998521</v>
      </c>
      <c r="E63" s="212">
        <f>E55</f>
        <v>521107</v>
      </c>
    </row>
    <row r="64" spans="2:5" ht="15.75">
      <c r="B64" s="250" t="s">
        <v>95</v>
      </c>
      <c r="C64" s="362"/>
      <c r="D64" s="362"/>
      <c r="E64" s="212"/>
    </row>
    <row r="65" spans="2:5" ht="15.75">
      <c r="B65" s="252" t="str">
        <f>'gen-detail'!A7</f>
        <v>County Commission</v>
      </c>
      <c r="C65" s="362">
        <f>'gen-detail'!B13</f>
        <v>43281</v>
      </c>
      <c r="D65" s="362">
        <f>'gen-detail'!C13</f>
        <v>44365</v>
      </c>
      <c r="E65" s="212">
        <f>'gen-detail'!D13</f>
        <v>44415</v>
      </c>
    </row>
    <row r="66" spans="2:5" ht="15.75">
      <c r="B66" s="252" t="str">
        <f>'gen-detail'!A14</f>
        <v>County Clerk</v>
      </c>
      <c r="C66" s="362">
        <f>'gen-detail'!B20</f>
        <v>78410</v>
      </c>
      <c r="D66" s="362">
        <f>'gen-detail'!C20</f>
        <v>88788</v>
      </c>
      <c r="E66" s="212">
        <f>'gen-detail'!D20</f>
        <v>91860</v>
      </c>
    </row>
    <row r="67" spans="2:5" ht="15.75">
      <c r="B67" s="252" t="str">
        <f>'gen-detail'!A21</f>
        <v>County Treasurer</v>
      </c>
      <c r="C67" s="362">
        <f>'gen-detail'!B27</f>
        <v>85141</v>
      </c>
      <c r="D67" s="362">
        <f>'gen-detail'!C27</f>
        <v>87090</v>
      </c>
      <c r="E67" s="212">
        <f>'gen-detail'!D27</f>
        <v>87093</v>
      </c>
    </row>
    <row r="68" spans="2:5" ht="15.75">
      <c r="B68" s="252" t="str">
        <f>'gen-detail'!A28</f>
        <v>County Attorney/Counselor</v>
      </c>
      <c r="C68" s="362">
        <f>'gen-detail'!B33</f>
        <v>78091</v>
      </c>
      <c r="D68" s="362">
        <f>'gen-detail'!C33</f>
        <v>83500</v>
      </c>
      <c r="E68" s="212">
        <f>'gen-detail'!D33</f>
        <v>83500</v>
      </c>
    </row>
    <row r="69" spans="2:5" ht="15.75">
      <c r="B69" s="252" t="str">
        <f>'gen-detail'!A34</f>
        <v>Register of Deeds</v>
      </c>
      <c r="C69" s="362">
        <f>'gen-detail'!B39</f>
        <v>37825</v>
      </c>
      <c r="D69" s="362">
        <f>'gen-detail'!C39</f>
        <v>40316</v>
      </c>
      <c r="E69" s="212">
        <f>'gen-detail'!D39</f>
        <v>38279</v>
      </c>
    </row>
    <row r="70" spans="2:5" ht="15.75">
      <c r="B70" s="252" t="str">
        <f>'gen-detail'!A40</f>
        <v>Sheriff</v>
      </c>
      <c r="C70" s="362">
        <f>'gen-detail'!B46</f>
        <v>265342</v>
      </c>
      <c r="D70" s="362">
        <f>'gen-detail'!C46</f>
        <v>267250</v>
      </c>
      <c r="E70" s="212">
        <f>'gen-detail'!D46</f>
        <v>273250</v>
      </c>
    </row>
    <row r="71" spans="2:5" ht="15.75">
      <c r="B71" s="252" t="str">
        <f>'gen-detail'!A47</f>
        <v>District Court</v>
      </c>
      <c r="C71" s="362">
        <f>'gen-detail'!B52</f>
        <v>42340</v>
      </c>
      <c r="D71" s="362">
        <f>'gen-detail'!C52</f>
        <v>57000</v>
      </c>
      <c r="E71" s="212">
        <f>'gen-detail'!D52</f>
        <v>57382</v>
      </c>
    </row>
    <row r="72" spans="2:5" ht="15.75">
      <c r="B72" s="252" t="str">
        <f>'gen-detail'!A53</f>
        <v>Courthouse ( General Expense )</v>
      </c>
      <c r="C72" s="362">
        <f>'gen-detail'!B60</f>
        <v>111134</v>
      </c>
      <c r="D72" s="362">
        <f>'gen-detail'!C60</f>
        <v>137250</v>
      </c>
      <c r="E72" s="212">
        <f>'gen-detail'!D60</f>
        <v>142904</v>
      </c>
    </row>
    <row r="73" spans="2:5" ht="15.75">
      <c r="B73" s="252" t="str">
        <f>'gen-detail'!A72</f>
        <v>Occupation Center of Kansas</v>
      </c>
      <c r="C73" s="362">
        <f>'gen-detail'!B74</f>
        <v>7209</v>
      </c>
      <c r="D73" s="362">
        <f>'gen-detail'!C74</f>
        <v>7209</v>
      </c>
      <c r="E73" s="212">
        <f>'gen-detail'!D74</f>
        <v>7209</v>
      </c>
    </row>
    <row r="74" spans="2:5" ht="15.75">
      <c r="B74" s="252" t="str">
        <f>'gen-detail'!A75</f>
        <v>Area Agency for Aging-Sr. Care Act</v>
      </c>
      <c r="C74" s="362">
        <f>'gen-detail'!B78</f>
        <v>605</v>
      </c>
      <c r="D74" s="362">
        <f>'gen-detail'!C78</f>
        <v>2248</v>
      </c>
      <c r="E74" s="212">
        <f>'gen-detail'!D78</f>
        <v>2215</v>
      </c>
    </row>
    <row r="75" spans="2:5" ht="15.75">
      <c r="B75" s="252" t="str">
        <f>'gen-detail'!A79</f>
        <v>Juvenile Detention</v>
      </c>
      <c r="C75" s="362">
        <f>'gen-detail'!B81</f>
        <v>4000</v>
      </c>
      <c r="D75" s="362">
        <f>'gen-detail'!C81</f>
        <v>3000</v>
      </c>
      <c r="E75" s="212">
        <f>'gen-detail'!D81</f>
        <v>3000</v>
      </c>
    </row>
    <row r="76" spans="2:5" ht="15.75">
      <c r="B76" s="252" t="str">
        <f>'gen-detail'!A82</f>
        <v>Abandoned Cemeteries</v>
      </c>
      <c r="C76" s="362">
        <f>'gen-detail'!B84</f>
        <v>1920</v>
      </c>
      <c r="D76" s="362">
        <f>'gen-detail'!C84</f>
        <v>2500</v>
      </c>
      <c r="E76" s="212">
        <f>'gen-detail'!D84</f>
        <v>3000</v>
      </c>
    </row>
    <row r="77" spans="2:5" ht="15.75">
      <c r="B77" s="252" t="str">
        <f>'gen-detail'!A85</f>
        <v>Safety Center</v>
      </c>
      <c r="C77" s="362">
        <f>'gen-detail'!B87</f>
        <v>3338</v>
      </c>
      <c r="D77" s="362">
        <f>'gen-detail'!C87</f>
        <v>0</v>
      </c>
      <c r="E77" s="212">
        <f>'gen-detail'!D87</f>
        <v>0</v>
      </c>
    </row>
    <row r="78" spans="2:5" ht="15.75">
      <c r="B78" s="252" t="str">
        <f>'gen-detail'!A88</f>
        <v>Liability Insurance</v>
      </c>
      <c r="C78" s="362">
        <f>'gen-detail'!B90</f>
        <v>28879</v>
      </c>
      <c r="D78" s="362">
        <f>'gen-detail'!C90</f>
        <v>29941</v>
      </c>
      <c r="E78" s="212">
        <f>'gen-detail'!D90</f>
        <v>32000</v>
      </c>
    </row>
    <row r="79" spans="2:5" ht="15.75">
      <c r="B79" s="252" t="str">
        <f>'gen-detail'!A91</f>
        <v>County Fair</v>
      </c>
      <c r="C79" s="362">
        <f>'gen-detail'!B93</f>
        <v>7000</v>
      </c>
      <c r="D79" s="362">
        <f>'gen-detail'!C93</f>
        <v>7000</v>
      </c>
      <c r="E79" s="212">
        <f>'gen-detail'!D93</f>
        <v>7000</v>
      </c>
    </row>
    <row r="80" spans="2:5" ht="15.75">
      <c r="B80" s="252" t="str">
        <f>'gen-detail'!A94</f>
        <v>Bus</v>
      </c>
      <c r="C80" s="362">
        <f>'gen-detail'!B96</f>
        <v>8000</v>
      </c>
      <c r="D80" s="362">
        <f>'gen-detail'!C96</f>
        <v>16000</v>
      </c>
      <c r="E80" s="212">
        <f>'gen-detail'!D96</f>
        <v>16000</v>
      </c>
    </row>
    <row r="81" spans="2:5" ht="15.75">
      <c r="B81" s="252" t="str">
        <f>'gen-detail'!A97</f>
        <v>Recycling Center</v>
      </c>
      <c r="C81" s="362">
        <f>'gen-detail'!B101</f>
        <v>23550</v>
      </c>
      <c r="D81" s="362">
        <f>'gen-detail'!C101</f>
        <v>27222</v>
      </c>
      <c r="E81" s="212">
        <f>'gen-detail'!D101</f>
        <v>27500</v>
      </c>
    </row>
    <row r="82" spans="2:5" ht="15.75">
      <c r="B82" s="252" t="str">
        <f>'gen-detail'!A102</f>
        <v>Rescue Squad</v>
      </c>
      <c r="C82" s="362">
        <f>'gen-detail'!B105</f>
        <v>18019</v>
      </c>
      <c r="D82" s="362">
        <f>'gen-detail'!C105</f>
        <v>17903</v>
      </c>
      <c r="E82" s="212">
        <f>'gen-detail'!D105</f>
        <v>17954</v>
      </c>
    </row>
    <row r="83" spans="2:5" ht="15.75">
      <c r="B83" s="252" t="str">
        <f>'gen-detail'!A106</f>
        <v>Capital Improvement</v>
      </c>
      <c r="C83" s="362">
        <f>'gen-detail'!B108</f>
        <v>100000</v>
      </c>
      <c r="D83" s="362">
        <f>'gen-detail'!C108</f>
        <v>0</v>
      </c>
      <c r="E83" s="212">
        <f>'gen-detail'!D108</f>
        <v>0</v>
      </c>
    </row>
    <row r="84" spans="2:5" ht="15.75">
      <c r="B84" s="252" t="str">
        <f>'gen-detail'!A109</f>
        <v>Sylvan TE Grant</v>
      </c>
      <c r="C84" s="362">
        <f>'gen-detail'!B111</f>
        <v>0</v>
      </c>
      <c r="D84" s="362">
        <f>'gen-detail'!C111</f>
        <v>0</v>
      </c>
      <c r="E84" s="212">
        <f>'gen-detail'!D111</f>
        <v>0</v>
      </c>
    </row>
    <row r="85" spans="2:5" ht="15.75">
      <c r="B85" s="252" t="str">
        <f>'gen-detail'!A112</f>
        <v>CASA</v>
      </c>
      <c r="C85" s="362">
        <f>'gen-detail'!B114</f>
        <v>4000</v>
      </c>
      <c r="D85" s="362">
        <f>'gen-detail'!C114</f>
        <v>4000</v>
      </c>
      <c r="E85" s="212">
        <f>'gen-detail'!D114</f>
        <v>4000</v>
      </c>
    </row>
    <row r="86" spans="2:5" ht="15.75">
      <c r="B86" s="252" t="str">
        <f>'gen-detail'!A115</f>
        <v>Emergency Preparedness</v>
      </c>
      <c r="C86" s="362">
        <f>'gen-detail'!B122</f>
        <v>34518</v>
      </c>
      <c r="D86" s="362">
        <f>'gen-detail'!C122</f>
        <v>40603</v>
      </c>
      <c r="E86" s="212">
        <f>'gen-detail'!D122</f>
        <v>41727</v>
      </c>
    </row>
    <row r="87" spans="2:5" ht="15.75">
      <c r="B87" s="252" t="str">
        <f>'gen-detail'!A123</f>
        <v>Special Reappraisal</v>
      </c>
      <c r="C87" s="362">
        <f>'gen-detail'!B129</f>
        <v>84855</v>
      </c>
      <c r="D87" s="362">
        <f>'gen-detail'!C129</f>
        <v>84821</v>
      </c>
      <c r="E87" s="212">
        <f>'gen-detail'!D129</f>
        <v>86334</v>
      </c>
    </row>
    <row r="88" spans="2:5" ht="15.75">
      <c r="B88" s="252" t="str">
        <f>'gen-detail'!A140</f>
        <v>Special Building</v>
      </c>
      <c r="C88" s="362">
        <f>'gen-detail'!B142</f>
        <v>2892</v>
      </c>
      <c r="D88" s="362">
        <f>'gen-detail'!C142</f>
        <v>10000</v>
      </c>
      <c r="E88" s="212">
        <f>'gen-detail'!D142</f>
        <v>10000</v>
      </c>
    </row>
    <row r="89" spans="2:5" ht="15.75">
      <c r="B89" s="252" t="str">
        <f>'gen-detail'!A143</f>
        <v>Communications</v>
      </c>
      <c r="C89" s="362">
        <f>'gen-detail'!B149</f>
        <v>144454</v>
      </c>
      <c r="D89" s="362">
        <f>'gen-detail'!C149</f>
        <v>141050</v>
      </c>
      <c r="E89" s="212">
        <f>'gen-detail'!D149</f>
        <v>141976</v>
      </c>
    </row>
    <row r="90" spans="2:5" ht="15.75">
      <c r="B90" s="252" t="str">
        <f>'gen-detail'!A150</f>
        <v>Economic Development</v>
      </c>
      <c r="C90" s="362">
        <f>'gen-detail'!B152</f>
        <v>72077</v>
      </c>
      <c r="D90" s="362">
        <f>'gen-detail'!C152</f>
        <v>71612</v>
      </c>
      <c r="E90" s="212">
        <f>'gen-detail'!D152</f>
        <v>71814</v>
      </c>
    </row>
    <row r="91" spans="2:5" ht="15.75">
      <c r="B91" s="252" t="str">
        <f>'gen-detail'!A153</f>
        <v>Historical Society </v>
      </c>
      <c r="C91" s="362">
        <f>'gen-detail'!B155</f>
        <v>4500</v>
      </c>
      <c r="D91" s="362">
        <f>'gen-detail'!C155</f>
        <v>4500</v>
      </c>
      <c r="E91" s="212">
        <f>'gen-detail'!D155</f>
        <v>4500</v>
      </c>
    </row>
    <row r="92" spans="2:5" ht="15.75">
      <c r="B92" s="252" t="str">
        <f>'gen-detail'!A156</f>
        <v>Mental Health</v>
      </c>
      <c r="C92" s="362">
        <f>'gen-detail'!B158</f>
        <v>12224</v>
      </c>
      <c r="D92" s="362">
        <f>'gen-detail'!C158</f>
        <v>12591</v>
      </c>
      <c r="E92" s="212">
        <f>'gen-detail'!D158</f>
        <v>13095</v>
      </c>
    </row>
    <row r="93" spans="2:5" ht="15.75">
      <c r="B93" s="252" t="str">
        <f>'gen-detail'!A159</f>
        <v>Special Alcohol &amp; Drug</v>
      </c>
      <c r="C93" s="362">
        <f>'gen-detail'!B161</f>
        <v>0</v>
      </c>
      <c r="D93" s="362">
        <f>'gen-detail'!C161</f>
        <v>1000</v>
      </c>
      <c r="E93" s="212">
        <f>'gen-detail'!D161</f>
        <v>1000</v>
      </c>
    </row>
    <row r="94" spans="2:5" ht="15.75">
      <c r="B94" s="252" t="str">
        <f>'gen-detail'!A162</f>
        <v>Services for the Aged</v>
      </c>
      <c r="C94" s="362">
        <f>'gen-detail'!B164</f>
        <v>73481</v>
      </c>
      <c r="D94" s="362">
        <f>'gen-detail'!C164</f>
        <v>71612</v>
      </c>
      <c r="E94" s="212">
        <f>'gen-detail'!D164</f>
        <v>71814</v>
      </c>
    </row>
    <row r="95" spans="2:5" ht="15.75">
      <c r="B95" s="252" t="str">
        <f>'gen-detail'!A165</f>
        <v>Nursing Home</v>
      </c>
      <c r="C95" s="362">
        <f>'gen-detail'!B167</f>
        <v>74983</v>
      </c>
      <c r="D95" s="362">
        <f>'gen-detail'!C167</f>
        <v>90000</v>
      </c>
      <c r="E95" s="212">
        <f>'gen-detail'!D167</f>
        <v>90000</v>
      </c>
    </row>
    <row r="96" spans="2:5" ht="15.75">
      <c r="B96" s="252" t="str">
        <f>'gen-detail'!A168</f>
        <v>Soil Conservation</v>
      </c>
      <c r="C96" s="362">
        <f>'gen-detail'!B170</f>
        <v>16300</v>
      </c>
      <c r="D96" s="362">
        <f>'gen-detail'!C170</f>
        <v>16300</v>
      </c>
      <c r="E96" s="212">
        <f>'gen-detail'!D170</f>
        <v>16300</v>
      </c>
    </row>
    <row r="97" spans="2:5" ht="15.75">
      <c r="B97" s="252" t="str">
        <f>'gen-detail'!A171</f>
        <v>Hospital Maintenance</v>
      </c>
      <c r="C97" s="362">
        <f>'gen-detail'!B173</f>
        <v>360384</v>
      </c>
      <c r="D97" s="362">
        <f>'gen-detail'!C173</f>
        <v>358060</v>
      </c>
      <c r="E97" s="212">
        <f>'gen-detail'!D173</f>
        <v>359070</v>
      </c>
    </row>
    <row r="98" spans="2:5" ht="15.75">
      <c r="B98" s="252" t="str">
        <f>'gen-detail'!A174</f>
        <v>Promotion &amp; Advertising</v>
      </c>
      <c r="C98" s="362">
        <f>'gen-detail'!B176</f>
        <v>520</v>
      </c>
      <c r="D98" s="362">
        <f>'gen-detail'!C176</f>
        <v>2000</v>
      </c>
      <c r="E98" s="212">
        <f>'gen-detail'!D176</f>
        <v>2000</v>
      </c>
    </row>
    <row r="99" spans="2:5" ht="15.75">
      <c r="B99" s="252" t="str">
        <f>'gen-detail'!A177</f>
        <v>Computer Contract</v>
      </c>
      <c r="C99" s="362">
        <f>'gen-detail'!B179</f>
        <v>20786</v>
      </c>
      <c r="D99" s="362">
        <f>'gen-detail'!C179</f>
        <v>30000</v>
      </c>
      <c r="E99" s="212">
        <f>'gen-detail'!D179</f>
        <v>30000</v>
      </c>
    </row>
    <row r="100" spans="2:5" ht="15.75">
      <c r="B100" s="252" t="str">
        <f>'gen-detail'!A180</f>
        <v>LEP Program</v>
      </c>
      <c r="C100" s="362">
        <f>'gen-detail'!B182</f>
        <v>5000</v>
      </c>
      <c r="D100" s="362">
        <f>'gen-detail'!C182</f>
        <v>5000</v>
      </c>
      <c r="E100" s="212">
        <f>'gen-detail'!D182</f>
        <v>5000</v>
      </c>
    </row>
    <row r="101" spans="2:5" ht="15.75">
      <c r="B101" s="252" t="str">
        <f>'gen-detail'!A183</f>
        <v>Post Rock Recreation Dept.</v>
      </c>
      <c r="C101" s="362">
        <f>'gen-detail'!B185</f>
        <v>25000</v>
      </c>
      <c r="D101" s="362">
        <f>'gen-detail'!C185</f>
        <v>25000</v>
      </c>
      <c r="E101" s="212">
        <f>'gen-detail'!D185</f>
        <v>25000</v>
      </c>
    </row>
    <row r="102" spans="2:5" ht="15.75">
      <c r="B102" s="252" t="str">
        <f>'gen-detail'!A186</f>
        <v>Election</v>
      </c>
      <c r="C102" s="362">
        <f>'gen-detail'!B191</f>
        <v>26564</v>
      </c>
      <c r="D102" s="362">
        <f>'gen-detail'!C191</f>
        <v>23950</v>
      </c>
      <c r="E102" s="212">
        <f>'gen-detail'!D191</f>
        <v>25560</v>
      </c>
    </row>
    <row r="103" spans="2:5" ht="15.75">
      <c r="B103" s="252"/>
      <c r="C103" s="362"/>
      <c r="D103" s="362"/>
      <c r="E103" s="212"/>
    </row>
    <row r="104" spans="2:5" ht="15.75">
      <c r="B104" s="252"/>
      <c r="C104" s="362"/>
      <c r="D104" s="362"/>
      <c r="E104" s="212"/>
    </row>
    <row r="105" spans="2:5" ht="15.75">
      <c r="B105" s="252"/>
      <c r="C105" s="362"/>
      <c r="D105" s="362"/>
      <c r="E105" s="212"/>
    </row>
    <row r="106" spans="2:5" ht="15.75">
      <c r="B106" s="252"/>
      <c r="C106" s="362"/>
      <c r="D106" s="362"/>
      <c r="E106" s="212"/>
    </row>
    <row r="107" spans="2:5" ht="15.75">
      <c r="B107" s="252"/>
      <c r="C107" s="362"/>
      <c r="D107" s="362"/>
      <c r="E107" s="212"/>
    </row>
    <row r="108" spans="2:5" ht="15.75">
      <c r="B108" s="263" t="s">
        <v>25</v>
      </c>
      <c r="C108" s="415">
        <f>SUM(C65:C107)</f>
        <v>1906622</v>
      </c>
      <c r="D108" s="415">
        <f>SUM(D65:D107)</f>
        <v>1910681</v>
      </c>
      <c r="E108" s="294">
        <f>SUM(E65:E107)</f>
        <v>1933751</v>
      </c>
    </row>
    <row r="109" spans="2:5" ht="15.75">
      <c r="B109" s="264"/>
      <c r="C109" s="358"/>
      <c r="D109" s="358"/>
      <c r="E109" s="62"/>
    </row>
    <row r="110" spans="2:5" ht="15.75">
      <c r="B110" s="264"/>
      <c r="C110" s="358"/>
      <c r="D110" s="358"/>
      <c r="E110" s="62"/>
    </row>
    <row r="111" spans="2:5" ht="15.75">
      <c r="B111" s="264"/>
      <c r="C111" s="358"/>
      <c r="D111" s="358"/>
      <c r="E111" s="62"/>
    </row>
    <row r="112" spans="2:5" ht="15.75">
      <c r="B112" s="264"/>
      <c r="C112" s="358"/>
      <c r="D112" s="358"/>
      <c r="E112" s="62"/>
    </row>
    <row r="113" spans="2:5" ht="15.75">
      <c r="B113" s="264"/>
      <c r="C113" s="358"/>
      <c r="D113" s="358"/>
      <c r="E113" s="62"/>
    </row>
    <row r="114" spans="2:5" ht="15.75">
      <c r="B114" s="264"/>
      <c r="C114" s="358"/>
      <c r="D114" s="358"/>
      <c r="E114" s="62"/>
    </row>
    <row r="115" spans="2:5" ht="15.75">
      <c r="B115" s="256" t="s">
        <v>45</v>
      </c>
      <c r="C115" s="358"/>
      <c r="D115" s="358"/>
      <c r="E115" s="70"/>
    </row>
    <row r="116" spans="2:5" ht="15.75">
      <c r="B116" s="256" t="s">
        <v>43</v>
      </c>
      <c r="C116" s="358"/>
      <c r="D116" s="358"/>
      <c r="E116" s="62"/>
    </row>
    <row r="117" spans="2:10" ht="15.75">
      <c r="B117" s="256" t="s">
        <v>284</v>
      </c>
      <c r="C117" s="359">
        <f>IF(C118*0.1&lt;C116,"Exceed 10% Rule","")</f>
      </c>
      <c r="D117" s="359">
        <f>IF(D118*0.1&lt;D116,"Exceed 10% Rule","")</f>
      </c>
      <c r="E117" s="290">
        <f>IF(E118*0.1&lt;E116,"Exceed 10% Rule","")</f>
      </c>
      <c r="G117" s="525" t="str">
        <f>CONCATENATE("Projected Carryover Into ",E1+1,"")</f>
        <v>Projected Carryover Into 2013</v>
      </c>
      <c r="H117" s="526"/>
      <c r="I117" s="526"/>
      <c r="J117" s="527"/>
    </row>
    <row r="118" spans="2:10" ht="15.75">
      <c r="B118" s="258" t="s">
        <v>96</v>
      </c>
      <c r="C118" s="360">
        <f>SUM(C108:C116)</f>
        <v>1906622</v>
      </c>
      <c r="D118" s="360">
        <f>SUM(D108:D116)</f>
        <v>1910681</v>
      </c>
      <c r="E118" s="298">
        <f>SUM(E108:E116)</f>
        <v>1933751</v>
      </c>
      <c r="G118" s="437"/>
      <c r="H118" s="436"/>
      <c r="I118" s="436"/>
      <c r="J118" s="438"/>
    </row>
    <row r="119" spans="2:10" ht="15.75">
      <c r="B119" s="98" t="s">
        <v>209</v>
      </c>
      <c r="C119" s="363">
        <f>C55-C118</f>
        <v>252089</v>
      </c>
      <c r="D119" s="363">
        <f>D55-D118</f>
        <v>87840</v>
      </c>
      <c r="E119" s="172" t="s">
        <v>68</v>
      </c>
      <c r="G119" s="424">
        <f>D119</f>
        <v>87840</v>
      </c>
      <c r="H119" s="422" t="str">
        <f>CONCATENATE("",E1-1," Ending Cash Balance (est.)")</f>
        <v>2011 Ending Cash Balance (est.)</v>
      </c>
      <c r="I119" s="421"/>
      <c r="J119" s="438"/>
    </row>
    <row r="120" spans="2:10" ht="15.75">
      <c r="B120" s="234" t="str">
        <f>CONCATENATE("",E$1-2,"/",E$1-1," Budget Authority Amount:")</f>
        <v>2010/2011 Budget Authority Amount:</v>
      </c>
      <c r="C120" s="226">
        <f>inputOth!$B33</f>
        <v>1985728</v>
      </c>
      <c r="D120" s="226">
        <f>inputPrYr!$D16</f>
        <v>1973745</v>
      </c>
      <c r="E120" s="172" t="s">
        <v>68</v>
      </c>
      <c r="F120" s="266"/>
      <c r="G120" s="424">
        <f>E54</f>
        <v>433267</v>
      </c>
      <c r="H120" s="420" t="str">
        <f>CONCATENATE("",E1," Non-AV Receipts (est.)")</f>
        <v>2012 Non-AV Receipts (est.)</v>
      </c>
      <c r="I120" s="421"/>
      <c r="J120" s="438"/>
    </row>
    <row r="121" spans="2:10" ht="15.75">
      <c r="B121" s="234"/>
      <c r="C121" s="521" t="s">
        <v>287</v>
      </c>
      <c r="D121" s="522"/>
      <c r="E121" s="62"/>
      <c r="F121" s="423">
        <f>IF(E118/0.95-E118&lt;E121,"Exceeds 5%","")</f>
      </c>
      <c r="G121" s="419">
        <f>E125</f>
        <v>1455023.32</v>
      </c>
      <c r="H121" s="420" t="str">
        <f>CONCATENATE("",E1," Ad Valorem Tax (est.)")</f>
        <v>2012 Ad Valorem Tax (est.)</v>
      </c>
      <c r="I121" s="421"/>
      <c r="J121" s="438"/>
    </row>
    <row r="122" spans="2:10" ht="15.75">
      <c r="B122" s="427" t="str">
        <f>CONCATENATE(C137,"     ",D137)</f>
        <v>     </v>
      </c>
      <c r="C122" s="523" t="s">
        <v>288</v>
      </c>
      <c r="D122" s="524"/>
      <c r="E122" s="212">
        <f>E118+E121</f>
        <v>1933751</v>
      </c>
      <c r="G122" s="424">
        <f>SUM(G119:G121)</f>
        <v>1976130.32</v>
      </c>
      <c r="H122" s="420" t="str">
        <f>CONCATENATE("Total ",E1," Resources Available")</f>
        <v>Total 2012 Resources Available</v>
      </c>
      <c r="I122" s="421"/>
      <c r="J122" s="438"/>
    </row>
    <row r="123" spans="2:10" ht="15.75">
      <c r="B123" s="427" t="str">
        <f>CONCATENATE(C138,"     ",D138)</f>
        <v>     </v>
      </c>
      <c r="C123" s="267"/>
      <c r="D123" s="186" t="s">
        <v>97</v>
      </c>
      <c r="E123" s="70">
        <f>IF(E122-E55&gt;0,E122-E55,0)</f>
        <v>1412644</v>
      </c>
      <c r="G123" s="418"/>
      <c r="H123" s="420"/>
      <c r="I123" s="420"/>
      <c r="J123" s="438"/>
    </row>
    <row r="124" spans="2:10" ht="15.75">
      <c r="B124" s="234"/>
      <c r="C124" s="425" t="s">
        <v>289</v>
      </c>
      <c r="D124" s="408">
        <f>inputOth!$E$24</f>
        <v>0.03</v>
      </c>
      <c r="E124" s="212">
        <f>IF(D124&gt;0,(E123*D124),0)</f>
        <v>42379.32</v>
      </c>
      <c r="G124" s="419">
        <f>C118*0.05+C118</f>
        <v>2001953.1</v>
      </c>
      <c r="H124" s="420" t="str">
        <f>CONCATENATE("Less ",E1-2," Expenditures + 5%")</f>
        <v>Less 2010 Expenditures + 5%</v>
      </c>
      <c r="I124" s="421"/>
      <c r="J124" s="438"/>
    </row>
    <row r="125" spans="2:10" ht="15.75">
      <c r="B125" s="35"/>
      <c r="C125" s="519" t="str">
        <f>CONCATENATE("Amount of  ",$E$1-1," Ad Valorem Tax")</f>
        <v>Amount of  2011 Ad Valorem Tax</v>
      </c>
      <c r="D125" s="520"/>
      <c r="E125" s="294">
        <f>E123+E124</f>
        <v>1455023.32</v>
      </c>
      <c r="G125" s="417">
        <f>G122-G124</f>
        <v>-25822.780000000028</v>
      </c>
      <c r="H125" s="416" t="str">
        <f>CONCATENATE("Projected ",E1," Carryover (est.)")</f>
        <v>Projected 2012 Carryover (est.)</v>
      </c>
      <c r="I125" s="405"/>
      <c r="J125" s="404"/>
    </row>
    <row r="126" spans="2:10" ht="15.75">
      <c r="B126" s="35"/>
      <c r="C126" s="35"/>
      <c r="D126" s="35"/>
      <c r="E126" s="35"/>
      <c r="G126" s="433"/>
      <c r="H126" s="433"/>
      <c r="I126" s="433"/>
      <c r="J126" s="433"/>
    </row>
    <row r="127" spans="2:10" ht="15.75">
      <c r="B127" s="518" t="s">
        <v>218</v>
      </c>
      <c r="C127" s="518"/>
      <c r="D127" s="518"/>
      <c r="E127" s="518"/>
      <c r="G127" s="403">
        <f>IF(inputOth!E6=0,"",ROUND(general!E125/inputOth!E6*1000,3))</f>
        <v>40.522</v>
      </c>
      <c r="H127" s="402" t="str">
        <f>CONCATENATE("Projected ",E1-1," Mill Rate (est.)")</f>
        <v>Projected 2011 Mill Rate (est.)</v>
      </c>
      <c r="I127" s="401"/>
      <c r="J127" s="400"/>
    </row>
    <row r="128" spans="7:10" ht="15.75">
      <c r="G128" s="439"/>
      <c r="H128" s="439"/>
      <c r="I128" s="439"/>
      <c r="J128" s="439"/>
    </row>
    <row r="129" spans="7:10" ht="15.75">
      <c r="G129" s="525" t="str">
        <f>CONCATENATE("Desired Carryover Into ",E1+1,"")</f>
        <v>Desired Carryover Into 2013</v>
      </c>
      <c r="H129" s="528"/>
      <c r="I129" s="528"/>
      <c r="J129" s="527"/>
    </row>
    <row r="130" spans="7:10" ht="15.75">
      <c r="G130" s="399"/>
      <c r="H130" s="436"/>
      <c r="I130" s="420"/>
      <c r="J130" s="398"/>
    </row>
    <row r="131" spans="7:10" ht="15.75">
      <c r="G131" s="397" t="s">
        <v>290</v>
      </c>
      <c r="H131" s="420"/>
      <c r="I131" s="420"/>
      <c r="J131" s="396"/>
    </row>
    <row r="132" spans="7:10" ht="15.75">
      <c r="G132" s="399" t="s">
        <v>291</v>
      </c>
      <c r="H132" s="436"/>
      <c r="I132" s="436"/>
      <c r="J132" s="395">
        <f>IF(J131=0,"",ROUND((J131+E125-G125)/inputOth!E6*1000,3)-general!G127)</f>
      </c>
    </row>
    <row r="133" spans="7:10" ht="15.75">
      <c r="G133" s="394" t="str">
        <f>CONCATENATE("",E1," Total Expenditures Must Be:")</f>
        <v>2012 Total Expenditures Must Be:</v>
      </c>
      <c r="H133" s="393"/>
      <c r="I133" s="392"/>
      <c r="J133" s="391">
        <f>IF((J131&gt;0),(E118+J131-G125),0)</f>
        <v>0</v>
      </c>
    </row>
    <row r="137" spans="3:4" ht="15.75" hidden="1">
      <c r="C137" s="32">
        <f>IF(C118&gt;C120,"See Tab A","")</f>
      </c>
      <c r="D137" s="32">
        <f>IF(D118&gt;D120,"See Tab C","")</f>
      </c>
    </row>
    <row r="138" spans="3:4" ht="15.75" hidden="1">
      <c r="C138" s="32">
        <f>IF(C119&lt;0,"See Tab B","")</f>
      </c>
      <c r="D138" s="32">
        <f>IF(D119&lt;0,"See Tab D","")</f>
      </c>
    </row>
  </sheetData>
  <sheetProtection/>
  <mergeCells count="7">
    <mergeCell ref="G129:J129"/>
    <mergeCell ref="B57:E57"/>
    <mergeCell ref="B127:E127"/>
    <mergeCell ref="C125:D125"/>
    <mergeCell ref="C121:D121"/>
    <mergeCell ref="C122:D122"/>
    <mergeCell ref="G117:J117"/>
  </mergeCells>
  <conditionalFormatting sqref="E116">
    <cfRule type="cellIs" priority="2" dxfId="135" operator="greaterThan" stopIfTrue="1">
      <formula>$E$118*0.1</formula>
    </cfRule>
  </conditionalFormatting>
  <conditionalFormatting sqref="E121">
    <cfRule type="cellIs" priority="3" dxfId="135" operator="greaterThan" stopIfTrue="1">
      <formula>$E$118/0.95-$E$118</formula>
    </cfRule>
  </conditionalFormatting>
  <conditionalFormatting sqref="D116">
    <cfRule type="cellIs" priority="4" dxfId="2" operator="greaterThan" stopIfTrue="1">
      <formula>$D$118*0.1</formula>
    </cfRule>
  </conditionalFormatting>
  <conditionalFormatting sqref="C116">
    <cfRule type="cellIs" priority="5" dxfId="2" operator="greaterThan" stopIfTrue="1">
      <formula>$C$118*0.1</formula>
    </cfRule>
  </conditionalFormatting>
  <conditionalFormatting sqref="C119">
    <cfRule type="cellIs" priority="6" dxfId="2" operator="lessThan" stopIfTrue="1">
      <formula>0</formula>
    </cfRule>
  </conditionalFormatting>
  <conditionalFormatting sqref="D118">
    <cfRule type="cellIs" priority="7" dxfId="2" operator="greaterThan" stopIfTrue="1">
      <formula>$D$120</formula>
    </cfRule>
  </conditionalFormatting>
  <conditionalFormatting sqref="C118">
    <cfRule type="cellIs" priority="8" dxfId="2" operator="greaterThan" stopIfTrue="1">
      <formula>$C$120</formula>
    </cfRule>
  </conditionalFormatting>
  <conditionalFormatting sqref="D52">
    <cfRule type="cellIs" priority="9" dxfId="2" operator="greaterThan" stopIfTrue="1">
      <formula>$D$54*0.1</formula>
    </cfRule>
  </conditionalFormatting>
  <conditionalFormatting sqref="C52">
    <cfRule type="cellIs" priority="10" dxfId="2" operator="greaterThan" stopIfTrue="1">
      <formula>$C$54*0.1</formula>
    </cfRule>
  </conditionalFormatting>
  <conditionalFormatting sqref="E52">
    <cfRule type="cellIs" priority="11" dxfId="135" operator="greaterThan" stopIfTrue="1">
      <formula>$E$54*0.1+E125</formula>
    </cfRule>
  </conditionalFormatting>
  <conditionalFormatting sqref="D119">
    <cfRule type="cellIs" priority="1" dxfId="0" operator="lessThan" stopIfTrue="1">
      <formula>0</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rowBreaks count="1" manualBreakCount="1">
    <brk id="57" max="255" man="1"/>
  </rowBreaks>
</worksheet>
</file>

<file path=xl/worksheets/sheet11.xml><?xml version="1.0" encoding="utf-8"?>
<worksheet xmlns="http://schemas.openxmlformats.org/spreadsheetml/2006/main" xmlns:r="http://schemas.openxmlformats.org/officeDocument/2006/relationships">
  <dimension ref="A1:D313"/>
  <sheetViews>
    <sheetView view="pageBreakPreview" zoomScale="108" zoomScaleSheetLayoutView="108" zoomScalePageLayoutView="0" workbookViewId="0" topLeftCell="A46">
      <selection activeCell="D46" sqref="D46"/>
    </sheetView>
  </sheetViews>
  <sheetFormatPr defaultColWidth="8.796875" defaultRowHeight="15"/>
  <cols>
    <col min="1" max="1" width="30.796875" style="32" customWidth="1"/>
    <col min="2" max="3" width="15.796875" style="32" customWidth="1"/>
    <col min="4" max="4" width="16.09765625" style="32" customWidth="1"/>
    <col min="5" max="16384" width="8.8984375" style="32" customWidth="1"/>
  </cols>
  <sheetData>
    <row r="1" spans="1:4" ht="15.75">
      <c r="A1" s="174" t="str">
        <f>inputPrYr!C2</f>
        <v>LINCOLN COUNTY</v>
      </c>
      <c r="B1" s="35"/>
      <c r="C1" s="248"/>
      <c r="D1" s="35">
        <f>inputPrYr!C4</f>
        <v>2012</v>
      </c>
    </row>
    <row r="2" spans="1:4" ht="15.75">
      <c r="A2" s="35"/>
      <c r="B2" s="35"/>
      <c r="C2" s="35"/>
      <c r="D2" s="248"/>
    </row>
    <row r="3" spans="1:4" ht="15.75">
      <c r="A3" s="102" t="s">
        <v>165</v>
      </c>
      <c r="B3" s="261"/>
      <c r="C3" s="261"/>
      <c r="D3" s="261"/>
    </row>
    <row r="4" spans="1:4" ht="15.75">
      <c r="A4" s="248" t="s">
        <v>82</v>
      </c>
      <c r="B4" s="455" t="str">
        <f>general!C4</f>
        <v>Prior Year Actual</v>
      </c>
      <c r="C4" s="382" t="str">
        <f>general!D4</f>
        <v>Current Year Estimate</v>
      </c>
      <c r="D4" s="382" t="str">
        <f>general!E4</f>
        <v>Proposed Budget Year</v>
      </c>
    </row>
    <row r="5" spans="1:4" ht="15.75">
      <c r="A5" s="412" t="s">
        <v>286</v>
      </c>
      <c r="B5" s="262">
        <f>general!C5</f>
        <v>2010</v>
      </c>
      <c r="C5" s="262">
        <f>general!D5</f>
        <v>2011</v>
      </c>
      <c r="D5" s="249">
        <f>general!E5</f>
        <v>2012</v>
      </c>
    </row>
    <row r="6" spans="1:4" ht="15.75">
      <c r="A6" s="209" t="s">
        <v>95</v>
      </c>
      <c r="B6" s="77"/>
      <c r="C6" s="77"/>
      <c r="D6" s="77"/>
    </row>
    <row r="7" spans="1:4" ht="15.75">
      <c r="A7" s="270" t="s">
        <v>106</v>
      </c>
      <c r="B7" s="77"/>
      <c r="C7" s="77"/>
      <c r="D7" s="77"/>
    </row>
    <row r="8" spans="1:4" ht="15.75">
      <c r="A8" s="60" t="s">
        <v>100</v>
      </c>
      <c r="B8" s="253">
        <v>37415</v>
      </c>
      <c r="C8" s="253">
        <v>37365</v>
      </c>
      <c r="D8" s="253">
        <v>37415</v>
      </c>
    </row>
    <row r="9" spans="1:4" ht="15.75">
      <c r="A9" s="60" t="s">
        <v>101</v>
      </c>
      <c r="B9" s="253">
        <v>5487</v>
      </c>
      <c r="C9" s="253">
        <v>4000</v>
      </c>
      <c r="D9" s="253">
        <v>4000</v>
      </c>
    </row>
    <row r="10" spans="1:4" ht="15.75">
      <c r="A10" s="60" t="s">
        <v>102</v>
      </c>
      <c r="B10" s="253">
        <v>379</v>
      </c>
      <c r="C10" s="253">
        <v>3000</v>
      </c>
      <c r="D10" s="253">
        <v>3000</v>
      </c>
    </row>
    <row r="11" spans="1:4" ht="15.75">
      <c r="A11" s="60" t="s">
        <v>103</v>
      </c>
      <c r="B11" s="253"/>
      <c r="C11" s="253"/>
      <c r="D11" s="253"/>
    </row>
    <row r="12" spans="1:4" ht="15.75">
      <c r="A12" s="240"/>
      <c r="B12" s="253"/>
      <c r="C12" s="253"/>
      <c r="D12" s="253"/>
    </row>
    <row r="13" spans="1:4" ht="15.75">
      <c r="A13" s="248" t="s">
        <v>53</v>
      </c>
      <c r="B13" s="271">
        <f>SUM(B8:B12)</f>
        <v>43281</v>
      </c>
      <c r="C13" s="271">
        <f>SUM(C8:C12)</f>
        <v>44365</v>
      </c>
      <c r="D13" s="271">
        <f>SUM(D8:D12)</f>
        <v>44415</v>
      </c>
    </row>
    <row r="14" spans="1:4" ht="15.75">
      <c r="A14" s="270" t="s">
        <v>71</v>
      </c>
      <c r="B14" s="77"/>
      <c r="C14" s="77"/>
      <c r="D14" s="77"/>
    </row>
    <row r="15" spans="1:4" ht="15.75">
      <c r="A15" s="60" t="s">
        <v>100</v>
      </c>
      <c r="B15" s="253">
        <v>75768</v>
      </c>
      <c r="C15" s="253">
        <v>82288</v>
      </c>
      <c r="D15" s="253">
        <v>86360</v>
      </c>
    </row>
    <row r="16" spans="1:4" ht="15.75">
      <c r="A16" s="60" t="s">
        <v>101</v>
      </c>
      <c r="B16" s="253">
        <v>1849</v>
      </c>
      <c r="C16" s="253">
        <v>3000</v>
      </c>
      <c r="D16" s="253">
        <v>3500</v>
      </c>
    </row>
    <row r="17" spans="1:4" ht="15.75">
      <c r="A17" s="60" t="s">
        <v>102</v>
      </c>
      <c r="B17" s="253">
        <v>841</v>
      </c>
      <c r="C17" s="253">
        <v>4000</v>
      </c>
      <c r="D17" s="253">
        <v>2500</v>
      </c>
    </row>
    <row r="18" spans="1:4" ht="15.75">
      <c r="A18" s="60" t="s">
        <v>103</v>
      </c>
      <c r="B18" s="253">
        <v>726</v>
      </c>
      <c r="C18" s="253"/>
      <c r="D18" s="253"/>
    </row>
    <row r="19" spans="1:4" ht="15.75">
      <c r="A19" s="60" t="s">
        <v>349</v>
      </c>
      <c r="B19" s="253">
        <v>-774</v>
      </c>
      <c r="C19" s="253">
        <v>-500</v>
      </c>
      <c r="D19" s="253">
        <v>-500</v>
      </c>
    </row>
    <row r="20" spans="1:4" ht="15.75">
      <c r="A20" s="248" t="s">
        <v>53</v>
      </c>
      <c r="B20" s="271">
        <f>SUM(B15:B19)</f>
        <v>78410</v>
      </c>
      <c r="C20" s="271">
        <f>SUM(C15:C19)</f>
        <v>88788</v>
      </c>
      <c r="D20" s="271">
        <f>SUM(D15:D19)</f>
        <v>91860</v>
      </c>
    </row>
    <row r="21" spans="1:4" ht="15.75">
      <c r="A21" s="270" t="s">
        <v>107</v>
      </c>
      <c r="B21" s="77"/>
      <c r="C21" s="77"/>
      <c r="D21" s="77"/>
    </row>
    <row r="22" spans="1:4" ht="15.75">
      <c r="A22" s="60" t="s">
        <v>100</v>
      </c>
      <c r="B22" s="253">
        <v>79213</v>
      </c>
      <c r="C22" s="253">
        <v>79210</v>
      </c>
      <c r="D22" s="253">
        <v>79213</v>
      </c>
    </row>
    <row r="23" spans="1:4" ht="15.75">
      <c r="A23" s="60" t="s">
        <v>101</v>
      </c>
      <c r="B23" s="253">
        <v>4214</v>
      </c>
      <c r="C23" s="253">
        <v>3880</v>
      </c>
      <c r="D23" s="253">
        <v>3880</v>
      </c>
    </row>
    <row r="24" spans="1:4" ht="15.75">
      <c r="A24" s="60" t="s">
        <v>102</v>
      </c>
      <c r="B24" s="253">
        <v>1778</v>
      </c>
      <c r="C24" s="253">
        <v>4000</v>
      </c>
      <c r="D24" s="253">
        <v>4000</v>
      </c>
    </row>
    <row r="25" spans="1:4" ht="15.75">
      <c r="A25" s="60" t="s">
        <v>103</v>
      </c>
      <c r="B25" s="253"/>
      <c r="C25" s="253"/>
      <c r="D25" s="253"/>
    </row>
    <row r="26" spans="1:4" ht="15.75">
      <c r="A26" s="60" t="s">
        <v>349</v>
      </c>
      <c r="B26" s="253">
        <v>-64</v>
      </c>
      <c r="C26" s="253"/>
      <c r="D26" s="253"/>
    </row>
    <row r="27" spans="1:4" ht="15.75">
      <c r="A27" s="248" t="s">
        <v>53</v>
      </c>
      <c r="B27" s="271">
        <f>SUM(B22:B26)</f>
        <v>85141</v>
      </c>
      <c r="C27" s="271">
        <f>SUM(C22:C26)</f>
        <v>87090</v>
      </c>
      <c r="D27" s="271">
        <f>SUM(D22:D26)</f>
        <v>87093</v>
      </c>
    </row>
    <row r="28" spans="1:4" ht="15.75">
      <c r="A28" s="270" t="s">
        <v>105</v>
      </c>
      <c r="B28" s="77"/>
      <c r="C28" s="77"/>
      <c r="D28" s="77"/>
    </row>
    <row r="29" spans="1:4" ht="15.75">
      <c r="A29" s="60" t="s">
        <v>100</v>
      </c>
      <c r="B29" s="253">
        <v>41354</v>
      </c>
      <c r="C29" s="253">
        <v>41500</v>
      </c>
      <c r="D29" s="253">
        <v>41500</v>
      </c>
    </row>
    <row r="30" spans="1:4" ht="15.75">
      <c r="A30" s="60" t="s">
        <v>101</v>
      </c>
      <c r="B30" s="253">
        <v>27668</v>
      </c>
      <c r="C30" s="253">
        <v>34500</v>
      </c>
      <c r="D30" s="253">
        <v>34500</v>
      </c>
    </row>
    <row r="31" spans="1:4" ht="15.75">
      <c r="A31" s="60" t="s">
        <v>102</v>
      </c>
      <c r="B31" s="253">
        <v>8850</v>
      </c>
      <c r="C31" s="253">
        <v>5500</v>
      </c>
      <c r="D31" s="253">
        <v>5500</v>
      </c>
    </row>
    <row r="32" spans="1:4" ht="15.75">
      <c r="A32" s="60" t="s">
        <v>103</v>
      </c>
      <c r="B32" s="253">
        <v>219</v>
      </c>
      <c r="C32" s="253">
        <v>2000</v>
      </c>
      <c r="D32" s="253">
        <v>2000</v>
      </c>
    </row>
    <row r="33" spans="1:4" ht="15.75">
      <c r="A33" s="248" t="s">
        <v>53</v>
      </c>
      <c r="B33" s="271">
        <f>SUM(B29:B32)</f>
        <v>78091</v>
      </c>
      <c r="C33" s="271">
        <f>SUM(C29:C32)</f>
        <v>83500</v>
      </c>
      <c r="D33" s="271">
        <f>SUM(D29:D32)</f>
        <v>83500</v>
      </c>
    </row>
    <row r="34" spans="1:4" ht="15.75">
      <c r="A34" s="270" t="s">
        <v>113</v>
      </c>
      <c r="B34" s="77"/>
      <c r="C34" s="77"/>
      <c r="D34" s="77"/>
    </row>
    <row r="35" spans="1:4" ht="15.75">
      <c r="A35" s="60" t="s">
        <v>100</v>
      </c>
      <c r="B35" s="253">
        <v>32630</v>
      </c>
      <c r="C35" s="253">
        <v>35816</v>
      </c>
      <c r="D35" s="253">
        <v>33779</v>
      </c>
    </row>
    <row r="36" spans="1:4" ht="15.75">
      <c r="A36" s="60" t="s">
        <v>101</v>
      </c>
      <c r="B36" s="253">
        <v>3732</v>
      </c>
      <c r="C36" s="253">
        <v>3000</v>
      </c>
      <c r="D36" s="253">
        <v>3000</v>
      </c>
    </row>
    <row r="37" spans="1:4" ht="15.75">
      <c r="A37" s="60" t="s">
        <v>102</v>
      </c>
      <c r="B37" s="253">
        <v>1463</v>
      </c>
      <c r="C37" s="253">
        <v>1500</v>
      </c>
      <c r="D37" s="253">
        <v>1500</v>
      </c>
    </row>
    <row r="38" spans="1:4" ht="15.75">
      <c r="A38" s="255" t="s">
        <v>103</v>
      </c>
      <c r="B38" s="253"/>
      <c r="C38" s="253"/>
      <c r="D38" s="253"/>
    </row>
    <row r="39" spans="1:4" ht="15.75">
      <c r="A39" s="248" t="s">
        <v>53</v>
      </c>
      <c r="B39" s="271">
        <f>SUM(B35:B38)</f>
        <v>37825</v>
      </c>
      <c r="C39" s="271">
        <f>SUM(C35:C38)</f>
        <v>40316</v>
      </c>
      <c r="D39" s="271">
        <f>SUM(D35:D38)</f>
        <v>38279</v>
      </c>
    </row>
    <row r="40" spans="1:4" ht="15.75">
      <c r="A40" s="270" t="s">
        <v>336</v>
      </c>
      <c r="B40" s="77"/>
      <c r="C40" s="77"/>
      <c r="D40" s="77"/>
    </row>
    <row r="41" spans="1:4" ht="15.75">
      <c r="A41" s="60" t="s">
        <v>100</v>
      </c>
      <c r="B41" s="253">
        <v>265066</v>
      </c>
      <c r="C41" s="253">
        <v>270000</v>
      </c>
      <c r="D41" s="253">
        <v>270000</v>
      </c>
    </row>
    <row r="42" spans="1:4" ht="15.75">
      <c r="A42" s="60" t="s">
        <v>101</v>
      </c>
      <c r="B42" s="253">
        <v>87602</v>
      </c>
      <c r="C42" s="253">
        <v>96000</v>
      </c>
      <c r="D42" s="253">
        <v>97000</v>
      </c>
    </row>
    <row r="43" spans="1:4" ht="15.75">
      <c r="A43" s="60" t="s">
        <v>102</v>
      </c>
      <c r="B43" s="253">
        <v>41880</v>
      </c>
      <c r="C43" s="253">
        <v>50000</v>
      </c>
      <c r="D43" s="253">
        <v>55000</v>
      </c>
    </row>
    <row r="44" spans="1:4" ht="15.75">
      <c r="A44" s="60" t="s">
        <v>103</v>
      </c>
      <c r="B44" s="253">
        <v>995</v>
      </c>
      <c r="C44" s="253">
        <v>5000</v>
      </c>
      <c r="D44" s="253">
        <v>5000</v>
      </c>
    </row>
    <row r="45" spans="1:4" ht="15.75">
      <c r="A45" s="60" t="s">
        <v>349</v>
      </c>
      <c r="B45" s="253">
        <v>-130201</v>
      </c>
      <c r="C45" s="253">
        <v>-153750</v>
      </c>
      <c r="D45" s="253">
        <v>-153750</v>
      </c>
    </row>
    <row r="46" spans="1:4" ht="15.75">
      <c r="A46" s="248" t="s">
        <v>53</v>
      </c>
      <c r="B46" s="271">
        <f>SUM(B41:B45)</f>
        <v>265342</v>
      </c>
      <c r="C46" s="271">
        <f>SUM(C41:C45)</f>
        <v>267250</v>
      </c>
      <c r="D46" s="271">
        <f>SUM(D41:D45)</f>
        <v>273250</v>
      </c>
    </row>
    <row r="47" spans="1:4" ht="15.75">
      <c r="A47" s="270" t="s">
        <v>80</v>
      </c>
      <c r="B47" s="77"/>
      <c r="C47" s="77"/>
      <c r="D47" s="77"/>
    </row>
    <row r="48" spans="1:4" ht="15.75">
      <c r="A48" s="60" t="s">
        <v>101</v>
      </c>
      <c r="B48" s="253">
        <v>48594</v>
      </c>
      <c r="C48" s="253">
        <v>59750</v>
      </c>
      <c r="D48" s="253">
        <v>60032</v>
      </c>
    </row>
    <row r="49" spans="1:4" ht="15.75">
      <c r="A49" s="60" t="s">
        <v>102</v>
      </c>
      <c r="B49" s="253">
        <v>9703</v>
      </c>
      <c r="C49" s="253">
        <v>3750</v>
      </c>
      <c r="D49" s="253">
        <v>3350</v>
      </c>
    </row>
    <row r="50" spans="1:4" ht="15.75">
      <c r="A50" s="60" t="s">
        <v>103</v>
      </c>
      <c r="B50" s="253"/>
      <c r="C50" s="253">
        <v>3500</v>
      </c>
      <c r="D50" s="253">
        <v>4000</v>
      </c>
    </row>
    <row r="51" spans="1:4" ht="15.75">
      <c r="A51" s="60" t="s">
        <v>349</v>
      </c>
      <c r="B51" s="253">
        <v>-15957</v>
      </c>
      <c r="C51" s="253">
        <v>-10000</v>
      </c>
      <c r="D51" s="253">
        <v>-10000</v>
      </c>
    </row>
    <row r="52" spans="1:4" ht="15.75">
      <c r="A52" s="248" t="s">
        <v>53</v>
      </c>
      <c r="B52" s="271">
        <f>SUM(B48:B51)</f>
        <v>42340</v>
      </c>
      <c r="C52" s="271">
        <f>SUM(C48:C51)</f>
        <v>57000</v>
      </c>
      <c r="D52" s="271">
        <f>SUM(D48:D51)</f>
        <v>57382</v>
      </c>
    </row>
    <row r="53" spans="1:4" ht="15.75">
      <c r="A53" s="270" t="s">
        <v>337</v>
      </c>
      <c r="B53" s="77"/>
      <c r="C53" s="77"/>
      <c r="D53" s="77"/>
    </row>
    <row r="54" spans="1:4" ht="15.75">
      <c r="A54" s="60" t="s">
        <v>100</v>
      </c>
      <c r="B54" s="253">
        <v>24041</v>
      </c>
      <c r="C54" s="253">
        <v>27250</v>
      </c>
      <c r="D54" s="253">
        <v>28904</v>
      </c>
    </row>
    <row r="55" spans="1:4" ht="15.75">
      <c r="A55" s="60" t="s">
        <v>101</v>
      </c>
      <c r="B55" s="253">
        <v>86688</v>
      </c>
      <c r="C55" s="253">
        <v>100000</v>
      </c>
      <c r="D55" s="253">
        <v>100000</v>
      </c>
    </row>
    <row r="56" spans="1:4" ht="15.75">
      <c r="A56" s="60" t="s">
        <v>102</v>
      </c>
      <c r="B56" s="253">
        <v>13326</v>
      </c>
      <c r="C56" s="253">
        <v>15000</v>
      </c>
      <c r="D56" s="253">
        <v>15000</v>
      </c>
    </row>
    <row r="57" spans="1:4" ht="15.75">
      <c r="A57" s="60" t="s">
        <v>430</v>
      </c>
      <c r="B57" s="253"/>
      <c r="C57" s="253"/>
      <c r="D57" s="253">
        <v>4000</v>
      </c>
    </row>
    <row r="58" spans="1:4" ht="15.75">
      <c r="A58" s="60" t="s">
        <v>103</v>
      </c>
      <c r="B58" s="253">
        <v>12657</v>
      </c>
      <c r="C58" s="253">
        <v>5000</v>
      </c>
      <c r="D58" s="253">
        <v>5000</v>
      </c>
    </row>
    <row r="59" spans="1:4" ht="15.75">
      <c r="A59" s="60" t="s">
        <v>349</v>
      </c>
      <c r="B59" s="253">
        <v>-25578</v>
      </c>
      <c r="C59" s="253">
        <v>-10000</v>
      </c>
      <c r="D59" s="253">
        <v>-10000</v>
      </c>
    </row>
    <row r="60" spans="1:4" ht="15.75">
      <c r="A60" s="248" t="s">
        <v>53</v>
      </c>
      <c r="B60" s="265">
        <f>SUM(B54:B59)</f>
        <v>111134</v>
      </c>
      <c r="C60" s="265">
        <f>SUM(C54:C59)</f>
        <v>137250</v>
      </c>
      <c r="D60" s="265">
        <f>SUM(D54:D59)</f>
        <v>142904</v>
      </c>
    </row>
    <row r="61" spans="1:4" ht="15.75">
      <c r="A61" s="35"/>
      <c r="B61" s="77"/>
      <c r="C61" s="77"/>
      <c r="D61" s="77"/>
    </row>
    <row r="62" spans="1:4" ht="15.75">
      <c r="A62" s="248" t="s">
        <v>227</v>
      </c>
      <c r="B62" s="259">
        <f>B13+B20+B27+B33+B39+B46+B52+B60</f>
        <v>741564</v>
      </c>
      <c r="C62" s="259">
        <f>C13+C20+C27+C33+C39+C46+C52+C60</f>
        <v>805559</v>
      </c>
      <c r="D62" s="259">
        <f>D13+D20+D27+D33+D39+D46+D52+D60</f>
        <v>818683</v>
      </c>
    </row>
    <row r="63" spans="1:4" ht="15.75">
      <c r="A63" s="35"/>
      <c r="B63" s="174"/>
      <c r="C63" s="174"/>
      <c r="D63" s="174"/>
    </row>
    <row r="64" spans="1:4" ht="15.75">
      <c r="A64" s="529" t="s">
        <v>219</v>
      </c>
      <c r="B64" s="529"/>
      <c r="C64" s="529"/>
      <c r="D64" s="529"/>
    </row>
    <row r="65" spans="1:4" ht="15.75">
      <c r="A65" s="35"/>
      <c r="B65" s="174"/>
      <c r="C65" s="174"/>
      <c r="D65" s="174"/>
    </row>
    <row r="66" spans="1:4" ht="15.75">
      <c r="A66" s="174" t="str">
        <f>inputPrYr!C2</f>
        <v>LINCOLN COUNTY</v>
      </c>
      <c r="B66" s="174"/>
      <c r="C66" s="34"/>
      <c r="D66" s="272">
        <f>D1</f>
        <v>2012</v>
      </c>
    </row>
    <row r="67" spans="1:4" ht="15.75">
      <c r="A67" s="35"/>
      <c r="B67" s="174"/>
      <c r="C67" s="174"/>
      <c r="D67" s="34"/>
    </row>
    <row r="68" spans="1:4" ht="15.75">
      <c r="A68" s="260" t="s">
        <v>164</v>
      </c>
      <c r="B68" s="273"/>
      <c r="C68" s="273"/>
      <c r="D68" s="273"/>
    </row>
    <row r="69" spans="1:4" ht="15.75">
      <c r="A69" s="35" t="s">
        <v>82</v>
      </c>
      <c r="B69" s="455" t="str">
        <f aca="true" t="shared" si="0" ref="B69:D70">B4</f>
        <v>Prior Year Actual</v>
      </c>
      <c r="C69" s="382" t="str">
        <f t="shared" si="0"/>
        <v>Current Year Estimate</v>
      </c>
      <c r="D69" s="382" t="str">
        <f t="shared" si="0"/>
        <v>Proposed Budget Year</v>
      </c>
    </row>
    <row r="70" spans="1:4" ht="15.75">
      <c r="A70" s="64" t="s">
        <v>99</v>
      </c>
      <c r="B70" s="262">
        <f t="shared" si="0"/>
        <v>2010</v>
      </c>
      <c r="C70" s="262">
        <f t="shared" si="0"/>
        <v>2011</v>
      </c>
      <c r="D70" s="262">
        <f t="shared" si="0"/>
        <v>2012</v>
      </c>
    </row>
    <row r="71" spans="1:4" ht="15.75">
      <c r="A71" s="248" t="s">
        <v>95</v>
      </c>
      <c r="B71" s="77"/>
      <c r="C71" s="77"/>
      <c r="D71" s="77"/>
    </row>
    <row r="72" spans="1:4" ht="15.75">
      <c r="A72" s="270" t="s">
        <v>338</v>
      </c>
      <c r="B72" s="77"/>
      <c r="C72" s="77"/>
      <c r="D72" s="77"/>
    </row>
    <row r="73" spans="1:4" ht="15.75">
      <c r="A73" s="60" t="s">
        <v>101</v>
      </c>
      <c r="B73" s="253">
        <v>7209</v>
      </c>
      <c r="C73" s="253">
        <v>7209</v>
      </c>
      <c r="D73" s="253">
        <v>7209</v>
      </c>
    </row>
    <row r="74" spans="1:4" ht="15.75">
      <c r="A74" s="274" t="s">
        <v>53</v>
      </c>
      <c r="B74" s="271">
        <f>SUM(B73:B73)</f>
        <v>7209</v>
      </c>
      <c r="C74" s="271">
        <f>SUM(C73:C73)</f>
        <v>7209</v>
      </c>
      <c r="D74" s="271">
        <f>SUM(D73:D73)</f>
        <v>7209</v>
      </c>
    </row>
    <row r="75" spans="1:4" ht="15.75">
      <c r="A75" s="270" t="s">
        <v>339</v>
      </c>
      <c r="B75" s="77"/>
      <c r="C75" s="77"/>
      <c r="D75" s="77"/>
    </row>
    <row r="76" spans="1:4" ht="15.75">
      <c r="A76" s="60" t="s">
        <v>101</v>
      </c>
      <c r="B76" s="253">
        <v>605</v>
      </c>
      <c r="C76" s="253">
        <v>1404</v>
      </c>
      <c r="D76" s="253">
        <v>1404</v>
      </c>
    </row>
    <row r="77" spans="1:4" ht="15.75">
      <c r="A77" s="60" t="s">
        <v>340</v>
      </c>
      <c r="B77" s="253"/>
      <c r="C77" s="253">
        <v>844</v>
      </c>
      <c r="D77" s="253">
        <v>811</v>
      </c>
    </row>
    <row r="78" spans="1:4" ht="15.75">
      <c r="A78" s="248" t="s">
        <v>53</v>
      </c>
      <c r="B78" s="265">
        <f>SUM(B76:B77)</f>
        <v>605</v>
      </c>
      <c r="C78" s="265">
        <f>SUM(C76:C77)</f>
        <v>2248</v>
      </c>
      <c r="D78" s="265">
        <f>SUM(D76:D77)</f>
        <v>2215</v>
      </c>
    </row>
    <row r="79" spans="1:4" ht="15.75">
      <c r="A79" s="270" t="s">
        <v>81</v>
      </c>
      <c r="B79" s="77"/>
      <c r="C79" s="77"/>
      <c r="D79" s="77"/>
    </row>
    <row r="80" spans="1:4" ht="15.75">
      <c r="A80" s="60" t="s">
        <v>101</v>
      </c>
      <c r="B80" s="253">
        <v>4000</v>
      </c>
      <c r="C80" s="253">
        <v>3000</v>
      </c>
      <c r="D80" s="253">
        <v>3000</v>
      </c>
    </row>
    <row r="81" spans="1:4" ht="15.75">
      <c r="A81" s="248" t="s">
        <v>53</v>
      </c>
      <c r="B81" s="265">
        <f>SUM(B80:B80)</f>
        <v>4000</v>
      </c>
      <c r="C81" s="265">
        <f>SUM(C80:C80)</f>
        <v>3000</v>
      </c>
      <c r="D81" s="265">
        <f>SUM(D80:D80)</f>
        <v>3000</v>
      </c>
    </row>
    <row r="82" spans="1:4" ht="15.75">
      <c r="A82" s="270" t="s">
        <v>341</v>
      </c>
      <c r="B82" s="77"/>
      <c r="C82" s="77"/>
      <c r="D82" s="77"/>
    </row>
    <row r="83" spans="1:4" ht="15.75">
      <c r="A83" s="60" t="s">
        <v>101</v>
      </c>
      <c r="B83" s="253">
        <v>1920</v>
      </c>
      <c r="C83" s="253">
        <v>2500</v>
      </c>
      <c r="D83" s="253">
        <v>3000</v>
      </c>
    </row>
    <row r="84" spans="1:4" ht="15.75">
      <c r="A84" s="248" t="s">
        <v>53</v>
      </c>
      <c r="B84" s="265">
        <f>SUM(B83:B83)</f>
        <v>1920</v>
      </c>
      <c r="C84" s="265">
        <f>SUM(C83:C83)</f>
        <v>2500</v>
      </c>
      <c r="D84" s="265">
        <f>SUM(D83:D83)</f>
        <v>3000</v>
      </c>
    </row>
    <row r="85" spans="1:4" ht="15.75">
      <c r="A85" s="270" t="s">
        <v>342</v>
      </c>
      <c r="B85" s="77"/>
      <c r="C85" s="77"/>
      <c r="D85" s="77"/>
    </row>
    <row r="86" spans="1:4" ht="15.75">
      <c r="A86" s="60" t="s">
        <v>101</v>
      </c>
      <c r="B86" s="253">
        <v>3338</v>
      </c>
      <c r="C86" s="253">
        <v>0</v>
      </c>
      <c r="D86" s="253">
        <v>0</v>
      </c>
    </row>
    <row r="87" spans="1:4" ht="15.75">
      <c r="A87" s="248" t="s">
        <v>53</v>
      </c>
      <c r="B87" s="265">
        <f>SUM(B86:B86)</f>
        <v>3338</v>
      </c>
      <c r="C87" s="265">
        <f>SUM(C86:C86)</f>
        <v>0</v>
      </c>
      <c r="D87" s="265">
        <f>SUM(D86:D86)</f>
        <v>0</v>
      </c>
    </row>
    <row r="88" spans="1:4" ht="15.75">
      <c r="A88" s="270" t="s">
        <v>343</v>
      </c>
      <c r="B88" s="77"/>
      <c r="C88" s="77"/>
      <c r="D88" s="77"/>
    </row>
    <row r="89" spans="1:4" ht="15.75">
      <c r="A89" s="60" t="s">
        <v>101</v>
      </c>
      <c r="B89" s="253">
        <v>28879</v>
      </c>
      <c r="C89" s="253">
        <v>29941</v>
      </c>
      <c r="D89" s="253">
        <v>32000</v>
      </c>
    </row>
    <row r="90" spans="1:4" ht="15.75">
      <c r="A90" s="248" t="s">
        <v>53</v>
      </c>
      <c r="B90" s="265">
        <f>SUM(B89:B89)</f>
        <v>28879</v>
      </c>
      <c r="C90" s="265">
        <f>SUM(C89:C89)</f>
        <v>29941</v>
      </c>
      <c r="D90" s="265">
        <f>SUM(D89:D89)</f>
        <v>32000</v>
      </c>
    </row>
    <row r="91" spans="1:4" ht="15.75">
      <c r="A91" s="270" t="s">
        <v>344</v>
      </c>
      <c r="B91" s="77"/>
      <c r="C91" s="77"/>
      <c r="D91" s="77"/>
    </row>
    <row r="92" spans="1:4" ht="15.75">
      <c r="A92" s="60" t="s">
        <v>345</v>
      </c>
      <c r="B92" s="253">
        <v>7000</v>
      </c>
      <c r="C92" s="253">
        <v>7000</v>
      </c>
      <c r="D92" s="253">
        <v>7000</v>
      </c>
    </row>
    <row r="93" spans="1:4" ht="15.75">
      <c r="A93" s="248" t="s">
        <v>53</v>
      </c>
      <c r="B93" s="265">
        <f>SUM(B92:B92)</f>
        <v>7000</v>
      </c>
      <c r="C93" s="265">
        <f>SUM(C92:C92)</f>
        <v>7000</v>
      </c>
      <c r="D93" s="265">
        <f>SUM(D92:D92)</f>
        <v>7000</v>
      </c>
    </row>
    <row r="94" spans="1:4" ht="15.75">
      <c r="A94" s="270" t="s">
        <v>346</v>
      </c>
      <c r="B94" s="77"/>
      <c r="C94" s="77"/>
      <c r="D94" s="77"/>
    </row>
    <row r="95" spans="1:4" ht="15.75">
      <c r="A95" s="60" t="s">
        <v>101</v>
      </c>
      <c r="B95" s="253">
        <v>8000</v>
      </c>
      <c r="C95" s="253">
        <v>16000</v>
      </c>
      <c r="D95" s="253">
        <v>16000</v>
      </c>
    </row>
    <row r="96" spans="1:4" ht="15.75">
      <c r="A96" s="248" t="s">
        <v>53</v>
      </c>
      <c r="B96" s="265">
        <f>SUM(B95:B95)</f>
        <v>8000</v>
      </c>
      <c r="C96" s="265">
        <f>SUM(C95:C95)</f>
        <v>16000</v>
      </c>
      <c r="D96" s="265">
        <f>SUM(D95:D95)</f>
        <v>16000</v>
      </c>
    </row>
    <row r="97" spans="1:4" ht="15.75">
      <c r="A97" s="270" t="s">
        <v>347</v>
      </c>
      <c r="B97" s="77"/>
      <c r="C97" s="77"/>
      <c r="D97" s="77"/>
    </row>
    <row r="98" spans="1:4" ht="15.75">
      <c r="A98" s="60" t="s">
        <v>100</v>
      </c>
      <c r="B98" s="253">
        <v>19785</v>
      </c>
      <c r="C98" s="253">
        <v>22222</v>
      </c>
      <c r="D98" s="253">
        <v>22500</v>
      </c>
    </row>
    <row r="99" spans="1:4" ht="15.75">
      <c r="A99" s="60" t="s">
        <v>101</v>
      </c>
      <c r="B99" s="253">
        <v>3340</v>
      </c>
      <c r="C99" s="253">
        <v>3000</v>
      </c>
      <c r="D99" s="253">
        <v>3000</v>
      </c>
    </row>
    <row r="100" spans="1:4" ht="15.75">
      <c r="A100" s="60" t="s">
        <v>102</v>
      </c>
      <c r="B100" s="253">
        <v>425</v>
      </c>
      <c r="C100" s="253">
        <v>2000</v>
      </c>
      <c r="D100" s="253">
        <v>2000</v>
      </c>
    </row>
    <row r="101" spans="1:4" ht="15.75">
      <c r="A101" s="248" t="s">
        <v>53</v>
      </c>
      <c r="B101" s="265">
        <f>SUM(B98:B100)</f>
        <v>23550</v>
      </c>
      <c r="C101" s="265">
        <f>SUM(C98:C100)</f>
        <v>27222</v>
      </c>
      <c r="D101" s="265">
        <f>SUM(D98:D100)</f>
        <v>27500</v>
      </c>
    </row>
    <row r="102" spans="1:4" ht="15.75">
      <c r="A102" s="270" t="s">
        <v>348</v>
      </c>
      <c r="B102" s="77"/>
      <c r="C102" s="77"/>
      <c r="D102" s="77"/>
    </row>
    <row r="103" spans="1:4" ht="15.75">
      <c r="A103" s="60" t="s">
        <v>101</v>
      </c>
      <c r="B103" s="253">
        <v>18019</v>
      </c>
      <c r="C103" s="253">
        <v>17903</v>
      </c>
      <c r="D103" s="253">
        <v>17954</v>
      </c>
    </row>
    <row r="104" spans="1:4" ht="15.75">
      <c r="A104" s="60" t="s">
        <v>349</v>
      </c>
      <c r="B104" s="253"/>
      <c r="C104" s="253"/>
      <c r="D104" s="253"/>
    </row>
    <row r="105" spans="1:4" ht="15.75">
      <c r="A105" s="248" t="s">
        <v>53</v>
      </c>
      <c r="B105" s="265">
        <f>SUM(B103:B104)</f>
        <v>18019</v>
      </c>
      <c r="C105" s="265">
        <f>SUM(C103:C104)</f>
        <v>17903</v>
      </c>
      <c r="D105" s="265">
        <f>SUM(D103:D104)</f>
        <v>17954</v>
      </c>
    </row>
    <row r="106" spans="1:4" ht="15.75">
      <c r="A106" s="270" t="s">
        <v>350</v>
      </c>
      <c r="B106" s="77"/>
      <c r="C106" s="77"/>
      <c r="D106" s="77"/>
    </row>
    <row r="107" spans="1:4" ht="15.75">
      <c r="A107" s="60" t="s">
        <v>351</v>
      </c>
      <c r="B107" s="253">
        <v>100000</v>
      </c>
      <c r="C107" s="253">
        <v>0</v>
      </c>
      <c r="D107" s="253">
        <v>0</v>
      </c>
    </row>
    <row r="108" spans="1:4" ht="15.75">
      <c r="A108" s="248" t="s">
        <v>53</v>
      </c>
      <c r="B108" s="265">
        <f>SUM(B107:B107)</f>
        <v>100000</v>
      </c>
      <c r="C108" s="265">
        <f>SUM(C107:C107)</f>
        <v>0</v>
      </c>
      <c r="D108" s="265">
        <f>SUM(D107:D107)</f>
        <v>0</v>
      </c>
    </row>
    <row r="109" spans="1:4" ht="15.75">
      <c r="A109" s="270" t="s">
        <v>352</v>
      </c>
      <c r="B109" s="77"/>
      <c r="C109" s="77"/>
      <c r="D109" s="77"/>
    </row>
    <row r="110" spans="1:4" ht="15.75">
      <c r="A110" s="60" t="s">
        <v>353</v>
      </c>
      <c r="B110" s="253">
        <v>0</v>
      </c>
      <c r="C110" s="253">
        <v>0</v>
      </c>
      <c r="D110" s="253">
        <v>0</v>
      </c>
    </row>
    <row r="111" spans="1:4" ht="15.75">
      <c r="A111" s="248" t="s">
        <v>53</v>
      </c>
      <c r="B111" s="265">
        <f>SUM(B110:B110)</f>
        <v>0</v>
      </c>
      <c r="C111" s="265">
        <f>SUM(C110:C110)</f>
        <v>0</v>
      </c>
      <c r="D111" s="265">
        <f>SUM(D110:D110)</f>
        <v>0</v>
      </c>
    </row>
    <row r="112" spans="1:4" ht="15.75">
      <c r="A112" s="270" t="s">
        <v>354</v>
      </c>
      <c r="B112" s="77"/>
      <c r="C112" s="77"/>
      <c r="D112" s="77"/>
    </row>
    <row r="113" spans="1:4" ht="15.75">
      <c r="A113" s="60" t="s">
        <v>101</v>
      </c>
      <c r="B113" s="253">
        <v>4000</v>
      </c>
      <c r="C113" s="253">
        <v>4000</v>
      </c>
      <c r="D113" s="253">
        <v>4000</v>
      </c>
    </row>
    <row r="114" spans="1:4" ht="15.75">
      <c r="A114" s="248" t="s">
        <v>53</v>
      </c>
      <c r="B114" s="265">
        <f>SUM(B113:B113)</f>
        <v>4000</v>
      </c>
      <c r="C114" s="265">
        <f>SUM(C113:C113)</f>
        <v>4000</v>
      </c>
      <c r="D114" s="265">
        <f>SUM(D113:D113)</f>
        <v>4000</v>
      </c>
    </row>
    <row r="115" spans="1:4" ht="15.75">
      <c r="A115" s="270" t="s">
        <v>355</v>
      </c>
      <c r="B115" s="77"/>
      <c r="C115" s="77"/>
      <c r="D115" s="77"/>
    </row>
    <row r="116" spans="1:4" ht="15.75">
      <c r="A116" s="60" t="s">
        <v>100</v>
      </c>
      <c r="B116" s="253">
        <v>31788</v>
      </c>
      <c r="C116" s="253">
        <v>31728</v>
      </c>
      <c r="D116" s="253">
        <v>31852</v>
      </c>
    </row>
    <row r="117" spans="1:4" ht="15.75">
      <c r="A117" s="60" t="s">
        <v>101</v>
      </c>
      <c r="B117" s="253">
        <v>21625</v>
      </c>
      <c r="C117" s="253">
        <v>7575</v>
      </c>
      <c r="D117" s="253">
        <v>7575</v>
      </c>
    </row>
    <row r="118" spans="1:4" ht="15.75">
      <c r="A118" s="60" t="s">
        <v>102</v>
      </c>
      <c r="B118" s="253">
        <v>6631</v>
      </c>
      <c r="C118" s="253">
        <v>5800</v>
      </c>
      <c r="D118" s="253">
        <v>5800</v>
      </c>
    </row>
    <row r="119" spans="1:4" ht="15.75">
      <c r="A119" s="60" t="s">
        <v>103</v>
      </c>
      <c r="B119" s="253"/>
      <c r="C119" s="253">
        <v>2500</v>
      </c>
      <c r="D119" s="253">
        <v>2500</v>
      </c>
    </row>
    <row r="120" spans="1:4" ht="15.75">
      <c r="A120" s="60" t="s">
        <v>429</v>
      </c>
      <c r="B120" s="253"/>
      <c r="C120" s="253"/>
      <c r="D120" s="253">
        <v>4000</v>
      </c>
    </row>
    <row r="121" spans="1:4" ht="15.75">
      <c r="A121" s="60" t="s">
        <v>349</v>
      </c>
      <c r="B121" s="253">
        <v>-25526</v>
      </c>
      <c r="C121" s="253">
        <v>-7000</v>
      </c>
      <c r="D121" s="253">
        <v>-10000</v>
      </c>
    </row>
    <row r="122" spans="1:4" ht="15.75">
      <c r="A122" s="248" t="s">
        <v>53</v>
      </c>
      <c r="B122" s="265">
        <f>SUM(B116:B121)</f>
        <v>34518</v>
      </c>
      <c r="C122" s="265">
        <f>SUM(C116:C121)</f>
        <v>40603</v>
      </c>
      <c r="D122" s="265">
        <f>SUM(D116:D121)</f>
        <v>41727</v>
      </c>
    </row>
    <row r="123" spans="1:4" ht="15.75">
      <c r="A123" s="270" t="s">
        <v>356</v>
      </c>
      <c r="B123" s="77"/>
      <c r="C123" s="77"/>
      <c r="D123" s="77"/>
    </row>
    <row r="124" spans="1:4" ht="15.75">
      <c r="A124" s="60" t="s">
        <v>100</v>
      </c>
      <c r="B124" s="253">
        <v>49197</v>
      </c>
      <c r="C124" s="253">
        <v>48871</v>
      </c>
      <c r="D124" s="253">
        <v>50334</v>
      </c>
    </row>
    <row r="125" spans="1:4" ht="15.75">
      <c r="A125" s="60" t="s">
        <v>101</v>
      </c>
      <c r="B125" s="253">
        <v>33618</v>
      </c>
      <c r="C125" s="253">
        <v>31000</v>
      </c>
      <c r="D125" s="253">
        <v>31000</v>
      </c>
    </row>
    <row r="126" spans="1:4" ht="15.75">
      <c r="A126" s="60" t="s">
        <v>102</v>
      </c>
      <c r="B126" s="253">
        <v>2160</v>
      </c>
      <c r="C126" s="253">
        <v>5000</v>
      </c>
      <c r="D126" s="253">
        <v>5000</v>
      </c>
    </row>
    <row r="127" spans="1:4" ht="15.75">
      <c r="A127" s="60" t="s">
        <v>103</v>
      </c>
      <c r="B127" s="253"/>
      <c r="C127" s="253"/>
      <c r="D127" s="253"/>
    </row>
    <row r="128" spans="1:4" ht="15.75">
      <c r="A128" s="60" t="s">
        <v>349</v>
      </c>
      <c r="B128" s="253">
        <v>-120</v>
      </c>
      <c r="C128" s="253">
        <v>-50</v>
      </c>
      <c r="D128" s="253"/>
    </row>
    <row r="129" spans="1:4" ht="15.75">
      <c r="A129" s="248" t="s">
        <v>53</v>
      </c>
      <c r="B129" s="265">
        <f>SUM(B124:B128)</f>
        <v>84855</v>
      </c>
      <c r="C129" s="265">
        <f>SUM(C124:C128)</f>
        <v>84821</v>
      </c>
      <c r="D129" s="265">
        <f>SUM(D124:D128)</f>
        <v>86334</v>
      </c>
    </row>
    <row r="130" spans="1:4" ht="15.75">
      <c r="A130" s="35"/>
      <c r="B130" s="77"/>
      <c r="C130" s="77"/>
      <c r="D130" s="77"/>
    </row>
    <row r="131" spans="1:4" ht="15.75">
      <c r="A131" s="248" t="s">
        <v>228</v>
      </c>
      <c r="B131" s="259">
        <f>B74+B78+B81+B84+B87+B90+B93+B96+B101+B105+B108+B111+B114+B122+B129</f>
        <v>325893</v>
      </c>
      <c r="C131" s="259">
        <f>C74+C78+C81+C84+C87+C90+C93+C96+C101+C105+C108+C111+C114+C122+C129</f>
        <v>242447</v>
      </c>
      <c r="D131" s="259">
        <f>D74+D78+D81+D84+D87+D90+D93+D96+D101+D105+D108+D111+D114+D122+D129</f>
        <v>247939</v>
      </c>
    </row>
    <row r="132" spans="1:4" ht="15.75">
      <c r="A132" s="35"/>
      <c r="B132" s="174"/>
      <c r="C132" s="174"/>
      <c r="D132" s="174"/>
    </row>
    <row r="133" spans="1:4" ht="15.75">
      <c r="A133" s="529" t="s">
        <v>220</v>
      </c>
      <c r="B133" s="529"/>
      <c r="C133" s="529"/>
      <c r="D133" s="529"/>
    </row>
    <row r="134" spans="1:4" ht="15.75">
      <c r="A134" s="174" t="str">
        <f>inputPrYr!C2</f>
        <v>LINCOLN COUNTY</v>
      </c>
      <c r="B134" s="174"/>
      <c r="C134" s="34"/>
      <c r="D134" s="272">
        <f>D1</f>
        <v>2012</v>
      </c>
    </row>
    <row r="135" spans="1:4" ht="15.75">
      <c r="A135" s="35"/>
      <c r="B135" s="174"/>
      <c r="C135" s="174"/>
      <c r="D135" s="34"/>
    </row>
    <row r="136" spans="1:4" ht="15.75">
      <c r="A136" s="260" t="s">
        <v>164</v>
      </c>
      <c r="B136" s="273"/>
      <c r="C136" s="273"/>
      <c r="D136" s="273"/>
    </row>
    <row r="137" spans="1:4" ht="15.75">
      <c r="A137" s="35" t="s">
        <v>82</v>
      </c>
      <c r="B137" s="455" t="str">
        <f aca="true" t="shared" si="1" ref="B137:D138">B4</f>
        <v>Prior Year Actual</v>
      </c>
      <c r="C137" s="382" t="str">
        <f t="shared" si="1"/>
        <v>Current Year Estimate</v>
      </c>
      <c r="D137" s="382" t="str">
        <f t="shared" si="1"/>
        <v>Proposed Budget Year</v>
      </c>
    </row>
    <row r="138" spans="1:4" ht="15.75">
      <c r="A138" s="64" t="s">
        <v>99</v>
      </c>
      <c r="B138" s="262">
        <f t="shared" si="1"/>
        <v>2010</v>
      </c>
      <c r="C138" s="262">
        <f t="shared" si="1"/>
        <v>2011</v>
      </c>
      <c r="D138" s="262">
        <f t="shared" si="1"/>
        <v>2012</v>
      </c>
    </row>
    <row r="139" spans="1:4" ht="15.75">
      <c r="A139" s="248" t="s">
        <v>95</v>
      </c>
      <c r="B139" s="77"/>
      <c r="C139" s="77"/>
      <c r="D139" s="77"/>
    </row>
    <row r="140" spans="1:4" ht="15.75">
      <c r="A140" s="270" t="s">
        <v>357</v>
      </c>
      <c r="B140" s="77"/>
      <c r="C140" s="77"/>
      <c r="D140" s="77"/>
    </row>
    <row r="141" spans="1:4" ht="15.75">
      <c r="A141" s="60" t="s">
        <v>358</v>
      </c>
      <c r="B141" s="253">
        <v>2892</v>
      </c>
      <c r="C141" s="253">
        <v>10000</v>
      </c>
      <c r="D141" s="253">
        <v>10000</v>
      </c>
    </row>
    <row r="142" spans="1:4" ht="15.75">
      <c r="A142" s="248" t="s">
        <v>53</v>
      </c>
      <c r="B142" s="265">
        <f>SUM(B141:B141)</f>
        <v>2892</v>
      </c>
      <c r="C142" s="265">
        <f>SUM(C141:C141)</f>
        <v>10000</v>
      </c>
      <c r="D142" s="265">
        <f>SUM(D141:D141)</f>
        <v>10000</v>
      </c>
    </row>
    <row r="143" spans="1:4" ht="15.75">
      <c r="A143" s="270" t="s">
        <v>359</v>
      </c>
      <c r="B143" s="77"/>
      <c r="C143" s="77"/>
      <c r="D143" s="77"/>
    </row>
    <row r="144" spans="1:4" ht="15.75">
      <c r="A144" s="60" t="s">
        <v>100</v>
      </c>
      <c r="B144" s="253">
        <v>124792</v>
      </c>
      <c r="C144" s="253">
        <v>115050</v>
      </c>
      <c r="D144" s="253">
        <v>115976</v>
      </c>
    </row>
    <row r="145" spans="1:4" ht="15.75">
      <c r="A145" s="60" t="s">
        <v>101</v>
      </c>
      <c r="B145" s="253">
        <v>13759</v>
      </c>
      <c r="C145" s="253">
        <v>9000</v>
      </c>
      <c r="D145" s="253">
        <v>9000</v>
      </c>
    </row>
    <row r="146" spans="1:4" ht="15.75">
      <c r="A146" s="60" t="s">
        <v>102</v>
      </c>
      <c r="B146" s="253">
        <v>1388</v>
      </c>
      <c r="C146" s="253">
        <v>7000</v>
      </c>
      <c r="D146" s="253">
        <v>7000</v>
      </c>
    </row>
    <row r="147" spans="1:4" ht="15.75">
      <c r="A147" s="60" t="s">
        <v>103</v>
      </c>
      <c r="B147" s="253">
        <v>6571</v>
      </c>
      <c r="C147" s="253">
        <v>10000</v>
      </c>
      <c r="D147" s="253">
        <v>10000</v>
      </c>
    </row>
    <row r="148" spans="1:4" ht="15.75">
      <c r="A148" s="60" t="s">
        <v>349</v>
      </c>
      <c r="B148" s="253">
        <v>-2056</v>
      </c>
      <c r="C148" s="253"/>
      <c r="D148" s="253"/>
    </row>
    <row r="149" spans="1:4" ht="15.75">
      <c r="A149" s="248" t="s">
        <v>53</v>
      </c>
      <c r="B149" s="265">
        <f>SUM(B144:B148)</f>
        <v>144454</v>
      </c>
      <c r="C149" s="265">
        <f>SUM(C144:C148)</f>
        <v>141050</v>
      </c>
      <c r="D149" s="265">
        <f>SUM(D144:D148)</f>
        <v>141976</v>
      </c>
    </row>
    <row r="150" spans="1:4" ht="15.75">
      <c r="A150" s="270" t="s">
        <v>109</v>
      </c>
      <c r="B150" s="77"/>
      <c r="C150" s="77"/>
      <c r="D150" s="77"/>
    </row>
    <row r="151" spans="1:4" ht="15.75">
      <c r="A151" s="60" t="s">
        <v>360</v>
      </c>
      <c r="B151" s="253">
        <v>72077</v>
      </c>
      <c r="C151" s="253">
        <v>71612</v>
      </c>
      <c r="D151" s="253">
        <v>71814</v>
      </c>
    </row>
    <row r="152" spans="1:4" ht="15.75">
      <c r="A152" s="248" t="s">
        <v>53</v>
      </c>
      <c r="B152" s="265">
        <f>SUM(B151:B151)</f>
        <v>72077</v>
      </c>
      <c r="C152" s="265">
        <f>SUM(C151:C151)</f>
        <v>71612</v>
      </c>
      <c r="D152" s="265">
        <f>SUM(D151:D151)</f>
        <v>71814</v>
      </c>
    </row>
    <row r="153" spans="1:4" ht="15.75">
      <c r="A153" s="270" t="s">
        <v>361</v>
      </c>
      <c r="B153" s="77"/>
      <c r="C153" s="77"/>
      <c r="D153" s="77"/>
    </row>
    <row r="154" spans="1:4" ht="15.75">
      <c r="A154" s="60" t="s">
        <v>345</v>
      </c>
      <c r="B154" s="253">
        <v>4500</v>
      </c>
      <c r="C154" s="253">
        <v>4500</v>
      </c>
      <c r="D154" s="253">
        <v>4500</v>
      </c>
    </row>
    <row r="155" spans="1:4" ht="15.75">
      <c r="A155" s="248" t="s">
        <v>53</v>
      </c>
      <c r="B155" s="265">
        <f>SUM(B154:B154)</f>
        <v>4500</v>
      </c>
      <c r="C155" s="265">
        <f>SUM(C154:C154)</f>
        <v>4500</v>
      </c>
      <c r="D155" s="265">
        <f>SUM(D154:D154)</f>
        <v>4500</v>
      </c>
    </row>
    <row r="156" spans="1:4" ht="15.75">
      <c r="A156" s="270" t="s">
        <v>73</v>
      </c>
      <c r="B156" s="77"/>
      <c r="C156" s="77"/>
      <c r="D156" s="77"/>
    </row>
    <row r="157" spans="1:4" ht="15.75">
      <c r="A157" s="60" t="s">
        <v>345</v>
      </c>
      <c r="B157" s="253">
        <v>12224</v>
      </c>
      <c r="C157" s="253">
        <v>12591</v>
      </c>
      <c r="D157" s="253">
        <v>13095</v>
      </c>
    </row>
    <row r="158" spans="1:4" ht="15.75">
      <c r="A158" s="248" t="s">
        <v>53</v>
      </c>
      <c r="B158" s="265">
        <f>SUM(B157:B157)</f>
        <v>12224</v>
      </c>
      <c r="C158" s="265">
        <f>SUM(C157:C157)</f>
        <v>12591</v>
      </c>
      <c r="D158" s="265">
        <f>SUM(D157:D157)</f>
        <v>13095</v>
      </c>
    </row>
    <row r="159" spans="1:4" ht="15.75">
      <c r="A159" s="270" t="s">
        <v>362</v>
      </c>
      <c r="B159" s="77"/>
      <c r="C159" s="77"/>
      <c r="D159" s="77"/>
    </row>
    <row r="160" spans="1:4" ht="15.75">
      <c r="A160" s="60" t="s">
        <v>101</v>
      </c>
      <c r="B160" s="253">
        <v>0</v>
      </c>
      <c r="C160" s="253">
        <v>1000</v>
      </c>
      <c r="D160" s="253">
        <v>1000</v>
      </c>
    </row>
    <row r="161" spans="1:4" ht="15.75">
      <c r="A161" s="248" t="s">
        <v>53</v>
      </c>
      <c r="B161" s="265">
        <f>SUM(B160:B160)</f>
        <v>0</v>
      </c>
      <c r="C161" s="265">
        <f>SUM(C160:C160)</f>
        <v>1000</v>
      </c>
      <c r="D161" s="265">
        <f>SUM(D160:D160)</f>
        <v>1000</v>
      </c>
    </row>
    <row r="162" spans="1:4" ht="15.75">
      <c r="A162" s="270" t="s">
        <v>115</v>
      </c>
      <c r="B162" s="77"/>
      <c r="C162" s="77"/>
      <c r="D162" s="77"/>
    </row>
    <row r="163" spans="1:4" ht="15.75">
      <c r="A163" s="60" t="s">
        <v>345</v>
      </c>
      <c r="B163" s="253">
        <v>73481</v>
      </c>
      <c r="C163" s="253">
        <v>71612</v>
      </c>
      <c r="D163" s="253">
        <v>71814</v>
      </c>
    </row>
    <row r="164" spans="1:4" ht="15.75">
      <c r="A164" s="248" t="s">
        <v>53</v>
      </c>
      <c r="B164" s="265">
        <f>SUM(B163:B163)</f>
        <v>73481</v>
      </c>
      <c r="C164" s="265">
        <f>SUM(C163:C163)</f>
        <v>71612</v>
      </c>
      <c r="D164" s="265">
        <f>SUM(D163:D163)</f>
        <v>71814</v>
      </c>
    </row>
    <row r="165" spans="1:4" ht="15.75">
      <c r="A165" s="270" t="s">
        <v>363</v>
      </c>
      <c r="B165" s="77"/>
      <c r="C165" s="77"/>
      <c r="D165" s="77"/>
    </row>
    <row r="166" spans="1:4" ht="15.75">
      <c r="A166" s="60" t="s">
        <v>345</v>
      </c>
      <c r="B166" s="253">
        <v>74983</v>
      </c>
      <c r="C166" s="253">
        <v>90000</v>
      </c>
      <c r="D166" s="253">
        <v>90000</v>
      </c>
    </row>
    <row r="167" spans="1:4" ht="15.75">
      <c r="A167" s="248" t="s">
        <v>53</v>
      </c>
      <c r="B167" s="265">
        <f>SUM(B166:B166)</f>
        <v>74983</v>
      </c>
      <c r="C167" s="265">
        <f>SUM(C166:C166)</f>
        <v>90000</v>
      </c>
      <c r="D167" s="265">
        <f>SUM(D166:D166)</f>
        <v>90000</v>
      </c>
    </row>
    <row r="168" spans="1:4" ht="15.75">
      <c r="A168" s="270" t="s">
        <v>116</v>
      </c>
      <c r="B168" s="77"/>
      <c r="C168" s="77"/>
      <c r="D168" s="77"/>
    </row>
    <row r="169" spans="1:4" ht="15.75">
      <c r="A169" s="60" t="s">
        <v>345</v>
      </c>
      <c r="B169" s="253">
        <v>16300</v>
      </c>
      <c r="C169" s="253">
        <v>16300</v>
      </c>
      <c r="D169" s="253">
        <v>16300</v>
      </c>
    </row>
    <row r="170" spans="1:4" ht="15.75">
      <c r="A170" s="248" t="s">
        <v>53</v>
      </c>
      <c r="B170" s="265">
        <f>SUM(B169:B169)</f>
        <v>16300</v>
      </c>
      <c r="C170" s="265">
        <f>SUM(C169:C169)</f>
        <v>16300</v>
      </c>
      <c r="D170" s="265">
        <f>SUM(D169:D169)</f>
        <v>16300</v>
      </c>
    </row>
    <row r="171" spans="1:4" ht="15.75">
      <c r="A171" s="270" t="s">
        <v>364</v>
      </c>
      <c r="B171" s="77"/>
      <c r="C171" s="77"/>
      <c r="D171" s="77"/>
    </row>
    <row r="172" spans="1:4" ht="15.75">
      <c r="A172" s="270" t="s">
        <v>365</v>
      </c>
      <c r="B172" s="253">
        <v>360384</v>
      </c>
      <c r="C172" s="253">
        <v>358060</v>
      </c>
      <c r="D172" s="253">
        <v>359070</v>
      </c>
    </row>
    <row r="173" spans="1:4" ht="15.75">
      <c r="A173" s="248" t="s">
        <v>53</v>
      </c>
      <c r="B173" s="265">
        <f>SUM(B172:B172)</f>
        <v>360384</v>
      </c>
      <c r="C173" s="265">
        <f>SUM(C172:C172)</f>
        <v>358060</v>
      </c>
      <c r="D173" s="265">
        <f>SUM(D172:D172)</f>
        <v>359070</v>
      </c>
    </row>
    <row r="174" spans="1:4" ht="15.75">
      <c r="A174" s="270" t="s">
        <v>366</v>
      </c>
      <c r="B174" s="77"/>
      <c r="C174" s="77"/>
      <c r="D174" s="77"/>
    </row>
    <row r="175" spans="1:4" ht="15.75">
      <c r="A175" s="60" t="s">
        <v>101</v>
      </c>
      <c r="B175" s="253">
        <v>520</v>
      </c>
      <c r="C175" s="253">
        <v>2000</v>
      </c>
      <c r="D175" s="253">
        <v>2000</v>
      </c>
    </row>
    <row r="176" spans="1:4" ht="15.75">
      <c r="A176" s="248" t="s">
        <v>53</v>
      </c>
      <c r="B176" s="265">
        <f>SUM(B175:B175)</f>
        <v>520</v>
      </c>
      <c r="C176" s="265">
        <f>SUM(C175:C175)</f>
        <v>2000</v>
      </c>
      <c r="D176" s="265">
        <f>SUM(D175:D175)</f>
        <v>2000</v>
      </c>
    </row>
    <row r="177" spans="1:4" ht="15.75">
      <c r="A177" s="270" t="s">
        <v>367</v>
      </c>
      <c r="B177" s="77"/>
      <c r="C177" s="77"/>
      <c r="D177" s="77"/>
    </row>
    <row r="178" spans="1:4" ht="15.75">
      <c r="A178" s="270" t="s">
        <v>368</v>
      </c>
      <c r="B178" s="253">
        <v>20786</v>
      </c>
      <c r="C178" s="253">
        <v>30000</v>
      </c>
      <c r="D178" s="253">
        <v>30000</v>
      </c>
    </row>
    <row r="179" spans="1:4" ht="15.75">
      <c r="A179" s="248" t="s">
        <v>53</v>
      </c>
      <c r="B179" s="265">
        <f>SUM(B178:B178)</f>
        <v>20786</v>
      </c>
      <c r="C179" s="265">
        <f>SUM(C178:C178)</f>
        <v>30000</v>
      </c>
      <c r="D179" s="265">
        <f>SUM(D178:D178)</f>
        <v>30000</v>
      </c>
    </row>
    <row r="180" spans="1:4" ht="15.75">
      <c r="A180" s="270" t="s">
        <v>369</v>
      </c>
      <c r="B180" s="77"/>
      <c r="C180" s="77"/>
      <c r="D180" s="77"/>
    </row>
    <row r="181" spans="1:4" ht="15.75">
      <c r="A181" s="60" t="s">
        <v>101</v>
      </c>
      <c r="B181" s="253">
        <v>5000</v>
      </c>
      <c r="C181" s="253">
        <v>5000</v>
      </c>
      <c r="D181" s="253">
        <v>5000</v>
      </c>
    </row>
    <row r="182" spans="1:4" ht="15.75">
      <c r="A182" s="248" t="s">
        <v>53</v>
      </c>
      <c r="B182" s="265">
        <f>SUM(B181:B181)</f>
        <v>5000</v>
      </c>
      <c r="C182" s="265">
        <f>SUM(C181:C181)</f>
        <v>5000</v>
      </c>
      <c r="D182" s="265">
        <f>SUM(D181:D181)</f>
        <v>5000</v>
      </c>
    </row>
    <row r="183" spans="1:4" ht="15.75">
      <c r="A183" s="270" t="s">
        <v>370</v>
      </c>
      <c r="B183" s="77"/>
      <c r="C183" s="77"/>
      <c r="D183" s="77"/>
    </row>
    <row r="184" spans="1:4" ht="15.75">
      <c r="A184" s="60" t="s">
        <v>371</v>
      </c>
      <c r="B184" s="253">
        <v>25000</v>
      </c>
      <c r="C184" s="253">
        <v>25000</v>
      </c>
      <c r="D184" s="253">
        <v>25000</v>
      </c>
    </row>
    <row r="185" spans="1:4" ht="15.75">
      <c r="A185" s="248" t="s">
        <v>53</v>
      </c>
      <c r="B185" s="265">
        <f>SUM(B184:B184)</f>
        <v>25000</v>
      </c>
      <c r="C185" s="265">
        <f>SUM(C184:C184)</f>
        <v>25000</v>
      </c>
      <c r="D185" s="265">
        <f>SUM(D184:D184)</f>
        <v>25000</v>
      </c>
    </row>
    <row r="186" spans="1:4" ht="15.75">
      <c r="A186" s="270" t="s">
        <v>110</v>
      </c>
      <c r="B186" s="77"/>
      <c r="C186" s="77"/>
      <c r="D186" s="77"/>
    </row>
    <row r="187" spans="1:4" ht="15.75">
      <c r="A187" s="60" t="s">
        <v>100</v>
      </c>
      <c r="B187" s="253">
        <v>2149</v>
      </c>
      <c r="C187" s="253">
        <v>3000</v>
      </c>
      <c r="D187" s="253">
        <v>3000</v>
      </c>
    </row>
    <row r="188" spans="1:4" ht="15.75">
      <c r="A188" s="60" t="s">
        <v>101</v>
      </c>
      <c r="B188" s="253">
        <v>12261</v>
      </c>
      <c r="C188" s="253">
        <v>8450</v>
      </c>
      <c r="D188" s="253">
        <v>15160</v>
      </c>
    </row>
    <row r="189" spans="1:4" ht="15.75">
      <c r="A189" s="60" t="s">
        <v>102</v>
      </c>
      <c r="B189" s="253">
        <v>12154</v>
      </c>
      <c r="C189" s="253">
        <v>12500</v>
      </c>
      <c r="D189" s="253">
        <v>7400</v>
      </c>
    </row>
    <row r="190" spans="1:4" ht="15.75">
      <c r="A190" s="60" t="s">
        <v>103</v>
      </c>
      <c r="B190" s="253"/>
      <c r="C190" s="253"/>
      <c r="D190" s="253"/>
    </row>
    <row r="191" spans="1:4" ht="15.75">
      <c r="A191" s="248" t="s">
        <v>53</v>
      </c>
      <c r="B191" s="265">
        <f>SUM(B187:B190)</f>
        <v>26564</v>
      </c>
      <c r="C191" s="265">
        <f>SUM(C187:C190)</f>
        <v>23950</v>
      </c>
      <c r="D191" s="265">
        <f>SUM(D187:D190)</f>
        <v>25560</v>
      </c>
    </row>
    <row r="192" spans="1:4" ht="15.75">
      <c r="A192" s="248"/>
      <c r="B192" s="77"/>
      <c r="C192" s="77"/>
      <c r="D192" s="77"/>
    </row>
    <row r="193" spans="1:4" ht="15.75">
      <c r="A193" s="248" t="s">
        <v>229</v>
      </c>
      <c r="B193" s="259">
        <f>B142+B149+B152+B155+B158+B161+B164+B167+B170+B173+B176+B179+B182+B185+B191</f>
        <v>839165</v>
      </c>
      <c r="C193" s="259">
        <f>C142+C149+C152+C155+C158+C161+C164+C167+C170+C173+C176+C179+C182+C185+C191</f>
        <v>862675</v>
      </c>
      <c r="D193" s="259">
        <f>D142+D149+D152+D155+D158+D161+D164+D167+D170+D173+D176+D179+D182+D185+D191</f>
        <v>867129</v>
      </c>
    </row>
    <row r="194" spans="1:4" ht="15.75">
      <c r="A194" s="35"/>
      <c r="B194" s="174"/>
      <c r="C194" s="174"/>
      <c r="D194" s="174"/>
    </row>
    <row r="195" spans="1:4" ht="15.75">
      <c r="A195" s="529" t="s">
        <v>221</v>
      </c>
      <c r="B195" s="529"/>
      <c r="C195" s="529"/>
      <c r="D195" s="529"/>
    </row>
    <row r="196" spans="1:4" ht="15.75">
      <c r="A196" s="174" t="str">
        <f>inputPrYr!C2</f>
        <v>LINCOLN COUNTY</v>
      </c>
      <c r="B196" s="174"/>
      <c r="C196" s="34"/>
      <c r="D196" s="272">
        <f>D1</f>
        <v>2012</v>
      </c>
    </row>
    <row r="197" spans="1:4" ht="15.75">
      <c r="A197" s="35"/>
      <c r="B197" s="174"/>
      <c r="C197" s="174"/>
      <c r="D197" s="34"/>
    </row>
    <row r="198" spans="1:4" ht="15.75">
      <c r="A198" s="260" t="s">
        <v>164</v>
      </c>
      <c r="B198" s="273"/>
      <c r="C198" s="273"/>
      <c r="D198" s="273"/>
    </row>
    <row r="199" spans="1:4" ht="15.75">
      <c r="A199" s="35" t="s">
        <v>82</v>
      </c>
      <c r="B199" s="455" t="str">
        <f aca="true" t="shared" si="2" ref="B199:D200">B4</f>
        <v>Prior Year Actual</v>
      </c>
      <c r="C199" s="382" t="str">
        <f t="shared" si="2"/>
        <v>Current Year Estimate</v>
      </c>
      <c r="D199" s="382" t="str">
        <f t="shared" si="2"/>
        <v>Proposed Budget Year</v>
      </c>
    </row>
    <row r="200" spans="1:4" ht="15.75">
      <c r="A200" s="64" t="s">
        <v>99</v>
      </c>
      <c r="B200" s="262">
        <f t="shared" si="2"/>
        <v>2010</v>
      </c>
      <c r="C200" s="262">
        <f t="shared" si="2"/>
        <v>2011</v>
      </c>
      <c r="D200" s="262">
        <f t="shared" si="2"/>
        <v>2012</v>
      </c>
    </row>
    <row r="201" spans="1:4" ht="15.75">
      <c r="A201" s="248"/>
      <c r="B201" s="77"/>
      <c r="C201" s="77"/>
      <c r="D201" s="77"/>
    </row>
    <row r="202" spans="1:4" ht="15.75">
      <c r="A202" s="248" t="s">
        <v>230</v>
      </c>
      <c r="B202" s="265">
        <f>B62</f>
        <v>741564</v>
      </c>
      <c r="C202" s="265">
        <f>C62</f>
        <v>805559</v>
      </c>
      <c r="D202" s="265">
        <f>D62</f>
        <v>818683</v>
      </c>
    </row>
    <row r="203" spans="1:4" ht="15.75">
      <c r="A203" s="35"/>
      <c r="B203" s="77"/>
      <c r="C203" s="77"/>
      <c r="D203" s="77"/>
    </row>
    <row r="204" spans="1:4" ht="15.75">
      <c r="A204" s="248" t="s">
        <v>231</v>
      </c>
      <c r="B204" s="265">
        <f>B131</f>
        <v>325893</v>
      </c>
      <c r="C204" s="265">
        <f>C131</f>
        <v>242447</v>
      </c>
      <c r="D204" s="265">
        <f>D131</f>
        <v>247939</v>
      </c>
    </row>
    <row r="205" spans="1:4" ht="15.75">
      <c r="A205" s="35"/>
      <c r="B205" s="77"/>
      <c r="C205" s="77"/>
      <c r="D205" s="77"/>
    </row>
    <row r="206" spans="1:4" ht="15.75">
      <c r="A206" s="248" t="s">
        <v>229</v>
      </c>
      <c r="B206" s="265">
        <f>B193</f>
        <v>839165</v>
      </c>
      <c r="C206" s="265">
        <f>C193</f>
        <v>862675</v>
      </c>
      <c r="D206" s="265">
        <f>D193</f>
        <v>867129</v>
      </c>
    </row>
    <row r="207" spans="1:4" ht="15.75">
      <c r="A207" s="35"/>
      <c r="B207" s="77"/>
      <c r="C207" s="77"/>
      <c r="D207" s="77"/>
    </row>
    <row r="208" spans="1:4" ht="16.5" thickBot="1">
      <c r="A208" s="209" t="s">
        <v>26</v>
      </c>
      <c r="B208" s="275">
        <f>SUM(B201:B207)</f>
        <v>1906622</v>
      </c>
      <c r="C208" s="275">
        <f>SUM(C201:C207)</f>
        <v>1910681</v>
      </c>
      <c r="D208" s="275">
        <f>SUM(D201:D207)</f>
        <v>1933751</v>
      </c>
    </row>
    <row r="209" spans="1:4" ht="16.5" thickTop="1">
      <c r="A209" s="276" t="s">
        <v>27</v>
      </c>
      <c r="B209" s="277"/>
      <c r="C209" s="277"/>
      <c r="D209" s="277"/>
    </row>
    <row r="210" spans="1:4" ht="15.75">
      <c r="A210" s="529" t="s">
        <v>222</v>
      </c>
      <c r="B210" s="529"/>
      <c r="C210" s="529"/>
      <c r="D210" s="529"/>
    </row>
    <row r="211" spans="2:4" ht="15.75">
      <c r="B211" s="278"/>
      <c r="C211" s="278"/>
      <c r="D211" s="278"/>
    </row>
    <row r="212" spans="2:4" ht="15.75">
      <c r="B212" s="278"/>
      <c r="C212" s="278"/>
      <c r="D212" s="278"/>
    </row>
    <row r="213" spans="2:4" ht="15.75">
      <c r="B213" s="278"/>
      <c r="C213" s="278"/>
      <c r="D213" s="278"/>
    </row>
    <row r="214" spans="2:4" ht="15.75">
      <c r="B214" s="278"/>
      <c r="C214" s="278"/>
      <c r="D214" s="278"/>
    </row>
    <row r="215" spans="2:4" ht="15.75">
      <c r="B215" s="278"/>
      <c r="C215" s="278"/>
      <c r="D215" s="278"/>
    </row>
    <row r="216" spans="2:4" ht="15.75">
      <c r="B216" s="278"/>
      <c r="C216" s="278"/>
      <c r="D216" s="278"/>
    </row>
    <row r="217" spans="2:4" ht="15.75">
      <c r="B217" s="278"/>
      <c r="C217" s="278"/>
      <c r="D217" s="278"/>
    </row>
    <row r="218" spans="2:4" ht="15.75">
      <c r="B218" s="278"/>
      <c r="C218" s="278"/>
      <c r="D218" s="278"/>
    </row>
    <row r="219" spans="2:4" ht="15.75">
      <c r="B219" s="278"/>
      <c r="C219" s="278"/>
      <c r="D219" s="278"/>
    </row>
    <row r="220" spans="2:4" ht="15.75">
      <c r="B220" s="278"/>
      <c r="C220" s="278"/>
      <c r="D220" s="278"/>
    </row>
    <row r="221" spans="2:4" ht="15.75">
      <c r="B221" s="278"/>
      <c r="C221" s="278"/>
      <c r="D221" s="278"/>
    </row>
    <row r="222" spans="2:4" ht="15.75">
      <c r="B222" s="278"/>
      <c r="C222" s="278"/>
      <c r="D222" s="278"/>
    </row>
    <row r="223" spans="2:4" ht="15.75">
      <c r="B223" s="278"/>
      <c r="C223" s="278"/>
      <c r="D223" s="278"/>
    </row>
    <row r="224" spans="2:4" ht="15.75">
      <c r="B224" s="278"/>
      <c r="C224" s="278"/>
      <c r="D224" s="278"/>
    </row>
    <row r="225" spans="2:4" ht="15.75">
      <c r="B225" s="278"/>
      <c r="C225" s="278"/>
      <c r="D225" s="278"/>
    </row>
    <row r="226" spans="2:4" ht="15.75">
      <c r="B226" s="278"/>
      <c r="C226" s="278"/>
      <c r="D226" s="278"/>
    </row>
    <row r="227" spans="2:4" ht="15.75">
      <c r="B227" s="278"/>
      <c r="C227" s="278"/>
      <c r="D227" s="278"/>
    </row>
    <row r="228" spans="2:4" ht="15.75">
      <c r="B228" s="278"/>
      <c r="C228" s="278"/>
      <c r="D228" s="278"/>
    </row>
    <row r="229" spans="2:4" ht="15.75">
      <c r="B229" s="278"/>
      <c r="C229" s="278"/>
      <c r="D229" s="278"/>
    </row>
    <row r="230" spans="2:4" ht="15.75">
      <c r="B230" s="278"/>
      <c r="C230" s="278"/>
      <c r="D230" s="278"/>
    </row>
    <row r="231" spans="2:4" ht="15.75">
      <c r="B231" s="278"/>
      <c r="C231" s="278"/>
      <c r="D231" s="278"/>
    </row>
    <row r="232" spans="2:4" ht="15.75">
      <c r="B232" s="278"/>
      <c r="C232" s="278"/>
      <c r="D232" s="278"/>
    </row>
    <row r="233" spans="2:4" ht="15.75">
      <c r="B233" s="278"/>
      <c r="C233" s="278"/>
      <c r="D233" s="278"/>
    </row>
    <row r="234" spans="2:4" ht="15.75">
      <c r="B234" s="278"/>
      <c r="C234" s="278"/>
      <c r="D234" s="278"/>
    </row>
    <row r="235" spans="2:4" ht="15.75">
      <c r="B235" s="278"/>
      <c r="C235" s="278"/>
      <c r="D235" s="278"/>
    </row>
    <row r="236" spans="2:4" ht="15.75">
      <c r="B236" s="278"/>
      <c r="C236" s="278"/>
      <c r="D236" s="278"/>
    </row>
    <row r="237" spans="2:4" ht="15.75">
      <c r="B237" s="278"/>
      <c r="C237" s="278"/>
      <c r="D237" s="278"/>
    </row>
    <row r="238" spans="2:4" ht="15.75">
      <c r="B238" s="278"/>
      <c r="C238" s="278"/>
      <c r="D238" s="278"/>
    </row>
    <row r="239" spans="2:4" ht="15.75">
      <c r="B239" s="278"/>
      <c r="C239" s="278"/>
      <c r="D239" s="278"/>
    </row>
    <row r="240" spans="2:4" ht="15.75">
      <c r="B240" s="278"/>
      <c r="C240" s="278"/>
      <c r="D240" s="278"/>
    </row>
    <row r="241" spans="2:4" ht="15.75">
      <c r="B241" s="278"/>
      <c r="C241" s="278"/>
      <c r="D241" s="278"/>
    </row>
    <row r="242" spans="2:4" ht="15.75">
      <c r="B242" s="278"/>
      <c r="C242" s="278"/>
      <c r="D242" s="278"/>
    </row>
    <row r="243" spans="2:4" ht="15.75">
      <c r="B243" s="278"/>
      <c r="C243" s="278"/>
      <c r="D243" s="278"/>
    </row>
    <row r="244" spans="2:4" ht="15.75">
      <c r="B244" s="278"/>
      <c r="C244" s="278"/>
      <c r="D244" s="278"/>
    </row>
    <row r="245" spans="2:4" ht="15.75">
      <c r="B245" s="278"/>
      <c r="C245" s="278"/>
      <c r="D245" s="278"/>
    </row>
    <row r="246" spans="2:4" ht="15.75">
      <c r="B246" s="278"/>
      <c r="C246" s="278"/>
      <c r="D246" s="278"/>
    </row>
    <row r="247" spans="2:4" ht="15.75">
      <c r="B247" s="278"/>
      <c r="C247" s="278"/>
      <c r="D247" s="278"/>
    </row>
    <row r="248" spans="2:4" ht="15.75">
      <c r="B248" s="278"/>
      <c r="C248" s="278"/>
      <c r="D248" s="278"/>
    </row>
    <row r="249" spans="2:4" ht="15.75">
      <c r="B249" s="278"/>
      <c r="C249" s="278"/>
      <c r="D249" s="278"/>
    </row>
    <row r="250" spans="2:4" ht="15.75">
      <c r="B250" s="278"/>
      <c r="C250" s="278"/>
      <c r="D250" s="278"/>
    </row>
    <row r="251" spans="2:4" ht="15.75">
      <c r="B251" s="278"/>
      <c r="C251" s="278"/>
      <c r="D251" s="278"/>
    </row>
    <row r="252" spans="2:4" ht="15.75">
      <c r="B252" s="278"/>
      <c r="C252" s="278"/>
      <c r="D252" s="278"/>
    </row>
    <row r="253" spans="2:4" ht="15.75">
      <c r="B253" s="278"/>
      <c r="C253" s="278"/>
      <c r="D253" s="278"/>
    </row>
    <row r="254" spans="2:4" ht="15.75">
      <c r="B254" s="278"/>
      <c r="C254" s="278"/>
      <c r="D254" s="278"/>
    </row>
    <row r="255" spans="2:4" ht="15.75">
      <c r="B255" s="278"/>
      <c r="C255" s="278"/>
      <c r="D255" s="278"/>
    </row>
    <row r="256" spans="2:4" ht="15.75">
      <c r="B256" s="278"/>
      <c r="C256" s="278"/>
      <c r="D256" s="278"/>
    </row>
    <row r="257" spans="2:4" ht="15.75">
      <c r="B257" s="278"/>
      <c r="C257" s="278"/>
      <c r="D257" s="278"/>
    </row>
    <row r="258" spans="2:4" ht="15.75">
      <c r="B258" s="278"/>
      <c r="C258" s="278"/>
      <c r="D258" s="278"/>
    </row>
    <row r="259" spans="2:4" ht="15.75">
      <c r="B259" s="278"/>
      <c r="C259" s="278"/>
      <c r="D259" s="278"/>
    </row>
    <row r="260" spans="2:4" ht="15.75">
      <c r="B260" s="278"/>
      <c r="C260" s="278"/>
      <c r="D260" s="278"/>
    </row>
    <row r="261" spans="2:4" ht="15.75">
      <c r="B261" s="278"/>
      <c r="C261" s="278"/>
      <c r="D261" s="278"/>
    </row>
    <row r="262" spans="2:4" ht="15.75">
      <c r="B262" s="278"/>
      <c r="C262" s="278"/>
      <c r="D262" s="278"/>
    </row>
    <row r="263" spans="2:4" ht="15.75">
      <c r="B263" s="278"/>
      <c r="C263" s="278"/>
      <c r="D263" s="278"/>
    </row>
    <row r="264" spans="2:4" ht="15.75">
      <c r="B264" s="278"/>
      <c r="C264" s="278"/>
      <c r="D264" s="278"/>
    </row>
    <row r="265" spans="2:4" ht="15.75">
      <c r="B265" s="278"/>
      <c r="C265" s="278"/>
      <c r="D265" s="278"/>
    </row>
    <row r="266" spans="2:4" ht="15.75">
      <c r="B266" s="278"/>
      <c r="C266" s="278"/>
      <c r="D266" s="278"/>
    </row>
    <row r="267" spans="2:4" ht="15.75">
      <c r="B267" s="278"/>
      <c r="C267" s="278"/>
      <c r="D267" s="278"/>
    </row>
    <row r="268" spans="2:4" ht="15.75">
      <c r="B268" s="278"/>
      <c r="C268" s="278"/>
      <c r="D268" s="278"/>
    </row>
    <row r="269" spans="2:4" ht="15.75">
      <c r="B269" s="278"/>
      <c r="C269" s="278"/>
      <c r="D269" s="278"/>
    </row>
    <row r="270" spans="2:4" ht="15.75">
      <c r="B270" s="278"/>
      <c r="C270" s="278"/>
      <c r="D270" s="278"/>
    </row>
    <row r="271" spans="2:4" ht="15.75">
      <c r="B271" s="278"/>
      <c r="C271" s="278"/>
      <c r="D271" s="278"/>
    </row>
    <row r="272" spans="2:4" ht="15.75">
      <c r="B272" s="278"/>
      <c r="C272" s="278"/>
      <c r="D272" s="278"/>
    </row>
    <row r="273" spans="2:4" ht="15.75">
      <c r="B273" s="278"/>
      <c r="C273" s="278"/>
      <c r="D273" s="278"/>
    </row>
    <row r="274" spans="2:4" ht="15.75">
      <c r="B274" s="278"/>
      <c r="C274" s="278"/>
      <c r="D274" s="278"/>
    </row>
    <row r="275" spans="2:4" ht="15.75">
      <c r="B275" s="278"/>
      <c r="C275" s="278"/>
      <c r="D275" s="278"/>
    </row>
    <row r="276" spans="2:4" ht="15.75">
      <c r="B276" s="278"/>
      <c r="C276" s="278"/>
      <c r="D276" s="278"/>
    </row>
    <row r="277" spans="2:4" ht="15.75">
      <c r="B277" s="278"/>
      <c r="C277" s="278"/>
      <c r="D277" s="278"/>
    </row>
    <row r="278" spans="2:4" ht="15.75">
      <c r="B278" s="278"/>
      <c r="C278" s="278"/>
      <c r="D278" s="278"/>
    </row>
    <row r="279" spans="2:4" ht="15.75">
      <c r="B279" s="278"/>
      <c r="C279" s="278"/>
      <c r="D279" s="278"/>
    </row>
    <row r="280" spans="2:4" ht="15.75">
      <c r="B280" s="278"/>
      <c r="C280" s="278"/>
      <c r="D280" s="278"/>
    </row>
    <row r="281" spans="2:4" ht="15.75">
      <c r="B281" s="278"/>
      <c r="C281" s="278"/>
      <c r="D281" s="278"/>
    </row>
    <row r="282" spans="2:4" ht="15.75">
      <c r="B282" s="278"/>
      <c r="C282" s="278"/>
      <c r="D282" s="278"/>
    </row>
    <row r="283" spans="2:4" ht="15.75">
      <c r="B283" s="278"/>
      <c r="C283" s="278"/>
      <c r="D283" s="278"/>
    </row>
    <row r="284" spans="2:4" ht="15.75">
      <c r="B284" s="278"/>
      <c r="C284" s="278"/>
      <c r="D284" s="278"/>
    </row>
    <row r="285" spans="2:4" ht="15.75">
      <c r="B285" s="278"/>
      <c r="C285" s="278"/>
      <c r="D285" s="278"/>
    </row>
    <row r="286" spans="2:4" ht="15.75">
      <c r="B286" s="278"/>
      <c r="C286" s="278"/>
      <c r="D286" s="278"/>
    </row>
    <row r="287" spans="2:4" ht="15.75">
      <c r="B287" s="278"/>
      <c r="C287" s="278"/>
      <c r="D287" s="278"/>
    </row>
    <row r="288" spans="2:4" ht="15.75">
      <c r="B288" s="278"/>
      <c r="C288" s="278"/>
      <c r="D288" s="278"/>
    </row>
    <row r="289" spans="2:4" ht="15.75">
      <c r="B289" s="278"/>
      <c r="C289" s="278"/>
      <c r="D289" s="278"/>
    </row>
    <row r="290" spans="2:4" ht="15.75">
      <c r="B290" s="278"/>
      <c r="C290" s="278"/>
      <c r="D290" s="278"/>
    </row>
    <row r="291" spans="2:4" ht="15.75">
      <c r="B291" s="278"/>
      <c r="C291" s="278"/>
      <c r="D291" s="278"/>
    </row>
    <row r="292" spans="2:4" ht="15.75">
      <c r="B292" s="278"/>
      <c r="C292" s="278"/>
      <c r="D292" s="278"/>
    </row>
    <row r="293" spans="2:4" ht="15.75">
      <c r="B293" s="278"/>
      <c r="C293" s="278"/>
      <c r="D293" s="278"/>
    </row>
    <row r="294" spans="2:4" ht="15.75">
      <c r="B294" s="278"/>
      <c r="C294" s="278"/>
      <c r="D294" s="278"/>
    </row>
    <row r="295" spans="2:4" ht="15.75">
      <c r="B295" s="278"/>
      <c r="C295" s="278"/>
      <c r="D295" s="278"/>
    </row>
    <row r="296" spans="2:4" ht="15.75">
      <c r="B296" s="278"/>
      <c r="C296" s="278"/>
      <c r="D296" s="278"/>
    </row>
    <row r="297" spans="2:4" ht="15.75">
      <c r="B297" s="278"/>
      <c r="C297" s="278"/>
      <c r="D297" s="278"/>
    </row>
    <row r="298" spans="2:4" ht="15.75">
      <c r="B298" s="278"/>
      <c r="C298" s="278"/>
      <c r="D298" s="278"/>
    </row>
    <row r="299" spans="2:4" ht="15.75">
      <c r="B299" s="278"/>
      <c r="C299" s="278"/>
      <c r="D299" s="278"/>
    </row>
    <row r="300" spans="2:4" ht="15.75">
      <c r="B300" s="278"/>
      <c r="C300" s="278"/>
      <c r="D300" s="278"/>
    </row>
    <row r="301" spans="2:4" ht="15.75">
      <c r="B301" s="278"/>
      <c r="C301" s="278"/>
      <c r="D301" s="278"/>
    </row>
    <row r="302" spans="2:4" ht="15.75">
      <c r="B302" s="278"/>
      <c r="C302" s="278"/>
      <c r="D302" s="278"/>
    </row>
    <row r="303" spans="2:4" ht="15.75">
      <c r="B303" s="278"/>
      <c r="C303" s="278"/>
      <c r="D303" s="278"/>
    </row>
    <row r="304" spans="2:4" ht="15.75">
      <c r="B304" s="278"/>
      <c r="C304" s="278"/>
      <c r="D304" s="278"/>
    </row>
    <row r="305" spans="2:4" ht="15.75">
      <c r="B305" s="278"/>
      <c r="C305" s="278"/>
      <c r="D305" s="278"/>
    </row>
    <row r="306" spans="2:4" ht="15.75">
      <c r="B306" s="278"/>
      <c r="C306" s="278"/>
      <c r="D306" s="278"/>
    </row>
    <row r="307" spans="2:4" ht="15.75">
      <c r="B307" s="278"/>
      <c r="C307" s="278"/>
      <c r="D307" s="278"/>
    </row>
    <row r="308" spans="2:4" ht="15.75">
      <c r="B308" s="278"/>
      <c r="C308" s="278"/>
      <c r="D308" s="278"/>
    </row>
    <row r="309" spans="2:4" ht="15.75">
      <c r="B309" s="278"/>
      <c r="C309" s="278"/>
      <c r="D309" s="278"/>
    </row>
    <row r="310" spans="2:4" ht="15.75">
      <c r="B310" s="278"/>
      <c r="C310" s="278"/>
      <c r="D310" s="278"/>
    </row>
    <row r="311" spans="2:4" ht="15.75">
      <c r="B311" s="278"/>
      <c r="C311" s="278"/>
      <c r="D311" s="278"/>
    </row>
    <row r="312" spans="2:4" ht="15.75">
      <c r="B312" s="278"/>
      <c r="C312" s="278"/>
      <c r="D312" s="278"/>
    </row>
    <row r="313" spans="2:4" ht="15.75">
      <c r="B313" s="278"/>
      <c r="C313" s="278"/>
      <c r="D313" s="278"/>
    </row>
  </sheetData>
  <sheetProtection/>
  <mergeCells count="4">
    <mergeCell ref="A210:D210"/>
    <mergeCell ref="A64:D64"/>
    <mergeCell ref="A133:D133"/>
    <mergeCell ref="A195:D195"/>
  </mergeCells>
  <printOptions/>
  <pageMargins left="1.12" right="0.5" top="0.74" bottom="0.34" header="0.5" footer="0"/>
  <pageSetup blackAndWhite="1" horizontalDpi="120" verticalDpi="120" orientation="portrait" scale="71" r:id="rId1"/>
  <headerFooter alignWithMargins="0">
    <oddHeader>&amp;RState of Kansas
County
</oddHeader>
  </headerFooter>
  <rowBreaks count="3" manualBreakCount="3">
    <brk id="64" max="255" man="1"/>
    <brk id="133" max="3" man="1"/>
    <brk id="195"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I75"/>
  <sheetViews>
    <sheetView view="pageBreakPreview" zoomScale="97" zoomScaleSheetLayoutView="97" zoomScalePageLayoutView="0" workbookViewId="0" topLeftCell="A25">
      <selection activeCell="E51" sqref="E51"/>
    </sheetView>
  </sheetViews>
  <sheetFormatPr defaultColWidth="8.796875" defaultRowHeight="15"/>
  <cols>
    <col min="1" max="1" width="2.3984375" style="93" customWidth="1"/>
    <col min="2" max="2" width="31.09765625" style="93" customWidth="1"/>
    <col min="3" max="4" width="16.19921875" style="93" customWidth="1"/>
    <col min="5" max="5" width="16.296875" style="93" customWidth="1"/>
    <col min="6" max="6" width="7.3984375" style="93" customWidth="1"/>
    <col min="7" max="7" width="9.09765625" style="93" customWidth="1"/>
    <col min="8" max="16384" width="8.8984375" style="93" customWidth="1"/>
  </cols>
  <sheetData>
    <row r="1" spans="2:5" ht="15.75">
      <c r="B1" s="174" t="str">
        <f>inputPrYr!C2</f>
        <v>LINCOLN COUNTY</v>
      </c>
      <c r="C1" s="35"/>
      <c r="D1" s="35"/>
      <c r="E1" s="201">
        <f>inputPrYr!$C$4</f>
        <v>2012</v>
      </c>
    </row>
    <row r="2" spans="2:5" ht="15.75">
      <c r="B2" s="35"/>
      <c r="C2" s="35"/>
      <c r="D2" s="35"/>
      <c r="E2" s="186"/>
    </row>
    <row r="3" spans="2:5" ht="15.75">
      <c r="B3" s="102" t="s">
        <v>166</v>
      </c>
      <c r="C3" s="279"/>
      <c r="D3" s="279"/>
      <c r="E3" s="280"/>
    </row>
    <row r="4" spans="2:5" ht="15.75">
      <c r="B4" s="35"/>
      <c r="C4" s="273"/>
      <c r="D4" s="273"/>
      <c r="E4" s="273"/>
    </row>
    <row r="5" spans="2:5" ht="15.75">
      <c r="B5" s="34" t="s">
        <v>82</v>
      </c>
      <c r="C5" s="381" t="s">
        <v>119</v>
      </c>
      <c r="D5" s="380" t="s">
        <v>240</v>
      </c>
      <c r="E5" s="382" t="s">
        <v>241</v>
      </c>
    </row>
    <row r="6" spans="2:5" ht="15.75">
      <c r="B6" s="414" t="str">
        <f>inputPrYr!B17</f>
        <v>Debt Service</v>
      </c>
      <c r="C6" s="208">
        <f>E1-2</f>
        <v>2010</v>
      </c>
      <c r="D6" s="208">
        <f>E1-1</f>
        <v>2011</v>
      </c>
      <c r="E6" s="249">
        <f>E1</f>
        <v>2012</v>
      </c>
    </row>
    <row r="7" spans="2:5" ht="15.75">
      <c r="B7" s="98" t="s">
        <v>208</v>
      </c>
      <c r="C7" s="365"/>
      <c r="D7" s="367">
        <f>C55</f>
        <v>0</v>
      </c>
      <c r="E7" s="281">
        <f>D55</f>
        <v>0</v>
      </c>
    </row>
    <row r="8" spans="2:5" ht="15.75">
      <c r="B8" s="282" t="s">
        <v>210</v>
      </c>
      <c r="C8" s="366"/>
      <c r="D8" s="367"/>
      <c r="E8" s="281"/>
    </row>
    <row r="9" spans="2:5" ht="15.75">
      <c r="B9" s="98" t="s">
        <v>83</v>
      </c>
      <c r="C9" s="358"/>
      <c r="D9" s="364">
        <f>inputPrYr!E17</f>
        <v>0</v>
      </c>
      <c r="E9" s="283" t="s">
        <v>68</v>
      </c>
    </row>
    <row r="10" spans="2:5" ht="15.75">
      <c r="B10" s="98" t="s">
        <v>84</v>
      </c>
      <c r="C10" s="358"/>
      <c r="D10" s="358"/>
      <c r="E10" s="284"/>
    </row>
    <row r="11" spans="2:5" ht="15.75">
      <c r="B11" s="98" t="s">
        <v>85</v>
      </c>
      <c r="C11" s="358"/>
      <c r="D11" s="358"/>
      <c r="E11" s="285" t="str">
        <f>mvalloc!D9</f>
        <v> </v>
      </c>
    </row>
    <row r="12" spans="2:5" ht="15.75">
      <c r="B12" s="98" t="s">
        <v>86</v>
      </c>
      <c r="C12" s="358"/>
      <c r="D12" s="358"/>
      <c r="E12" s="285" t="str">
        <f>mvalloc!E9</f>
        <v> </v>
      </c>
    </row>
    <row r="13" spans="2:5" ht="15.75">
      <c r="B13" s="286" t="s">
        <v>190</v>
      </c>
      <c r="C13" s="358"/>
      <c r="D13" s="358"/>
      <c r="E13" s="285" t="str">
        <f>mvalloc!F9</f>
        <v> </v>
      </c>
    </row>
    <row r="14" spans="2:5" ht="15.75">
      <c r="B14" s="286" t="s">
        <v>246</v>
      </c>
      <c r="C14" s="358"/>
      <c r="D14" s="358"/>
      <c r="E14" s="285" t="str">
        <f>mvalloc!G9</f>
        <v> </v>
      </c>
    </row>
    <row r="15" spans="2:5" ht="15.75">
      <c r="B15" s="286"/>
      <c r="C15" s="358"/>
      <c r="D15" s="358"/>
      <c r="E15" s="285"/>
    </row>
    <row r="16" spans="2:5" ht="15.75">
      <c r="B16" s="286"/>
      <c r="C16" s="358"/>
      <c r="D16" s="358"/>
      <c r="E16" s="285"/>
    </row>
    <row r="17" spans="2:5" ht="15.75">
      <c r="B17" s="287"/>
      <c r="C17" s="358"/>
      <c r="D17" s="358"/>
      <c r="E17" s="284"/>
    </row>
    <row r="18" spans="2:5" ht="15.75">
      <c r="B18" s="287"/>
      <c r="C18" s="358"/>
      <c r="D18" s="358"/>
      <c r="E18" s="288"/>
    </row>
    <row r="19" spans="2:5" ht="15.75">
      <c r="B19" s="287"/>
      <c r="C19" s="358"/>
      <c r="D19" s="358"/>
      <c r="E19" s="284"/>
    </row>
    <row r="20" spans="2:5" ht="15.75">
      <c r="B20" s="287"/>
      <c r="C20" s="358"/>
      <c r="D20" s="358"/>
      <c r="E20" s="284"/>
    </row>
    <row r="21" spans="2:5" ht="15.75">
      <c r="B21" s="287"/>
      <c r="C21" s="358"/>
      <c r="D21" s="358"/>
      <c r="E21" s="284"/>
    </row>
    <row r="22" spans="2:5" ht="15.75">
      <c r="B22" s="287"/>
      <c r="C22" s="358"/>
      <c r="D22" s="358"/>
      <c r="E22" s="284"/>
    </row>
    <row r="23" spans="2:5" ht="15.75">
      <c r="B23" s="287"/>
      <c r="C23" s="358"/>
      <c r="D23" s="358"/>
      <c r="E23" s="284"/>
    </row>
    <row r="24" spans="2:5" ht="15.75">
      <c r="B24" s="287"/>
      <c r="C24" s="358"/>
      <c r="D24" s="358"/>
      <c r="E24" s="284"/>
    </row>
    <row r="25" spans="2:5" ht="15.75">
      <c r="B25" s="287"/>
      <c r="C25" s="358"/>
      <c r="D25" s="358"/>
      <c r="E25" s="284"/>
    </row>
    <row r="26" spans="2:5" ht="15.75">
      <c r="B26" s="287" t="s">
        <v>242</v>
      </c>
      <c r="C26" s="358"/>
      <c r="D26" s="358"/>
      <c r="E26" s="284"/>
    </row>
    <row r="27" spans="2:5" ht="15.75">
      <c r="B27" s="289" t="s">
        <v>90</v>
      </c>
      <c r="C27" s="358"/>
      <c r="D27" s="358"/>
      <c r="E27" s="284"/>
    </row>
    <row r="28" spans="2:5" ht="15.75">
      <c r="B28" s="256" t="s">
        <v>43</v>
      </c>
      <c r="C28" s="358"/>
      <c r="D28" s="358"/>
      <c r="E28" s="284"/>
    </row>
    <row r="29" spans="2:5" ht="15.75">
      <c r="B29" s="256" t="s">
        <v>44</v>
      </c>
      <c r="C29" s="359">
        <f>IF(C30*0.1&lt;C28,"Exceed 10% Rule","")</f>
      </c>
      <c r="D29" s="359">
        <f>IF(D30*0.1&lt;D28,"Exceed 10% Rule","")</f>
      </c>
      <c r="E29" s="290">
        <f>IF(E30*0.1+E61&lt;E28,"Exceed 10% Rule","")</f>
      </c>
    </row>
    <row r="30" spans="2:5" ht="15.75">
      <c r="B30" s="258" t="s">
        <v>91</v>
      </c>
      <c r="C30" s="368">
        <f>SUM(C9:C28)</f>
        <v>0</v>
      </c>
      <c r="D30" s="369">
        <f>SUM(D9:D28)</f>
        <v>0</v>
      </c>
      <c r="E30" s="291">
        <f>SUM(E9:E28)</f>
        <v>0</v>
      </c>
    </row>
    <row r="31" spans="2:5" ht="15.75">
      <c r="B31" s="258" t="s">
        <v>92</v>
      </c>
      <c r="C31" s="369">
        <f>C7+C30</f>
        <v>0</v>
      </c>
      <c r="D31" s="369">
        <f>D7+D30</f>
        <v>0</v>
      </c>
      <c r="E31" s="292">
        <f>E7+E30</f>
        <v>0</v>
      </c>
    </row>
    <row r="32" spans="2:5" ht="15.75">
      <c r="B32" s="282" t="s">
        <v>95</v>
      </c>
      <c r="C32" s="366"/>
      <c r="D32" s="366"/>
      <c r="E32" s="285"/>
    </row>
    <row r="33" spans="2:5" ht="15.75">
      <c r="B33" s="264"/>
      <c r="C33" s="358"/>
      <c r="D33" s="358"/>
      <c r="E33" s="284"/>
    </row>
    <row r="34" spans="2:5" ht="15.75">
      <c r="B34" s="264"/>
      <c r="C34" s="358"/>
      <c r="D34" s="358"/>
      <c r="E34" s="284"/>
    </row>
    <row r="35" spans="2:5" ht="15.75">
      <c r="B35" s="264"/>
      <c r="C35" s="358"/>
      <c r="D35" s="358"/>
      <c r="E35" s="284"/>
    </row>
    <row r="36" spans="2:5" ht="15.75">
      <c r="B36" s="264"/>
      <c r="C36" s="358"/>
      <c r="D36" s="358"/>
      <c r="E36" s="284"/>
    </row>
    <row r="37" spans="2:5" ht="15.75">
      <c r="B37" s="264"/>
      <c r="C37" s="358"/>
      <c r="D37" s="358"/>
      <c r="E37" s="284"/>
    </row>
    <row r="38" spans="2:5" ht="15.75">
      <c r="B38" s="264"/>
      <c r="C38" s="358"/>
      <c r="D38" s="358"/>
      <c r="E38" s="284"/>
    </row>
    <row r="39" spans="2:5" ht="15.75">
      <c r="B39" s="264"/>
      <c r="C39" s="358"/>
      <c r="D39" s="358"/>
      <c r="E39" s="284"/>
    </row>
    <row r="40" spans="2:5" ht="15.75">
      <c r="B40" s="264"/>
      <c r="C40" s="358"/>
      <c r="D40" s="358"/>
      <c r="E40" s="284"/>
    </row>
    <row r="41" spans="2:5" ht="15.75">
      <c r="B41" s="264"/>
      <c r="C41" s="358"/>
      <c r="D41" s="358"/>
      <c r="E41" s="284"/>
    </row>
    <row r="42" spans="2:5" ht="15.75">
      <c r="B42" s="264"/>
      <c r="C42" s="358"/>
      <c r="D42" s="358"/>
      <c r="E42" s="284"/>
    </row>
    <row r="43" spans="2:5" ht="15.75">
      <c r="B43" s="264"/>
      <c r="C43" s="358"/>
      <c r="D43" s="358"/>
      <c r="E43" s="284"/>
    </row>
    <row r="44" spans="2:5" ht="15.75">
      <c r="B44" s="264"/>
      <c r="C44" s="358"/>
      <c r="D44" s="358"/>
      <c r="E44" s="284"/>
    </row>
    <row r="45" spans="2:5" ht="15.75">
      <c r="B45" s="264"/>
      <c r="C45" s="358"/>
      <c r="D45" s="358"/>
      <c r="E45" s="284"/>
    </row>
    <row r="46" spans="2:5" ht="15.75">
      <c r="B46" s="264"/>
      <c r="C46" s="358"/>
      <c r="D46" s="358"/>
      <c r="E46" s="284"/>
    </row>
    <row r="47" spans="2:5" ht="15.75">
      <c r="B47" s="264"/>
      <c r="C47" s="358"/>
      <c r="D47" s="358"/>
      <c r="E47" s="284"/>
    </row>
    <row r="48" spans="2:5" ht="15.75">
      <c r="B48" s="264"/>
      <c r="C48" s="358"/>
      <c r="D48" s="358"/>
      <c r="E48" s="284"/>
    </row>
    <row r="49" spans="2:5" ht="15.75">
      <c r="B49" s="264"/>
      <c r="C49" s="358"/>
      <c r="D49" s="358"/>
      <c r="E49" s="284"/>
    </row>
    <row r="50" spans="2:5" ht="15.75">
      <c r="B50" s="264"/>
      <c r="C50" s="358"/>
      <c r="D50" s="358"/>
      <c r="E50" s="284"/>
    </row>
    <row r="51" spans="2:5" ht="15.75">
      <c r="B51" s="256" t="s">
        <v>45</v>
      </c>
      <c r="C51" s="358"/>
      <c r="D51" s="358"/>
      <c r="E51" s="265"/>
    </row>
    <row r="52" spans="2:5" ht="15.75">
      <c r="B52" s="256" t="s">
        <v>43</v>
      </c>
      <c r="C52" s="358"/>
      <c r="D52" s="358"/>
      <c r="E52" s="284"/>
    </row>
    <row r="53" spans="2:9" ht="15.75">
      <c r="B53" s="256" t="s">
        <v>46</v>
      </c>
      <c r="C53" s="359">
        <f>IF(C54*0.1&lt;C52,"Exceed 10% Rule","")</f>
      </c>
      <c r="D53" s="359">
        <f>IF(D54*0.1&lt;D52,"Exceed 10% Rule","")</f>
      </c>
      <c r="E53" s="290">
        <f>IF(E54*0.1&lt;E52,"Exceed 10% Rule","")</f>
      </c>
      <c r="G53" s="530" t="str">
        <f>CONCATENATE("Projected Carryover Into ",E1+1,"")</f>
        <v>Projected Carryover Into 2013</v>
      </c>
      <c r="H53" s="531"/>
      <c r="I53" s="532"/>
    </row>
    <row r="54" spans="2:9" ht="15.75">
      <c r="B54" s="258" t="s">
        <v>96</v>
      </c>
      <c r="C54" s="368">
        <f>SUM(C33:C52)</f>
        <v>0</v>
      </c>
      <c r="D54" s="369">
        <f>SUM(D33:D52)</f>
        <v>0</v>
      </c>
      <c r="E54" s="291">
        <f>SUM(E33:E52)</f>
        <v>0</v>
      </c>
      <c r="G54" s="437"/>
      <c r="H54" s="436"/>
      <c r="I54" s="438"/>
    </row>
    <row r="55" spans="2:9" ht="15.75">
      <c r="B55" s="98" t="s">
        <v>209</v>
      </c>
      <c r="C55" s="370">
        <f>C31-C54</f>
        <v>0</v>
      </c>
      <c r="D55" s="370">
        <f>D31-D54</f>
        <v>0</v>
      </c>
      <c r="E55" s="283" t="s">
        <v>68</v>
      </c>
      <c r="G55" s="389">
        <f>D55</f>
        <v>0</v>
      </c>
      <c r="H55" s="388" t="str">
        <f>CONCATENATE("",E1-1," Ending Cash Balance (est.)")</f>
        <v>2011 Ending Cash Balance (est.)</v>
      </c>
      <c r="I55" s="438"/>
    </row>
    <row r="56" spans="2:9" ht="15.75">
      <c r="B56" s="234" t="str">
        <f>CONCATENATE("",E$1-2,"/",E$1-1," Budget Authority Amount:")</f>
        <v>2010/2011 Budget Authority Amount:</v>
      </c>
      <c r="C56" s="226">
        <f>inputOth!B34</f>
        <v>0</v>
      </c>
      <c r="D56" s="226">
        <f>inputPrYr!D17</f>
        <v>0</v>
      </c>
      <c r="E56" s="283" t="s">
        <v>68</v>
      </c>
      <c r="F56" s="293"/>
      <c r="G56" s="389">
        <f>E30</f>
        <v>0</v>
      </c>
      <c r="H56" s="387" t="str">
        <f>CONCATENATE("",E1," Non-AV Receipts (est.)")</f>
        <v>2012 Non-AV Receipts (est.)</v>
      </c>
      <c r="I56" s="438"/>
    </row>
    <row r="57" spans="2:9" ht="15.75">
      <c r="B57" s="234"/>
      <c r="C57" s="521" t="s">
        <v>287</v>
      </c>
      <c r="D57" s="522"/>
      <c r="E57" s="62"/>
      <c r="F57" s="390">
        <f>IF(E54/0.95-E54&lt;E57,"Exceeds 5%","")</f>
      </c>
      <c r="G57" s="386">
        <f>E61</f>
        <v>0</v>
      </c>
      <c r="H57" s="387" t="str">
        <f>CONCATENATE("",E1," Ad Valorem Tax (est.)")</f>
        <v>2012 Ad Valorem Tax (est.)</v>
      </c>
      <c r="I57" s="438"/>
    </row>
    <row r="58" spans="2:9" ht="15.75">
      <c r="B58" s="427" t="str">
        <f>CONCATENATE(C74,"     ",D74)</f>
        <v>     </v>
      </c>
      <c r="C58" s="523" t="s">
        <v>288</v>
      </c>
      <c r="D58" s="524"/>
      <c r="E58" s="212">
        <f>E54+E57</f>
        <v>0</v>
      </c>
      <c r="G58" s="389">
        <f>SUM(G55:G57)</f>
        <v>0</v>
      </c>
      <c r="H58" s="387" t="str">
        <f>CONCATENATE("Total ",E1," Resources Available")</f>
        <v>Total 2012 Resources Available</v>
      </c>
      <c r="I58" s="438"/>
    </row>
    <row r="59" spans="2:9" ht="15.75">
      <c r="B59" s="427" t="str">
        <f>CONCATENATE(C75,"     ",D75)</f>
        <v>     </v>
      </c>
      <c r="C59" s="267"/>
      <c r="D59" s="186" t="s">
        <v>97</v>
      </c>
      <c r="E59" s="70">
        <f>IF(E58-E31&gt;0,E58-E31,0)</f>
        <v>0</v>
      </c>
      <c r="G59" s="385"/>
      <c r="H59" s="387"/>
      <c r="I59" s="438"/>
    </row>
    <row r="60" spans="2:9" ht="15.75">
      <c r="B60" s="186"/>
      <c r="C60" s="425" t="s">
        <v>289</v>
      </c>
      <c r="D60" s="408">
        <f>inputOth!$E$24</f>
        <v>0.03</v>
      </c>
      <c r="E60" s="212">
        <f>ROUND(IF(D60&gt;0,(E59*D60),0),0)</f>
        <v>0</v>
      </c>
      <c r="G60" s="386">
        <f>C54</f>
        <v>0</v>
      </c>
      <c r="H60" s="387" t="str">
        <f>CONCATENATE("Less ",E1-2," Expenditures")</f>
        <v>Less 2010 Expenditures</v>
      </c>
      <c r="I60" s="438"/>
    </row>
    <row r="61" spans="2:9" ht="15.75">
      <c r="B61" s="35"/>
      <c r="C61" s="519" t="str">
        <f>CONCATENATE("Amount of  ",$E$1-1," Ad Valorem Tax")</f>
        <v>Amount of  2011 Ad Valorem Tax</v>
      </c>
      <c r="D61" s="520"/>
      <c r="E61" s="294">
        <f>E59+E60</f>
        <v>0</v>
      </c>
      <c r="G61" s="384">
        <f>G58-G60</f>
        <v>0</v>
      </c>
      <c r="H61" s="383" t="str">
        <f>CONCATENATE("Projected ",E1+1," carryover (est.)")</f>
        <v>Projected 2013 carryover (est.)</v>
      </c>
      <c r="I61" s="404"/>
    </row>
    <row r="62" spans="2:5" ht="15.75">
      <c r="B62" s="186"/>
      <c r="C62" s="35"/>
      <c r="D62" s="35"/>
      <c r="E62" s="35"/>
    </row>
    <row r="63" spans="2:5" ht="15.75">
      <c r="B63" s="234" t="s">
        <v>118</v>
      </c>
      <c r="C63" s="295">
        <v>8</v>
      </c>
      <c r="D63" s="35"/>
      <c r="E63" s="35"/>
    </row>
    <row r="74" spans="3:4" ht="15.75" hidden="1">
      <c r="C74" s="93">
        <f>IF(C54&gt;C56,"SeeTab A","")</f>
      </c>
      <c r="D74" s="93">
        <f>IF(D54&gt;D56,"See Tab C","")</f>
      </c>
    </row>
    <row r="75" spans="3:4" ht="15.75" hidden="1">
      <c r="C75" s="93">
        <f>IF(C55&lt;0,"See Tab B","")</f>
      </c>
      <c r="D75" s="93">
        <f>IF(D55&lt;0,"See Tab D","")</f>
      </c>
    </row>
  </sheetData>
  <sheetProtection/>
  <mergeCells count="4">
    <mergeCell ref="C57:D57"/>
    <mergeCell ref="C58:D58"/>
    <mergeCell ref="G53:I53"/>
    <mergeCell ref="C61:D61"/>
  </mergeCells>
  <conditionalFormatting sqref="E52">
    <cfRule type="cellIs" priority="2" dxfId="135" operator="greaterThan" stopIfTrue="1">
      <formula>$E$54*0.1</formula>
    </cfRule>
  </conditionalFormatting>
  <conditionalFormatting sqref="E57">
    <cfRule type="cellIs" priority="3" dxfId="135" operator="greaterThan" stopIfTrue="1">
      <formula>$E$54/0.95-$E$54</formula>
    </cfRule>
  </conditionalFormatting>
  <conditionalFormatting sqref="C55">
    <cfRule type="cellIs" priority="4" dxfId="2" operator="lessThan" stopIfTrue="1">
      <formula>0</formula>
    </cfRule>
  </conditionalFormatting>
  <conditionalFormatting sqref="C54">
    <cfRule type="cellIs" priority="5" dxfId="2" operator="greaterThan" stopIfTrue="1">
      <formula>$C$56</formula>
    </cfRule>
  </conditionalFormatting>
  <conditionalFormatting sqref="D54">
    <cfRule type="cellIs" priority="6" dxfId="2" operator="greaterThan" stopIfTrue="1">
      <formula>$D$56</formula>
    </cfRule>
  </conditionalFormatting>
  <conditionalFormatting sqref="C28">
    <cfRule type="cellIs" priority="7" dxfId="2" operator="greaterThan" stopIfTrue="1">
      <formula>$C$30*0.1</formula>
    </cfRule>
  </conditionalFormatting>
  <conditionalFormatting sqref="D28">
    <cfRule type="cellIs" priority="8" dxfId="2" operator="greaterThan" stopIfTrue="1">
      <formula>$D$30*0.1</formula>
    </cfRule>
  </conditionalFormatting>
  <conditionalFormatting sqref="E28">
    <cfRule type="cellIs" priority="9" dxfId="135" operator="greaterThan" stopIfTrue="1">
      <formula>$E$30*0.1+E61</formula>
    </cfRule>
  </conditionalFormatting>
  <conditionalFormatting sqref="C52">
    <cfRule type="cellIs" priority="10" dxfId="2" operator="greaterThan" stopIfTrue="1">
      <formula>$C$54*0.1</formula>
    </cfRule>
  </conditionalFormatting>
  <conditionalFormatting sqref="D52">
    <cfRule type="cellIs" priority="11" dxfId="2" operator="greaterThan" stopIfTrue="1">
      <formula>$D$54*0.1</formula>
    </cfRule>
  </conditionalFormatting>
  <conditionalFormatting sqref="D55">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County</oddHeader>
  </headerFooter>
</worksheet>
</file>

<file path=xl/worksheets/sheet13.xml><?xml version="1.0" encoding="utf-8"?>
<worksheet xmlns="http://schemas.openxmlformats.org/spreadsheetml/2006/main" xmlns:r="http://schemas.openxmlformats.org/officeDocument/2006/relationships">
  <dimension ref="B1:J63"/>
  <sheetViews>
    <sheetView view="pageBreakPreview" zoomScaleSheetLayoutView="100" zoomScalePageLayoutView="0" workbookViewId="0" topLeftCell="A37">
      <selection activeCell="G53" sqref="G53"/>
    </sheetView>
  </sheetViews>
  <sheetFormatPr defaultColWidth="8.796875" defaultRowHeight="15"/>
  <cols>
    <col min="1" max="1" width="2.3984375" style="32" customWidth="1"/>
    <col min="2" max="2" width="31.09765625" style="32" customWidth="1"/>
    <col min="3" max="4" width="15.796875" style="32" customWidth="1"/>
    <col min="5" max="5" width="16.19921875" style="32" customWidth="1"/>
    <col min="6" max="6" width="7.59765625" style="32" customWidth="1"/>
    <col min="7" max="7" width="7.09765625" style="32" customWidth="1"/>
    <col min="8" max="8" width="8.8984375" style="32" customWidth="1"/>
    <col min="9" max="9" width="5" style="32" customWidth="1"/>
    <col min="10" max="10" width="7.796875" style="32" customWidth="1"/>
    <col min="11" max="16384" width="8.8984375" style="32" customWidth="1"/>
  </cols>
  <sheetData>
    <row r="1" spans="2:5" ht="15.75">
      <c r="B1" s="174" t="str">
        <f>inputPrYr!C2</f>
        <v>LINCOLN COUNTY</v>
      </c>
      <c r="C1" s="35"/>
      <c r="D1" s="35"/>
      <c r="E1" s="233">
        <f>inputPrYr!C4</f>
        <v>2012</v>
      </c>
    </row>
    <row r="2" spans="2:5" ht="15.75">
      <c r="B2" s="35"/>
      <c r="C2" s="35"/>
      <c r="D2" s="35"/>
      <c r="E2" s="186"/>
    </row>
    <row r="3" spans="2:5" ht="15.75">
      <c r="B3" s="102" t="s">
        <v>166</v>
      </c>
      <c r="C3" s="35"/>
      <c r="D3" s="35"/>
      <c r="E3" s="247"/>
    </row>
    <row r="4" spans="2:5" ht="15.75">
      <c r="B4" s="248" t="s">
        <v>82</v>
      </c>
      <c r="C4" s="381" t="s">
        <v>119</v>
      </c>
      <c r="D4" s="380" t="s">
        <v>240</v>
      </c>
      <c r="E4" s="382" t="str">
        <f>general!E4</f>
        <v>Proposed Budget Year</v>
      </c>
    </row>
    <row r="5" spans="2:5" ht="15.75">
      <c r="B5" s="414" t="str">
        <f>inputPrYr!B18</f>
        <v>Road &amp; Bridge</v>
      </c>
      <c r="C5" s="208">
        <f>E1-2</f>
        <v>2010</v>
      </c>
      <c r="D5" s="208">
        <f>E1-1</f>
        <v>2011</v>
      </c>
      <c r="E5" s="249">
        <f>E1</f>
        <v>2012</v>
      </c>
    </row>
    <row r="6" spans="2:5" ht="15.75">
      <c r="B6" s="250" t="s">
        <v>208</v>
      </c>
      <c r="C6" s="358">
        <v>73845</v>
      </c>
      <c r="D6" s="362">
        <f>C45</f>
        <v>311310</v>
      </c>
      <c r="E6" s="212">
        <f>D45</f>
        <v>380933</v>
      </c>
    </row>
    <row r="7" spans="2:5" ht="15.75">
      <c r="B7" s="237" t="s">
        <v>210</v>
      </c>
      <c r="C7" s="252"/>
      <c r="D7" s="252"/>
      <c r="E7" s="77"/>
    </row>
    <row r="8" spans="2:5" ht="15.75">
      <c r="B8" s="250" t="s">
        <v>83</v>
      </c>
      <c r="C8" s="358">
        <v>1190216</v>
      </c>
      <c r="D8" s="362">
        <v>1281769</v>
      </c>
      <c r="E8" s="172" t="s">
        <v>68</v>
      </c>
    </row>
    <row r="9" spans="2:5" ht="15.75">
      <c r="B9" s="250" t="s">
        <v>84</v>
      </c>
      <c r="C9" s="358">
        <v>12114</v>
      </c>
      <c r="D9" s="358">
        <v>5000</v>
      </c>
      <c r="E9" s="253">
        <v>5000</v>
      </c>
    </row>
    <row r="10" spans="2:5" ht="15.75">
      <c r="B10" s="250" t="s">
        <v>85</v>
      </c>
      <c r="C10" s="358">
        <v>114538</v>
      </c>
      <c r="D10" s="358">
        <v>102188</v>
      </c>
      <c r="E10" s="77">
        <f>mvalloc!D10</f>
        <v>107160</v>
      </c>
    </row>
    <row r="11" spans="2:5" ht="15.75">
      <c r="B11" s="250" t="s">
        <v>86</v>
      </c>
      <c r="C11" s="358"/>
      <c r="D11" s="358">
        <v>1547</v>
      </c>
      <c r="E11" s="77">
        <f>mvalloc!E10</f>
        <v>1700</v>
      </c>
    </row>
    <row r="12" spans="2:5" ht="15.75">
      <c r="B12" s="252" t="s">
        <v>190</v>
      </c>
      <c r="C12" s="358"/>
      <c r="D12" s="358">
        <v>15309</v>
      </c>
      <c r="E12" s="77">
        <f>mvalloc!F10</f>
        <v>19338</v>
      </c>
    </row>
    <row r="13" spans="2:5" ht="15.75">
      <c r="B13" s="252" t="s">
        <v>246</v>
      </c>
      <c r="C13" s="358"/>
      <c r="D13" s="358"/>
      <c r="E13" s="77">
        <f>mvalloc!G10</f>
        <v>0</v>
      </c>
    </row>
    <row r="14" spans="2:5" ht="15.75">
      <c r="B14" s="250"/>
      <c r="C14" s="358"/>
      <c r="D14" s="358"/>
      <c r="E14" s="77"/>
    </row>
    <row r="15" spans="2:5" ht="15.75">
      <c r="B15" s="296" t="s">
        <v>7</v>
      </c>
      <c r="C15" s="358">
        <v>234173</v>
      </c>
      <c r="D15" s="358">
        <v>230685</v>
      </c>
      <c r="E15" s="97">
        <v>229687</v>
      </c>
    </row>
    <row r="16" spans="2:5" ht="15.75">
      <c r="B16" s="296" t="s">
        <v>8</v>
      </c>
      <c r="C16" s="358"/>
      <c r="D16" s="358"/>
      <c r="E16" s="97"/>
    </row>
    <row r="17" spans="2:5" ht="15.75">
      <c r="B17" s="297" t="s">
        <v>372</v>
      </c>
      <c r="C17" s="358">
        <v>90055</v>
      </c>
      <c r="D17" s="358">
        <v>70000</v>
      </c>
      <c r="E17" s="97">
        <v>70000</v>
      </c>
    </row>
    <row r="18" spans="2:5" ht="15.75">
      <c r="B18" s="254" t="s">
        <v>373</v>
      </c>
      <c r="C18" s="358">
        <v>1310</v>
      </c>
      <c r="D18" s="358">
        <v>1066</v>
      </c>
      <c r="E18" s="253">
        <v>1452</v>
      </c>
    </row>
    <row r="19" spans="2:5" ht="15.75">
      <c r="B19" s="254" t="s">
        <v>243</v>
      </c>
      <c r="C19" s="463">
        <v>-6910</v>
      </c>
      <c r="D19" s="463">
        <v>-7000</v>
      </c>
      <c r="E19" s="464">
        <v>-7287</v>
      </c>
    </row>
    <row r="20" spans="2:5" ht="15.75">
      <c r="B20" s="254"/>
      <c r="C20" s="358"/>
      <c r="D20" s="358"/>
      <c r="E20" s="253"/>
    </row>
    <row r="21" spans="2:5" ht="15.75">
      <c r="B21" s="255"/>
      <c r="C21" s="358"/>
      <c r="D21" s="358"/>
      <c r="E21" s="253"/>
    </row>
    <row r="22" spans="2:5" ht="15.75">
      <c r="B22" s="254"/>
      <c r="C22" s="358"/>
      <c r="D22" s="358"/>
      <c r="E22" s="253"/>
    </row>
    <row r="23" spans="2:5" ht="15.75">
      <c r="B23" s="254"/>
      <c r="C23" s="358"/>
      <c r="D23" s="358"/>
      <c r="E23" s="253"/>
    </row>
    <row r="24" spans="2:5" ht="15.75">
      <c r="B24" s="254"/>
      <c r="C24" s="358"/>
      <c r="D24" s="358"/>
      <c r="E24" s="253"/>
    </row>
    <row r="25" spans="2:5" ht="15.75">
      <c r="B25" s="255" t="s">
        <v>90</v>
      </c>
      <c r="C25" s="358"/>
      <c r="D25" s="358"/>
      <c r="E25" s="253"/>
    </row>
    <row r="26" spans="2:5" ht="15.75">
      <c r="B26" s="256" t="s">
        <v>43</v>
      </c>
      <c r="C26" s="358"/>
      <c r="D26" s="358"/>
      <c r="E26" s="253"/>
    </row>
    <row r="27" spans="2:5" ht="15.75">
      <c r="B27" s="256" t="s">
        <v>285</v>
      </c>
      <c r="C27" s="359">
        <f>IF(C28*0.1&lt;C26,"Exceed 10% Rule","")</f>
      </c>
      <c r="D27" s="359">
        <f>IF(D28*0.1&lt;D26,"Exceed 10% Rule","")</f>
      </c>
      <c r="E27" s="290">
        <f>IF(E28*0.1+E51&lt;E26,"Exceed 10% Rule","")</f>
      </c>
    </row>
    <row r="28" spans="2:5" ht="15.75">
      <c r="B28" s="258" t="s">
        <v>91</v>
      </c>
      <c r="C28" s="360">
        <f>SUM(C8:C26)</f>
        <v>1635496</v>
      </c>
      <c r="D28" s="360">
        <f>SUM(D8:D26)</f>
        <v>1700564</v>
      </c>
      <c r="E28" s="298">
        <f>SUM(E9:E26)</f>
        <v>427050</v>
      </c>
    </row>
    <row r="29" spans="2:5" ht="15.75">
      <c r="B29" s="258" t="s">
        <v>92</v>
      </c>
      <c r="C29" s="360">
        <f>C6+C28</f>
        <v>1709341</v>
      </c>
      <c r="D29" s="360">
        <f>D6+D28</f>
        <v>2011874</v>
      </c>
      <c r="E29" s="298">
        <f>E6+E28</f>
        <v>807983</v>
      </c>
    </row>
    <row r="30" spans="2:5" ht="15.75">
      <c r="B30" s="250" t="s">
        <v>95</v>
      </c>
      <c r="C30" s="252"/>
      <c r="D30" s="252"/>
      <c r="E30" s="77"/>
    </row>
    <row r="31" spans="2:5" ht="15.75">
      <c r="B31" s="60" t="s">
        <v>100</v>
      </c>
      <c r="C31" s="358">
        <v>644077</v>
      </c>
      <c r="D31" s="358">
        <v>680941</v>
      </c>
      <c r="E31" s="97">
        <v>680000</v>
      </c>
    </row>
    <row r="32" spans="2:5" ht="15.75">
      <c r="B32" s="60" t="s">
        <v>101</v>
      </c>
      <c r="C32" s="358">
        <v>171388</v>
      </c>
      <c r="D32" s="358">
        <v>200000</v>
      </c>
      <c r="E32" s="97">
        <v>225000</v>
      </c>
    </row>
    <row r="33" spans="2:5" ht="15.75">
      <c r="B33" s="60" t="s">
        <v>102</v>
      </c>
      <c r="C33" s="358">
        <v>510292</v>
      </c>
      <c r="D33" s="358">
        <v>650000</v>
      </c>
      <c r="E33" s="97">
        <v>700000</v>
      </c>
    </row>
    <row r="34" spans="2:5" ht="15.75">
      <c r="B34" s="255" t="s">
        <v>103</v>
      </c>
      <c r="C34" s="358">
        <v>72274</v>
      </c>
      <c r="D34" s="358">
        <v>100000</v>
      </c>
      <c r="E34" s="97">
        <v>200000</v>
      </c>
    </row>
    <row r="35" spans="2:5" ht="15.75">
      <c r="B35" s="300"/>
      <c r="C35" s="358"/>
      <c r="D35" s="358"/>
      <c r="E35" s="97"/>
    </row>
    <row r="36" spans="2:5" ht="15.75">
      <c r="B36" s="300" t="s">
        <v>374</v>
      </c>
      <c r="C36" s="358"/>
      <c r="D36" s="358"/>
      <c r="E36" s="97"/>
    </row>
    <row r="37" spans="2:5" ht="15.75">
      <c r="B37" s="300"/>
      <c r="C37" s="358"/>
      <c r="D37" s="358"/>
      <c r="E37" s="97"/>
    </row>
    <row r="38" spans="2:5" ht="15.75">
      <c r="B38" s="300"/>
      <c r="C38" s="358"/>
      <c r="D38" s="358"/>
      <c r="E38" s="97"/>
    </row>
    <row r="39" spans="2:5" ht="15.75">
      <c r="B39" s="300"/>
      <c r="C39" s="358"/>
      <c r="D39" s="358"/>
      <c r="E39" s="97"/>
    </row>
    <row r="40" spans="2:5" ht="15.75">
      <c r="B40" s="264"/>
      <c r="C40" s="358"/>
      <c r="D40" s="358"/>
      <c r="E40" s="253"/>
    </row>
    <row r="41" spans="2:5" ht="15.75">
      <c r="B41" s="256" t="s">
        <v>45</v>
      </c>
      <c r="C41" s="358"/>
      <c r="D41" s="358"/>
      <c r="E41" s="265"/>
    </row>
    <row r="42" spans="2:5" ht="15.75">
      <c r="B42" s="256" t="s">
        <v>43</v>
      </c>
      <c r="C42" s="358"/>
      <c r="D42" s="358"/>
      <c r="E42" s="253"/>
    </row>
    <row r="43" spans="2:10" ht="15.75">
      <c r="B43" s="256" t="s">
        <v>284</v>
      </c>
      <c r="C43" s="359">
        <f>IF(C44*0.1&lt;C42,"Exceed 10% Rule","")</f>
      </c>
      <c r="D43" s="359">
        <f>IF(D44*0.1&lt;D42,"Exceed 10% Rule","")</f>
      </c>
      <c r="E43" s="290">
        <f>IF(E44*0.1&lt;E42,"Exceed 10% Rule","")</f>
      </c>
      <c r="G43" s="525" t="str">
        <f>CONCATENATE("Projected Carryover Into ",E1+1,"")</f>
        <v>Projected Carryover Into 2013</v>
      </c>
      <c r="H43" s="526"/>
      <c r="I43" s="526"/>
      <c r="J43" s="527"/>
    </row>
    <row r="44" spans="2:10" ht="15.75">
      <c r="B44" s="258" t="s">
        <v>96</v>
      </c>
      <c r="C44" s="360">
        <f>SUM(C31:C42)</f>
        <v>1398031</v>
      </c>
      <c r="D44" s="360">
        <f>SUM(D31:D42)</f>
        <v>1630941</v>
      </c>
      <c r="E44" s="298">
        <f>SUM(E31:E42)</f>
        <v>1805000</v>
      </c>
      <c r="G44" s="437"/>
      <c r="H44" s="436"/>
      <c r="I44" s="436"/>
      <c r="J44" s="438"/>
    </row>
    <row r="45" spans="2:10" ht="15.75">
      <c r="B45" s="98" t="s">
        <v>209</v>
      </c>
      <c r="C45" s="363">
        <f>C29-C44</f>
        <v>311310</v>
      </c>
      <c r="D45" s="363">
        <f>D29-D44</f>
        <v>380933</v>
      </c>
      <c r="E45" s="172" t="s">
        <v>68</v>
      </c>
      <c r="G45" s="424">
        <f>D45</f>
        <v>380933</v>
      </c>
      <c r="H45" s="422" t="str">
        <f>CONCATENATE("",E1-1," Ending Cash Balance (est.)")</f>
        <v>2011 Ending Cash Balance (est.)</v>
      </c>
      <c r="I45" s="421"/>
      <c r="J45" s="438"/>
    </row>
    <row r="46" spans="2:10" ht="15.75">
      <c r="B46" s="234" t="str">
        <f>CONCATENATE("",E$1-2,"/",E$1-1," Budget Authority Amount:")</f>
        <v>2010/2011 Budget Authority Amount:</v>
      </c>
      <c r="C46" s="226">
        <f>inputOth!$B35</f>
        <v>1617400</v>
      </c>
      <c r="D46" s="226">
        <f>inputPrYr!D18</f>
        <v>1813841</v>
      </c>
      <c r="E46" s="172" t="s">
        <v>68</v>
      </c>
      <c r="F46" s="266"/>
      <c r="G46" s="424">
        <f>E26</f>
        <v>0</v>
      </c>
      <c r="H46" s="420" t="str">
        <f>CONCATENATE("",E1," Non-AV Receipts (est.)")</f>
        <v>2012 Non-AV Receipts (est.)</v>
      </c>
      <c r="I46" s="421"/>
      <c r="J46" s="438"/>
    </row>
    <row r="47" spans="2:10" ht="15.75">
      <c r="B47" s="234"/>
      <c r="C47" s="521" t="s">
        <v>287</v>
      </c>
      <c r="D47" s="522"/>
      <c r="E47" s="62"/>
      <c r="F47" s="423">
        <f>IF(E44/0.95-E44&lt;E47,"Exceeds 5%","")</f>
      </c>
      <c r="G47" s="419">
        <f>E51</f>
        <v>1026927.51</v>
      </c>
      <c r="H47" s="420" t="str">
        <f>CONCATENATE("",E1," Ad Valorem Tax (est.)")</f>
        <v>2012 Ad Valorem Tax (est.)</v>
      </c>
      <c r="I47" s="421"/>
      <c r="J47" s="438"/>
    </row>
    <row r="48" spans="2:10" ht="15.75">
      <c r="B48" s="427" t="str">
        <f>CONCATENATE(C62,"     ",D62)</f>
        <v>     </v>
      </c>
      <c r="C48" s="523" t="s">
        <v>288</v>
      </c>
      <c r="D48" s="524"/>
      <c r="E48" s="212">
        <f>E44+E47</f>
        <v>1805000</v>
      </c>
      <c r="G48" s="424">
        <f>SUM(G45:G47)</f>
        <v>1407860.51</v>
      </c>
      <c r="H48" s="420" t="str">
        <f>CONCATENATE("Total ",E1," Resources Available")</f>
        <v>Total 2012 Resources Available</v>
      </c>
      <c r="I48" s="421"/>
      <c r="J48" s="438"/>
    </row>
    <row r="49" spans="2:10" ht="15.75">
      <c r="B49" s="427" t="str">
        <f>CONCATENATE(C63,"     ",D63)</f>
        <v>     </v>
      </c>
      <c r="C49" s="267"/>
      <c r="D49" s="186" t="s">
        <v>97</v>
      </c>
      <c r="E49" s="70">
        <f>IF(E48-E29&gt;0,E48-E29,0)</f>
        <v>997017</v>
      </c>
      <c r="G49" s="418"/>
      <c r="H49" s="420"/>
      <c r="I49" s="420"/>
      <c r="J49" s="438"/>
    </row>
    <row r="50" spans="2:10" ht="15.75">
      <c r="B50" s="234"/>
      <c r="C50" s="425" t="s">
        <v>289</v>
      </c>
      <c r="D50" s="408">
        <f>inputOth!$E$24</f>
        <v>0.03</v>
      </c>
      <c r="E50" s="212">
        <f>IF(D50&gt;0,(E49*D50),0)</f>
        <v>29910.51</v>
      </c>
      <c r="G50" s="419">
        <f>C44*0.05+C44</f>
        <v>1467932.55</v>
      </c>
      <c r="H50" s="420" t="str">
        <f>CONCATENATE("Less ",E1-2," Expenditures + 5%")</f>
        <v>Less 2010 Expenditures + 5%</v>
      </c>
      <c r="I50" s="421"/>
      <c r="J50" s="438"/>
    </row>
    <row r="51" spans="2:10" ht="15.75">
      <c r="B51" s="35"/>
      <c r="C51" s="519" t="str">
        <f>CONCATENATE("Amount of  ",$E$1-1," Ad Valorem Tax")</f>
        <v>Amount of  2011 Ad Valorem Tax</v>
      </c>
      <c r="D51" s="520"/>
      <c r="E51" s="294">
        <f>E49+E50</f>
        <v>1026927.51</v>
      </c>
      <c r="G51" s="417">
        <f>G48-G50</f>
        <v>-60072.04000000004</v>
      </c>
      <c r="H51" s="416" t="str">
        <f>CONCATENATE("Projected ",E1," Carryover (est.)")</f>
        <v>Projected 2012 Carryover (est.)</v>
      </c>
      <c r="I51" s="405"/>
      <c r="J51" s="404"/>
    </row>
    <row r="52" spans="2:5" ht="15.75">
      <c r="B52" s="35"/>
      <c r="C52" s="35"/>
      <c r="D52" s="35"/>
      <c r="E52" s="35"/>
    </row>
    <row r="53" spans="2:5" ht="15.75">
      <c r="B53" s="234" t="s">
        <v>118</v>
      </c>
      <c r="C53" s="295">
        <v>9</v>
      </c>
      <c r="D53" s="299"/>
      <c r="E53" s="299"/>
    </row>
    <row r="62" spans="3:4" ht="15.75" hidden="1">
      <c r="C62" s="32">
        <f>IF(C44&gt;C46,"See Tab A","")</f>
      </c>
      <c r="D62" s="32">
        <f>IF(D44&gt;D46,"See Tab C","")</f>
      </c>
    </row>
    <row r="63" spans="3:4" ht="15.75" hidden="1">
      <c r="C63" s="32">
        <f>IF(C45&lt;0,"See Tab B","")</f>
      </c>
      <c r="D63" s="32">
        <f>IF(D45&lt;0,"See Tab D","")</f>
      </c>
    </row>
  </sheetData>
  <sheetProtection/>
  <mergeCells count="4">
    <mergeCell ref="C47:D47"/>
    <mergeCell ref="C48:D48"/>
    <mergeCell ref="G43:J43"/>
    <mergeCell ref="C51:D51"/>
  </mergeCells>
  <conditionalFormatting sqref="E42">
    <cfRule type="cellIs" priority="2" dxfId="135" operator="greaterThan" stopIfTrue="1">
      <formula>$E$44*0.1</formula>
    </cfRule>
  </conditionalFormatting>
  <conditionalFormatting sqref="E47">
    <cfRule type="cellIs" priority="3" dxfId="135" operator="greaterThan" stopIfTrue="1">
      <formula>$E$44/0.95-$E$44</formula>
    </cfRule>
  </conditionalFormatting>
  <conditionalFormatting sqref="C26">
    <cfRule type="cellIs" priority="4" dxfId="2" operator="greaterThan" stopIfTrue="1">
      <formula>$C$28*0.1</formula>
    </cfRule>
  </conditionalFormatting>
  <conditionalFormatting sqref="D26">
    <cfRule type="cellIs" priority="5" dxfId="2" operator="greaterThan" stopIfTrue="1">
      <formula>$D$28*0.1</formula>
    </cfRule>
  </conditionalFormatting>
  <conditionalFormatting sqref="E26">
    <cfRule type="cellIs" priority="6" dxfId="135" operator="greaterThan" stopIfTrue="1">
      <formula>$E$28*0.1+E51</formula>
    </cfRule>
  </conditionalFormatting>
  <conditionalFormatting sqref="C42">
    <cfRule type="cellIs" priority="7" dxfId="2" operator="greaterThan" stopIfTrue="1">
      <formula>$C$44*0.1</formula>
    </cfRule>
  </conditionalFormatting>
  <conditionalFormatting sqref="D42">
    <cfRule type="cellIs" priority="8" dxfId="2" operator="greaterThan" stopIfTrue="1">
      <formula>$D$44*0.1</formula>
    </cfRule>
  </conditionalFormatting>
  <conditionalFormatting sqref="C44">
    <cfRule type="cellIs" priority="9" dxfId="2" operator="greaterThan" stopIfTrue="1">
      <formula>$C$46</formula>
    </cfRule>
  </conditionalFormatting>
  <conditionalFormatting sqref="C45">
    <cfRule type="cellIs" priority="10" dxfId="2" operator="lessThan" stopIfTrue="1">
      <formula>0</formula>
    </cfRule>
  </conditionalFormatting>
  <conditionalFormatting sqref="D44">
    <cfRule type="cellIs" priority="11" dxfId="2" operator="greaterThan" stopIfTrue="1">
      <formula>$D$46</formula>
    </cfRule>
  </conditionalFormatting>
  <conditionalFormatting sqref="D45">
    <cfRule type="cellIs" priority="1" dxfId="0" operator="lessThan" stopIfTrue="1">
      <formula>0</formula>
    </cfRule>
  </conditionalFormatting>
  <printOptions/>
  <pageMargins left="0.75" right="0.75" top="1" bottom="0.5" header="0.5" footer="0.5"/>
  <pageSetup blackAndWhite="1" fitToHeight="2" horizontalDpi="600" verticalDpi="600" orientation="portrait" scale="73" r:id="rId1"/>
  <headerFooter alignWithMargins="0">
    <oddHeader>&amp;RState of Kansas
County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2"/>
  <sheetViews>
    <sheetView view="pageBreakPreview" zoomScale="112" zoomScaleSheetLayoutView="112" zoomScalePageLayoutView="0" workbookViewId="0" topLeftCell="A63">
      <selection activeCell="E76" sqref="E76"/>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74" t="str">
        <f>(inputPrYr!C2)</f>
        <v>LINCOLN COUNTY</v>
      </c>
      <c r="C1" s="35"/>
      <c r="D1" s="35"/>
      <c r="E1" s="233">
        <f>inputPrYr!C4</f>
        <v>2012</v>
      </c>
    </row>
    <row r="2" spans="2:5" ht="15.75">
      <c r="B2" s="35"/>
      <c r="C2" s="35"/>
      <c r="D2" s="35"/>
      <c r="E2" s="186"/>
    </row>
    <row r="3" spans="2:5" ht="15.75">
      <c r="B3" s="102" t="s">
        <v>166</v>
      </c>
      <c r="C3" s="279"/>
      <c r="D3" s="279"/>
      <c r="E3" s="280"/>
    </row>
    <row r="4" spans="2:5" ht="15.75">
      <c r="B4" s="35"/>
      <c r="C4" s="273"/>
      <c r="D4" s="273"/>
      <c r="E4" s="273"/>
    </row>
    <row r="5" spans="2:5" ht="15.75">
      <c r="B5" s="34" t="s">
        <v>82</v>
      </c>
      <c r="C5" s="381" t="str">
        <f>general!C4</f>
        <v>Prior Year Actual</v>
      </c>
      <c r="D5" s="380" t="str">
        <f>general!D4</f>
        <v>Current Year Estimate</v>
      </c>
      <c r="E5" s="382" t="str">
        <f>general!E4</f>
        <v>Proposed Budget Year</v>
      </c>
    </row>
    <row r="6" spans="2:5" ht="15.75">
      <c r="B6" s="414" t="str">
        <f>inputPrYr!B19</f>
        <v>Special Bridge</v>
      </c>
      <c r="C6" s="361">
        <f>general!$C$5</f>
        <v>2010</v>
      </c>
      <c r="D6" s="361">
        <f>general!D5</f>
        <v>2011</v>
      </c>
      <c r="E6" s="249">
        <f>general!E5</f>
        <v>2012</v>
      </c>
    </row>
    <row r="7" spans="2:5" ht="15.75">
      <c r="B7" s="98" t="s">
        <v>208</v>
      </c>
      <c r="C7" s="358">
        <v>291069</v>
      </c>
      <c r="D7" s="362">
        <f>C34</f>
        <v>190260</v>
      </c>
      <c r="E7" s="212">
        <f>D34</f>
        <v>85822</v>
      </c>
    </row>
    <row r="8" spans="2:5" ht="15.75">
      <c r="B8" s="237" t="s">
        <v>210</v>
      </c>
      <c r="C8" s="252"/>
      <c r="D8" s="252"/>
      <c r="E8" s="77"/>
    </row>
    <row r="9" spans="2:5" ht="15.75">
      <c r="B9" s="98" t="s">
        <v>83</v>
      </c>
      <c r="C9" s="358">
        <v>17</v>
      </c>
      <c r="D9" s="362">
        <v>45862</v>
      </c>
      <c r="E9" s="283" t="s">
        <v>68</v>
      </c>
    </row>
    <row r="10" spans="2:5" ht="15.75">
      <c r="B10" s="98" t="s">
        <v>84</v>
      </c>
      <c r="C10" s="358">
        <v>1240</v>
      </c>
      <c r="D10" s="358">
        <v>500</v>
      </c>
      <c r="E10" s="62">
        <v>500</v>
      </c>
    </row>
    <row r="11" spans="2:5" ht="15.75">
      <c r="B11" s="98" t="s">
        <v>85</v>
      </c>
      <c r="C11" s="358">
        <v>13295</v>
      </c>
      <c r="D11" s="358"/>
      <c r="E11" s="212">
        <f>mvalloc!D11</f>
        <v>3834</v>
      </c>
    </row>
    <row r="12" spans="2:5" ht="15.75">
      <c r="B12" s="98" t="s">
        <v>86</v>
      </c>
      <c r="C12" s="358"/>
      <c r="D12" s="358"/>
      <c r="E12" s="212">
        <f>mvalloc!E11</f>
        <v>61</v>
      </c>
    </row>
    <row r="13" spans="2:5" ht="15.75">
      <c r="B13" s="252" t="s">
        <v>159</v>
      </c>
      <c r="C13" s="358"/>
      <c r="D13" s="358"/>
      <c r="E13" s="212">
        <f>mvalloc!F11</f>
        <v>692</v>
      </c>
    </row>
    <row r="14" spans="2:5" ht="15.75">
      <c r="B14" s="252" t="s">
        <v>246</v>
      </c>
      <c r="C14" s="358"/>
      <c r="D14" s="358"/>
      <c r="E14" s="212">
        <f>mvalloc!G11</f>
        <v>0</v>
      </c>
    </row>
    <row r="15" spans="2:5" ht="15.75">
      <c r="B15" s="254" t="s">
        <v>373</v>
      </c>
      <c r="C15" s="358"/>
      <c r="D15" s="358"/>
      <c r="E15" s="62">
        <v>52</v>
      </c>
    </row>
    <row r="16" spans="2:5" ht="15.75">
      <c r="B16" s="254" t="s">
        <v>243</v>
      </c>
      <c r="C16" s="463"/>
      <c r="D16" s="463">
        <v>-800</v>
      </c>
      <c r="E16" s="464">
        <v>-261</v>
      </c>
    </row>
    <row r="17" spans="2:5" ht="15.75">
      <c r="B17" s="264"/>
      <c r="C17" s="358"/>
      <c r="D17" s="358"/>
      <c r="E17" s="62"/>
    </row>
    <row r="18" spans="2:5" ht="15.75">
      <c r="B18" s="255" t="s">
        <v>90</v>
      </c>
      <c r="C18" s="358"/>
      <c r="D18" s="358"/>
      <c r="E18" s="62"/>
    </row>
    <row r="19" spans="2:5" ht="15.75">
      <c r="B19" s="256" t="s">
        <v>43</v>
      </c>
      <c r="C19" s="358"/>
      <c r="D19" s="358"/>
      <c r="E19" s="62"/>
    </row>
    <row r="20" spans="2:5" ht="15.75">
      <c r="B20" s="256" t="s">
        <v>285</v>
      </c>
      <c r="C20" s="359">
        <f>IF(C21*0.1&lt;C19,"Exceed 10% Rule","")</f>
      </c>
      <c r="D20" s="359">
        <f>IF(D21*0.1&lt;D19,"Exceed 10% Rule","")</f>
      </c>
      <c r="E20" s="290">
        <f>IF(E21*0.1+E40&lt;E19,"Exceed 10% Rule","")</f>
      </c>
    </row>
    <row r="21" spans="2:5" ht="15.75">
      <c r="B21" s="258" t="s">
        <v>91</v>
      </c>
      <c r="C21" s="360">
        <f>SUM(C9:C19)</f>
        <v>14552</v>
      </c>
      <c r="D21" s="360">
        <f>SUM(D9:D19)</f>
        <v>45562</v>
      </c>
      <c r="E21" s="298">
        <f>SUM(E9:E19)</f>
        <v>4878</v>
      </c>
    </row>
    <row r="22" spans="2:5" ht="15.75">
      <c r="B22" s="258" t="s">
        <v>92</v>
      </c>
      <c r="C22" s="360">
        <f>C7+C21</f>
        <v>305621</v>
      </c>
      <c r="D22" s="360">
        <f>D7+D21</f>
        <v>235822</v>
      </c>
      <c r="E22" s="298">
        <f>E7+E21</f>
        <v>90700</v>
      </c>
    </row>
    <row r="23" spans="2:5" ht="15.75">
      <c r="B23" s="98" t="s">
        <v>95</v>
      </c>
      <c r="C23" s="256"/>
      <c r="D23" s="256"/>
      <c r="E23" s="58"/>
    </row>
    <row r="24" spans="2:5" ht="15.75">
      <c r="B24" s="264" t="s">
        <v>375</v>
      </c>
      <c r="C24" s="358">
        <v>115361</v>
      </c>
      <c r="D24" s="358">
        <v>150000</v>
      </c>
      <c r="E24" s="62">
        <v>200000</v>
      </c>
    </row>
    <row r="25" spans="2:5" ht="15.75">
      <c r="B25" s="264"/>
      <c r="C25" s="358"/>
      <c r="D25" s="358"/>
      <c r="E25" s="62"/>
    </row>
    <row r="26" spans="2:5" ht="15.75">
      <c r="B26" s="264"/>
      <c r="C26" s="358"/>
      <c r="D26" s="358"/>
      <c r="E26" s="62"/>
    </row>
    <row r="27" spans="2:5" ht="15.75">
      <c r="B27" s="264"/>
      <c r="C27" s="358"/>
      <c r="D27" s="358"/>
      <c r="E27" s="62"/>
    </row>
    <row r="28" spans="2:5" ht="15.75">
      <c r="B28" s="264"/>
      <c r="C28" s="358"/>
      <c r="D28" s="358"/>
      <c r="E28" s="62"/>
    </row>
    <row r="29" spans="2:5" ht="15.75">
      <c r="B29" s="264"/>
      <c r="C29" s="358"/>
      <c r="D29" s="358"/>
      <c r="E29" s="62"/>
    </row>
    <row r="30" spans="2:5" ht="15.75">
      <c r="B30" s="256" t="s">
        <v>45</v>
      </c>
      <c r="C30" s="358"/>
      <c r="D30" s="358"/>
      <c r="E30" s="70"/>
    </row>
    <row r="31" spans="2:5" ht="15.75">
      <c r="B31" s="256" t="s">
        <v>43</v>
      </c>
      <c r="C31" s="358"/>
      <c r="D31" s="358"/>
      <c r="E31" s="62"/>
    </row>
    <row r="32" spans="2:5" ht="15.75">
      <c r="B32" s="256" t="s">
        <v>284</v>
      </c>
      <c r="C32" s="359">
        <f>IF(C33*0.1&lt;C31,"Exceed 10% Rule","")</f>
      </c>
      <c r="D32" s="359">
        <f>IF(D33*0.1&lt;D31,"Exceed 10% Rule","")</f>
      </c>
      <c r="E32" s="290">
        <f>IF(E33*0.1&lt;E31,"Exceed 10% Rule","")</f>
      </c>
    </row>
    <row r="33" spans="2:5" ht="15.75">
      <c r="B33" s="258" t="s">
        <v>96</v>
      </c>
      <c r="C33" s="360">
        <f>SUM(C24:C31)</f>
        <v>115361</v>
      </c>
      <c r="D33" s="360">
        <f>SUM(D24:D31)</f>
        <v>150000</v>
      </c>
      <c r="E33" s="298">
        <f>SUM(E24:E31)</f>
        <v>200000</v>
      </c>
    </row>
    <row r="34" spans="2:5" ht="15.75">
      <c r="B34" s="98" t="s">
        <v>209</v>
      </c>
      <c r="C34" s="363">
        <f>C22-C33</f>
        <v>190260</v>
      </c>
      <c r="D34" s="363">
        <f>D22-D33</f>
        <v>85822</v>
      </c>
      <c r="E34" s="283" t="s">
        <v>68</v>
      </c>
    </row>
    <row r="35" spans="2:6" ht="15.75">
      <c r="B35" s="234" t="str">
        <f>CONCATENATE("",E$1-2,"/",E$1-1," Budget Authority Amount:")</f>
        <v>2010/2011 Budget Authority Amount:</v>
      </c>
      <c r="C35" s="226">
        <f>inputOth!B36</f>
        <v>200000</v>
      </c>
      <c r="D35" s="226">
        <f>inputPrYr!D19</f>
        <v>200000</v>
      </c>
      <c r="E35" s="283" t="s">
        <v>68</v>
      </c>
      <c r="F35" s="266"/>
    </row>
    <row r="36" spans="2:6" ht="15.75">
      <c r="B36" s="234"/>
      <c r="C36" s="521" t="s">
        <v>287</v>
      </c>
      <c r="D36" s="522"/>
      <c r="E36" s="62"/>
      <c r="F36" s="266">
        <f>IF(E33/0.95-E33&lt;E36,"Exceeds 5%","")</f>
      </c>
    </row>
    <row r="37" spans="2:5" ht="15.75">
      <c r="B37" s="427" t="str">
        <f>CONCATENATE(C89,"     ",D89)</f>
        <v>     </v>
      </c>
      <c r="C37" s="523" t="s">
        <v>288</v>
      </c>
      <c r="D37" s="524"/>
      <c r="E37" s="212">
        <f>E33+E36</f>
        <v>200000</v>
      </c>
    </row>
    <row r="38" spans="2:5" ht="15.75">
      <c r="B38" s="427" t="str">
        <f>CONCATENATE(C90,"     ",D90)</f>
        <v>     </v>
      </c>
      <c r="C38" s="267"/>
      <c r="D38" s="186" t="s">
        <v>97</v>
      </c>
      <c r="E38" s="70">
        <f>IF(E37-E22&gt;0,E37-E22,0)</f>
        <v>109300</v>
      </c>
    </row>
    <row r="39" spans="2:5" ht="15.75">
      <c r="B39" s="186"/>
      <c r="C39" s="425" t="s">
        <v>289</v>
      </c>
      <c r="D39" s="408">
        <f>inputOth!$E$24</f>
        <v>0.03</v>
      </c>
      <c r="E39" s="212">
        <f>ROUND(IF(D39&gt;0,($E$38*D39),0),0)</f>
        <v>3279</v>
      </c>
    </row>
    <row r="40" spans="2:5" ht="15.75">
      <c r="B40" s="35"/>
      <c r="C40" s="519" t="str">
        <f>CONCATENATE("Amount of  ",$E$1-1," Ad Valorem Tax")</f>
        <v>Amount of  2011 Ad Valorem Tax</v>
      </c>
      <c r="D40" s="520"/>
      <c r="E40" s="294">
        <f>E38+E39</f>
        <v>112579</v>
      </c>
    </row>
    <row r="41" spans="2:5" ht="15.75">
      <c r="B41" s="35"/>
      <c r="C41" s="273"/>
      <c r="D41" s="273"/>
      <c r="E41" s="273"/>
    </row>
    <row r="42" spans="2:5" ht="15.75">
      <c r="B42" s="34" t="s">
        <v>82</v>
      </c>
      <c r="C42" s="381" t="str">
        <f aca="true" t="shared" si="0" ref="C42:E43">C5</f>
        <v>Prior Year Actual</v>
      </c>
      <c r="D42" s="380" t="str">
        <f t="shared" si="0"/>
        <v>Current Year Estimate</v>
      </c>
      <c r="E42" s="382" t="str">
        <f t="shared" si="0"/>
        <v>Proposed Budget Year</v>
      </c>
    </row>
    <row r="43" spans="2:5" ht="15.75">
      <c r="B43" s="413" t="str">
        <f>(inputPrYr!B20)</f>
        <v>Noxious Weed</v>
      </c>
      <c r="C43" s="361">
        <f t="shared" si="0"/>
        <v>2010</v>
      </c>
      <c r="D43" s="361">
        <f t="shared" si="0"/>
        <v>2011</v>
      </c>
      <c r="E43" s="262">
        <f t="shared" si="0"/>
        <v>2012</v>
      </c>
    </row>
    <row r="44" spans="2:5" ht="15.75">
      <c r="B44" s="98" t="s">
        <v>208</v>
      </c>
      <c r="C44" s="358">
        <v>3814</v>
      </c>
      <c r="D44" s="362">
        <f>C72</f>
        <v>30761</v>
      </c>
      <c r="E44" s="212">
        <f>D72</f>
        <v>8947</v>
      </c>
    </row>
    <row r="45" spans="2:5" ht="15.75">
      <c r="B45" s="250" t="s">
        <v>210</v>
      </c>
      <c r="C45" s="252"/>
      <c r="D45" s="252"/>
      <c r="E45" s="77"/>
    </row>
    <row r="46" spans="2:5" ht="15.75">
      <c r="B46" s="98" t="s">
        <v>83</v>
      </c>
      <c r="C46" s="358">
        <v>69874</v>
      </c>
      <c r="D46" s="362">
        <v>39011</v>
      </c>
      <c r="E46" s="283" t="s">
        <v>68</v>
      </c>
    </row>
    <row r="47" spans="2:5" ht="15.75">
      <c r="B47" s="98" t="s">
        <v>84</v>
      </c>
      <c r="C47" s="358">
        <v>392</v>
      </c>
      <c r="D47" s="358">
        <v>400</v>
      </c>
      <c r="E47" s="62">
        <v>400</v>
      </c>
    </row>
    <row r="48" spans="2:5" ht="15.75">
      <c r="B48" s="98" t="s">
        <v>85</v>
      </c>
      <c r="C48" s="358">
        <v>2711</v>
      </c>
      <c r="D48" s="358">
        <v>5999</v>
      </c>
      <c r="E48" s="212">
        <f>mvalloc!D12</f>
        <v>3261</v>
      </c>
    </row>
    <row r="49" spans="2:5" ht="15.75">
      <c r="B49" s="98" t="s">
        <v>86</v>
      </c>
      <c r="C49" s="358"/>
      <c r="D49" s="358">
        <v>91</v>
      </c>
      <c r="E49" s="212">
        <f>mvalloc!E12</f>
        <v>52</v>
      </c>
    </row>
    <row r="50" spans="2:5" ht="15.75">
      <c r="B50" s="252" t="s">
        <v>159</v>
      </c>
      <c r="C50" s="358"/>
      <c r="D50" s="358">
        <v>899</v>
      </c>
      <c r="E50" s="212">
        <f>mvalloc!F12</f>
        <v>589</v>
      </c>
    </row>
    <row r="51" spans="2:5" ht="15.75">
      <c r="B51" s="252" t="s">
        <v>246</v>
      </c>
      <c r="C51" s="358"/>
      <c r="D51" s="358"/>
      <c r="E51" s="212">
        <f>mvalloc!G12</f>
        <v>0</v>
      </c>
    </row>
    <row r="52" spans="2:5" ht="15.75">
      <c r="B52" s="254" t="s">
        <v>373</v>
      </c>
      <c r="C52" s="358">
        <v>77</v>
      </c>
      <c r="D52" s="358">
        <v>63</v>
      </c>
      <c r="E52" s="62">
        <v>44</v>
      </c>
    </row>
    <row r="53" spans="2:5" ht="15.75">
      <c r="B53" s="254" t="s">
        <v>243</v>
      </c>
      <c r="C53" s="463">
        <v>-406</v>
      </c>
      <c r="D53" s="463">
        <v>-200</v>
      </c>
      <c r="E53" s="464">
        <v>-222</v>
      </c>
    </row>
    <row r="54" spans="2:5" ht="15.75">
      <c r="B54" s="254" t="s">
        <v>376</v>
      </c>
      <c r="C54" s="358">
        <v>11969</v>
      </c>
      <c r="D54" s="358">
        <v>12000</v>
      </c>
      <c r="E54" s="62">
        <v>12000</v>
      </c>
    </row>
    <row r="55" spans="2:5" ht="15.75">
      <c r="B55" s="264" t="s">
        <v>377</v>
      </c>
      <c r="C55" s="358">
        <v>10000</v>
      </c>
      <c r="D55" s="358"/>
      <c r="E55" s="62"/>
    </row>
    <row r="56" spans="2:5" ht="15.75">
      <c r="B56" s="255" t="s">
        <v>90</v>
      </c>
      <c r="C56" s="358"/>
      <c r="D56" s="358"/>
      <c r="E56" s="62"/>
    </row>
    <row r="57" spans="2:5" ht="15.75">
      <c r="B57" s="256" t="s">
        <v>43</v>
      </c>
      <c r="C57" s="358"/>
      <c r="D57" s="358"/>
      <c r="E57" s="62"/>
    </row>
    <row r="58" spans="2:5" ht="15.75">
      <c r="B58" s="256" t="s">
        <v>285</v>
      </c>
      <c r="C58" s="359">
        <f>IF(C59*0.1&lt;C57,"Exceed 10% Rule","")</f>
      </c>
      <c r="D58" s="359">
        <f>IF(D59*0.1&lt;D57,"Exceed 10% Rule","")</f>
      </c>
      <c r="E58" s="290">
        <f>IF(E59*0.1+E78&lt;E57,"Exceed 10% Rule","")</f>
      </c>
    </row>
    <row r="59" spans="2:5" ht="15.75">
      <c r="B59" s="258" t="s">
        <v>91</v>
      </c>
      <c r="C59" s="360">
        <f>SUM(C46:C57)</f>
        <v>94617</v>
      </c>
      <c r="D59" s="360">
        <f>SUM(D46:D57)</f>
        <v>58263</v>
      </c>
      <c r="E59" s="298">
        <f>SUM(E46:E57)</f>
        <v>16124</v>
      </c>
    </row>
    <row r="60" spans="2:5" ht="15.75">
      <c r="B60" s="258" t="s">
        <v>92</v>
      </c>
      <c r="C60" s="360">
        <f>C44+C59</f>
        <v>98431</v>
      </c>
      <c r="D60" s="360">
        <f>D44+D59</f>
        <v>89024</v>
      </c>
      <c r="E60" s="298">
        <f>E44+E59</f>
        <v>25071</v>
      </c>
    </row>
    <row r="61" spans="2:5" ht="15.75">
      <c r="B61" s="98" t="s">
        <v>95</v>
      </c>
      <c r="C61" s="256"/>
      <c r="D61" s="256"/>
      <c r="E61" s="58"/>
    </row>
    <row r="62" spans="2:5" ht="15.75">
      <c r="B62" s="60" t="s">
        <v>100</v>
      </c>
      <c r="C62" s="358">
        <v>36739</v>
      </c>
      <c r="D62" s="358">
        <v>39077</v>
      </c>
      <c r="E62" s="62">
        <v>37000</v>
      </c>
    </row>
    <row r="63" spans="2:5" ht="15.75">
      <c r="B63" s="60" t="s">
        <v>101</v>
      </c>
      <c r="C63" s="358">
        <v>4211</v>
      </c>
      <c r="D63" s="358">
        <v>6000</v>
      </c>
      <c r="E63" s="62">
        <v>6000</v>
      </c>
    </row>
    <row r="64" spans="2:5" ht="15.75">
      <c r="B64" s="60" t="s">
        <v>102</v>
      </c>
      <c r="C64" s="358">
        <v>26720</v>
      </c>
      <c r="D64" s="358">
        <v>35000</v>
      </c>
      <c r="E64" s="62">
        <v>35000</v>
      </c>
    </row>
    <row r="65" spans="2:5" ht="15.75">
      <c r="B65" s="255" t="s">
        <v>103</v>
      </c>
      <c r="C65" s="358"/>
      <c r="D65" s="358"/>
      <c r="E65" s="62"/>
    </row>
    <row r="66" spans="2:5" ht="15.75">
      <c r="B66" s="264"/>
      <c r="C66" s="358"/>
      <c r="D66" s="358"/>
      <c r="E66" s="62"/>
    </row>
    <row r="67" spans="2:5" ht="15.75">
      <c r="B67" s="264"/>
      <c r="C67" s="358"/>
      <c r="D67" s="358"/>
      <c r="E67" s="62"/>
    </row>
    <row r="68" spans="2:5" ht="15.75">
      <c r="B68" s="256" t="s">
        <v>45</v>
      </c>
      <c r="C68" s="358"/>
      <c r="D68" s="358"/>
      <c r="E68" s="70"/>
    </row>
    <row r="69" spans="2:5" ht="15.75">
      <c r="B69" s="256" t="s">
        <v>43</v>
      </c>
      <c r="C69" s="358"/>
      <c r="D69" s="358"/>
      <c r="E69" s="62"/>
    </row>
    <row r="70" spans="2:5" ht="15.75">
      <c r="B70" s="256" t="s">
        <v>284</v>
      </c>
      <c r="C70" s="359">
        <f>IF(C71*0.1&lt;C69,"Exceed 10% Rule","")</f>
      </c>
      <c r="D70" s="359">
        <f>IF(D71*0.1&lt;D69,"Exceed 10% Rule","")</f>
      </c>
      <c r="E70" s="290">
        <f>IF(E71*0.1&lt;E69,"Exceed 10% Rule","")</f>
      </c>
    </row>
    <row r="71" spans="2:5" ht="15.75">
      <c r="B71" s="258" t="s">
        <v>96</v>
      </c>
      <c r="C71" s="360">
        <f>SUM(C62:C69)</f>
        <v>67670</v>
      </c>
      <c r="D71" s="360">
        <f>SUM(D62:D69)</f>
        <v>80077</v>
      </c>
      <c r="E71" s="298">
        <f>SUM(E62:E69)</f>
        <v>78000</v>
      </c>
    </row>
    <row r="72" spans="2:5" ht="15.75">
      <c r="B72" s="98" t="s">
        <v>209</v>
      </c>
      <c r="C72" s="363">
        <f>C60-C71</f>
        <v>30761</v>
      </c>
      <c r="D72" s="363">
        <f>D60-D71</f>
        <v>8947</v>
      </c>
      <c r="E72" s="283" t="s">
        <v>68</v>
      </c>
    </row>
    <row r="73" spans="2:6" ht="15.75">
      <c r="B73" s="234" t="str">
        <f>CONCATENATE("",E$1-2,"/",E$1-1," Budget Authority Amount:")</f>
        <v>2010/2011 Budget Authority Amount:</v>
      </c>
      <c r="C73" s="226">
        <f>inputOth!B37</f>
        <v>96000</v>
      </c>
      <c r="D73" s="226">
        <f>inputPrYr!D20</f>
        <v>80077</v>
      </c>
      <c r="E73" s="283" t="s">
        <v>68</v>
      </c>
      <c r="F73" s="266"/>
    </row>
    <row r="74" spans="2:6" ht="15.75">
      <c r="B74" s="234"/>
      <c r="C74" s="521" t="s">
        <v>287</v>
      </c>
      <c r="D74" s="522"/>
      <c r="E74" s="62"/>
      <c r="F74" s="266">
        <f>IF(E71/0.95-E71&lt;E74,"Exceeds 5%","")</f>
      </c>
    </row>
    <row r="75" spans="2:5" ht="15.75">
      <c r="B75" s="426" t="str">
        <f>CONCATENATE(C91,"     ",D91)</f>
        <v>     </v>
      </c>
      <c r="C75" s="523" t="s">
        <v>288</v>
      </c>
      <c r="D75" s="524"/>
      <c r="E75" s="212">
        <f>E71+E74</f>
        <v>78000</v>
      </c>
    </row>
    <row r="76" spans="2:5" ht="15.75">
      <c r="B76" s="426" t="str">
        <f>CONCATENATE(C92,"     ",D92)</f>
        <v>     </v>
      </c>
      <c r="C76" s="267"/>
      <c r="D76" s="186" t="s">
        <v>97</v>
      </c>
      <c r="E76" s="70">
        <f>IF(E75-E60&gt;0,E75-E60,0)</f>
        <v>52929</v>
      </c>
    </row>
    <row r="77" spans="2:5" ht="15.75">
      <c r="B77" s="186"/>
      <c r="C77" s="425" t="s">
        <v>289</v>
      </c>
      <c r="D77" s="408">
        <f>inputOth!$E$24</f>
        <v>0.03</v>
      </c>
      <c r="E77" s="212">
        <f>ROUND(IF(D77&gt;0,($E$76*D77),0),0)</f>
        <v>1588</v>
      </c>
    </row>
    <row r="78" spans="2:5" ht="15.75">
      <c r="B78" s="35"/>
      <c r="C78" s="519" t="str">
        <f>CONCATENATE("Amount of  ",$E$1-1," Ad Valorem Tax")</f>
        <v>Amount of  2011 Ad Valorem Tax</v>
      </c>
      <c r="D78" s="520"/>
      <c r="E78" s="294">
        <f>E76+E77</f>
        <v>54517</v>
      </c>
    </row>
    <row r="79" spans="2:5" ht="15.75">
      <c r="B79" s="234" t="s">
        <v>118</v>
      </c>
      <c r="C79" s="295">
        <v>10</v>
      </c>
      <c r="D79" s="35"/>
      <c r="E79" s="35"/>
    </row>
    <row r="89" spans="3:4" ht="15.75" hidden="1">
      <c r="C89" s="32">
        <f>IF(C33&gt;C35,"See Tab A","")</f>
      </c>
      <c r="D89" s="32">
        <f>IF(D33&gt;D35,"See Tab C","")</f>
      </c>
    </row>
    <row r="90" spans="3:4" ht="15.75" hidden="1">
      <c r="C90" s="32">
        <f>IF(C34&lt;0,"See Tab B","")</f>
      </c>
      <c r="D90" s="32">
        <f>IF(D34&lt;0,"See Tab D","")</f>
      </c>
    </row>
    <row r="91" spans="3:4" ht="15.75" hidden="1">
      <c r="C91" s="32">
        <f>IF(C71&gt;C73,"See Tab A","")</f>
      </c>
      <c r="D91" s="32">
        <f>IF(D71&gt;D73,"See Tab C","")</f>
      </c>
    </row>
    <row r="92" spans="3:4" ht="15.75" hidden="1">
      <c r="C92" s="32">
        <f>IF(C72&lt;0,"See Tab B","")</f>
      </c>
      <c r="D92" s="32">
        <f>IF(D72&lt;0,"See Tab D","")</f>
      </c>
    </row>
  </sheetData>
  <sheetProtection/>
  <mergeCells count="6">
    <mergeCell ref="C78:D78"/>
    <mergeCell ref="C40:D40"/>
    <mergeCell ref="C36:D36"/>
    <mergeCell ref="C37:D37"/>
    <mergeCell ref="C74:D74"/>
    <mergeCell ref="C75:D75"/>
  </mergeCells>
  <conditionalFormatting sqref="E69">
    <cfRule type="cellIs" priority="4" dxfId="135" operator="greaterThan" stopIfTrue="1">
      <formula>$E$71*0.1</formula>
    </cfRule>
  </conditionalFormatting>
  <conditionalFormatting sqref="E74">
    <cfRule type="cellIs" priority="5" dxfId="135" operator="greaterThan" stopIfTrue="1">
      <formula>$E$71/0.95-$E$71</formula>
    </cfRule>
  </conditionalFormatting>
  <conditionalFormatting sqref="E36">
    <cfRule type="cellIs" priority="6" dxfId="135" operator="greaterThan" stopIfTrue="1">
      <formula>$E$33/0.95-$E$33</formula>
    </cfRule>
  </conditionalFormatting>
  <conditionalFormatting sqref="E31">
    <cfRule type="cellIs" priority="7" dxfId="135" operator="greaterThan" stopIfTrue="1">
      <formula>$E$33*0.1</formula>
    </cfRule>
  </conditionalFormatting>
  <conditionalFormatting sqref="C33">
    <cfRule type="cellIs" priority="8" dxfId="2" operator="greaterThan" stopIfTrue="1">
      <formula>$C$35</formula>
    </cfRule>
  </conditionalFormatting>
  <conditionalFormatting sqref="C72 C34">
    <cfRule type="cellIs" priority="9" dxfId="2" operator="lessThan" stopIfTrue="1">
      <formula>0</formula>
    </cfRule>
  </conditionalFormatting>
  <conditionalFormatting sqref="D33">
    <cfRule type="cellIs" priority="10" dxfId="2" operator="greaterThan" stopIfTrue="1">
      <formula>$D$35</formula>
    </cfRule>
  </conditionalFormatting>
  <conditionalFormatting sqref="C71">
    <cfRule type="cellIs" priority="11" dxfId="2" operator="greaterThan" stopIfTrue="1">
      <formula>$C$73</formula>
    </cfRule>
  </conditionalFormatting>
  <conditionalFormatting sqref="D71">
    <cfRule type="cellIs" priority="12" dxfId="2" operator="greaterThan" stopIfTrue="1">
      <formula>$D$73</formula>
    </cfRule>
  </conditionalFormatting>
  <conditionalFormatting sqref="C69">
    <cfRule type="cellIs" priority="13" dxfId="2" operator="greaterThan" stopIfTrue="1">
      <formula>$C$71*0.1</formula>
    </cfRule>
  </conditionalFormatting>
  <conditionalFormatting sqref="D69">
    <cfRule type="cellIs" priority="14" dxfId="2" operator="greaterThan" stopIfTrue="1">
      <formula>$D$71*0.1</formula>
    </cfRule>
  </conditionalFormatting>
  <conditionalFormatting sqref="E57">
    <cfRule type="cellIs" priority="15" dxfId="135" operator="greaterThan" stopIfTrue="1">
      <formula>$E$59*0.1+E78</formula>
    </cfRule>
  </conditionalFormatting>
  <conditionalFormatting sqref="C57">
    <cfRule type="cellIs" priority="16" dxfId="2" operator="greaterThan" stopIfTrue="1">
      <formula>$C$59*0.1</formula>
    </cfRule>
  </conditionalFormatting>
  <conditionalFormatting sqref="D57">
    <cfRule type="cellIs" priority="17" dxfId="2" operator="greaterThan" stopIfTrue="1">
      <formula>$D$59*0.1</formula>
    </cfRule>
  </conditionalFormatting>
  <conditionalFormatting sqref="C31">
    <cfRule type="cellIs" priority="18" dxfId="2" operator="greaterThan" stopIfTrue="1">
      <formula>$C$33*0.1</formula>
    </cfRule>
  </conditionalFormatting>
  <conditionalFormatting sqref="D31">
    <cfRule type="cellIs" priority="19" dxfId="2" operator="greaterThan" stopIfTrue="1">
      <formula>$D$33*0.1</formula>
    </cfRule>
  </conditionalFormatting>
  <conditionalFormatting sqref="E19">
    <cfRule type="cellIs" priority="20" dxfId="135" operator="greaterThan" stopIfTrue="1">
      <formula>$E$21*0.1+E40</formula>
    </cfRule>
  </conditionalFormatting>
  <conditionalFormatting sqref="C19">
    <cfRule type="cellIs" priority="21" dxfId="2" operator="greaterThan" stopIfTrue="1">
      <formula>$C$21*0.1</formula>
    </cfRule>
  </conditionalFormatting>
  <conditionalFormatting sqref="D19">
    <cfRule type="cellIs" priority="22" dxfId="2" operator="greaterThan" stopIfTrue="1">
      <formula>$D$21*0.1</formula>
    </cfRule>
  </conditionalFormatting>
  <conditionalFormatting sqref="D34">
    <cfRule type="cellIs" priority="2" dxfId="0" operator="lessThan" stopIfTrue="1">
      <formula>0</formula>
    </cfRule>
    <cfRule type="cellIs" priority="3" dxfId="0" operator="lessThan" stopIfTrue="1">
      <formula>0</formula>
    </cfRule>
  </conditionalFormatting>
  <conditionalFormatting sqref="D72">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58" r:id="rId1"/>
  <headerFooter alignWithMargins="0">
    <oddHeader>&amp;RState of Kansas
County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5"/>
  <sheetViews>
    <sheetView view="pageBreakPreview" zoomScale="108" zoomScaleSheetLayoutView="108" zoomScalePageLayoutView="0" workbookViewId="0" topLeftCell="A18">
      <selection activeCell="E32" sqref="E32"/>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74" t="str">
        <f>(inputPrYr!C2)</f>
        <v>LINCOLN COUNTY</v>
      </c>
      <c r="C1" s="35"/>
      <c r="D1" s="35"/>
      <c r="E1" s="233">
        <f>inputPrYr!C4</f>
        <v>2012</v>
      </c>
    </row>
    <row r="2" spans="2:5" ht="15.75">
      <c r="B2" s="35"/>
      <c r="C2" s="35"/>
      <c r="D2" s="35"/>
      <c r="E2" s="186"/>
    </row>
    <row r="3" spans="2:5" ht="15.75">
      <c r="B3" s="102" t="s">
        <v>166</v>
      </c>
      <c r="C3" s="279"/>
      <c r="D3" s="279"/>
      <c r="E3" s="280"/>
    </row>
    <row r="4" spans="2:5" ht="15.75">
      <c r="B4" s="35"/>
      <c r="C4" s="273"/>
      <c r="D4" s="273"/>
      <c r="E4" s="273"/>
    </row>
    <row r="5" spans="2:5" ht="15.75">
      <c r="B5" s="34" t="s">
        <v>82</v>
      </c>
      <c r="C5" s="381" t="str">
        <f>general!C4</f>
        <v>Prior Year Actual</v>
      </c>
      <c r="D5" s="380" t="str">
        <f>general!D4</f>
        <v>Current Year Estimate</v>
      </c>
      <c r="E5" s="382" t="str">
        <f>general!E4</f>
        <v>Proposed Budget Year</v>
      </c>
    </row>
    <row r="6" spans="2:5" ht="15.75">
      <c r="B6" s="414" t="str">
        <f>inputPrYr!B21</f>
        <v>Law Enforcement</v>
      </c>
      <c r="C6" s="361">
        <f>general!$C$5</f>
        <v>2010</v>
      </c>
      <c r="D6" s="361">
        <f>general!D5</f>
        <v>2011</v>
      </c>
      <c r="E6" s="249">
        <f>general!E5</f>
        <v>2012</v>
      </c>
    </row>
    <row r="7" spans="2:5" ht="15.75">
      <c r="B7" s="98" t="s">
        <v>208</v>
      </c>
      <c r="C7" s="358">
        <v>25020</v>
      </c>
      <c r="D7" s="362">
        <f>C36</f>
        <v>13205</v>
      </c>
      <c r="E7" s="212">
        <f>D36</f>
        <v>433</v>
      </c>
    </row>
    <row r="8" spans="2:5" ht="15.75">
      <c r="B8" s="237" t="s">
        <v>210</v>
      </c>
      <c r="C8" s="252"/>
      <c r="D8" s="252"/>
      <c r="E8" s="77"/>
    </row>
    <row r="9" spans="2:5" ht="15.75">
      <c r="B9" s="98" t="s">
        <v>83</v>
      </c>
      <c r="C9" s="358">
        <v>14572</v>
      </c>
      <c r="D9" s="362">
        <v>17638</v>
      </c>
      <c r="E9" s="283" t="s">
        <v>68</v>
      </c>
    </row>
    <row r="10" spans="2:5" ht="15.75">
      <c r="B10" s="98" t="s">
        <v>84</v>
      </c>
      <c r="C10" s="358">
        <v>249</v>
      </c>
      <c r="D10" s="358">
        <v>100</v>
      </c>
      <c r="E10" s="62">
        <v>100</v>
      </c>
    </row>
    <row r="11" spans="2:5" ht="15.75">
      <c r="B11" s="98" t="s">
        <v>85</v>
      </c>
      <c r="C11" s="358">
        <v>2463</v>
      </c>
      <c r="D11" s="358">
        <v>1251</v>
      </c>
      <c r="E11" s="212">
        <f>mvalloc!D13</f>
        <v>1475</v>
      </c>
    </row>
    <row r="12" spans="2:5" ht="15.75">
      <c r="B12" s="98" t="s">
        <v>86</v>
      </c>
      <c r="C12" s="358"/>
      <c r="D12" s="358">
        <v>19</v>
      </c>
      <c r="E12" s="212">
        <f>mvalloc!E13</f>
        <v>23</v>
      </c>
    </row>
    <row r="13" spans="2:5" ht="15.75">
      <c r="B13" s="252" t="s">
        <v>159</v>
      </c>
      <c r="C13" s="358"/>
      <c r="D13" s="358">
        <v>187</v>
      </c>
      <c r="E13" s="212">
        <f>mvalloc!F13</f>
        <v>266</v>
      </c>
    </row>
    <row r="14" spans="2:5" ht="15.75">
      <c r="B14" s="252" t="s">
        <v>246</v>
      </c>
      <c r="C14" s="358"/>
      <c r="D14" s="358"/>
      <c r="E14" s="212">
        <f>mvalloc!G13</f>
        <v>0</v>
      </c>
    </row>
    <row r="15" spans="2:5" ht="15.75">
      <c r="B15" s="254" t="s">
        <v>373</v>
      </c>
      <c r="C15" s="358">
        <v>16</v>
      </c>
      <c r="D15" s="358">
        <v>13</v>
      </c>
      <c r="E15" s="62">
        <v>20</v>
      </c>
    </row>
    <row r="16" spans="2:5" ht="15.75">
      <c r="B16" s="254" t="s">
        <v>243</v>
      </c>
      <c r="C16" s="463">
        <v>-85</v>
      </c>
      <c r="D16" s="463">
        <v>-180</v>
      </c>
      <c r="E16" s="464">
        <v>-100</v>
      </c>
    </row>
    <row r="17" spans="2:5" ht="15.75">
      <c r="B17" s="254" t="s">
        <v>419</v>
      </c>
      <c r="C17" s="358">
        <v>240</v>
      </c>
      <c r="D17" s="358">
        <v>200</v>
      </c>
      <c r="E17" s="62">
        <v>200</v>
      </c>
    </row>
    <row r="18" spans="2:5" ht="15.75">
      <c r="B18" s="254"/>
      <c r="C18" s="358"/>
      <c r="D18" s="358"/>
      <c r="E18" s="62"/>
    </row>
    <row r="19" spans="2:5" ht="15.75">
      <c r="B19" s="264"/>
      <c r="C19" s="358"/>
      <c r="D19" s="358"/>
      <c r="E19" s="62"/>
    </row>
    <row r="20" spans="2:5" ht="15.75">
      <c r="B20" s="255" t="s">
        <v>90</v>
      </c>
      <c r="C20" s="358"/>
      <c r="D20" s="358"/>
      <c r="E20" s="62"/>
    </row>
    <row r="21" spans="2:5" ht="15.75">
      <c r="B21" s="256" t="s">
        <v>43</v>
      </c>
      <c r="C21" s="358"/>
      <c r="D21" s="358"/>
      <c r="E21" s="62"/>
    </row>
    <row r="22" spans="2:5" ht="15.75">
      <c r="B22" s="256" t="s">
        <v>285</v>
      </c>
      <c r="C22" s="359">
        <f>IF(C23*0.1&lt;C21,"Exceed 10% Rule","")</f>
      </c>
      <c r="D22" s="359">
        <f>IF(D23*0.1&lt;D21,"Exceed 10% Rule","")</f>
      </c>
      <c r="E22" s="290">
        <f>IF(E23*0.1+E42&lt;E21,"Exceed 10% Rule","")</f>
      </c>
    </row>
    <row r="23" spans="2:5" ht="15.75">
      <c r="B23" s="258" t="s">
        <v>91</v>
      </c>
      <c r="C23" s="360">
        <f>SUM(C9:C21)</f>
        <v>17455</v>
      </c>
      <c r="D23" s="360">
        <f>SUM(D9:D21)</f>
        <v>19228</v>
      </c>
      <c r="E23" s="298">
        <f>SUM(E9:E21)</f>
        <v>1984</v>
      </c>
    </row>
    <row r="24" spans="2:5" ht="15.75">
      <c r="B24" s="258" t="s">
        <v>92</v>
      </c>
      <c r="C24" s="360">
        <f>C7+C23</f>
        <v>42475</v>
      </c>
      <c r="D24" s="360">
        <f>D7+D23</f>
        <v>32433</v>
      </c>
      <c r="E24" s="298">
        <f>E7+E23</f>
        <v>2417</v>
      </c>
    </row>
    <row r="25" spans="2:5" ht="15.75">
      <c r="B25" s="98" t="s">
        <v>95</v>
      </c>
      <c r="C25" s="256"/>
      <c r="D25" s="256"/>
      <c r="E25" s="58"/>
    </row>
    <row r="26" spans="2:5" ht="15.75">
      <c r="B26" s="60" t="s">
        <v>100</v>
      </c>
      <c r="C26" s="358"/>
      <c r="D26" s="358"/>
      <c r="E26" s="62"/>
    </row>
    <row r="27" spans="2:5" ht="15.75">
      <c r="B27" s="60" t="s">
        <v>101</v>
      </c>
      <c r="C27" s="358">
        <v>120</v>
      </c>
      <c r="D27" s="358"/>
      <c r="E27" s="62"/>
    </row>
    <row r="28" spans="2:5" ht="15.75">
      <c r="B28" s="60" t="s">
        <v>102</v>
      </c>
      <c r="C28" s="358"/>
      <c r="D28" s="358"/>
      <c r="E28" s="62"/>
    </row>
    <row r="29" spans="2:5" ht="15.75">
      <c r="B29" s="255" t="s">
        <v>103</v>
      </c>
      <c r="C29" s="358">
        <v>29150</v>
      </c>
      <c r="D29" s="358">
        <v>32000</v>
      </c>
      <c r="E29" s="62">
        <v>37000</v>
      </c>
    </row>
    <row r="30" spans="2:5" ht="15.75">
      <c r="B30" s="264"/>
      <c r="C30" s="358"/>
      <c r="D30" s="358"/>
      <c r="E30" s="62"/>
    </row>
    <row r="31" spans="2:5" ht="15.75">
      <c r="B31" s="264"/>
      <c r="C31" s="358"/>
      <c r="D31" s="358"/>
      <c r="E31" s="62"/>
    </row>
    <row r="32" spans="2:5" ht="15.75">
      <c r="B32" s="256" t="s">
        <v>45</v>
      </c>
      <c r="C32" s="358"/>
      <c r="D32" s="358"/>
      <c r="E32" s="70"/>
    </row>
    <row r="33" spans="2:5" ht="15.75">
      <c r="B33" s="256" t="s">
        <v>43</v>
      </c>
      <c r="C33" s="358"/>
      <c r="D33" s="358"/>
      <c r="E33" s="62"/>
    </row>
    <row r="34" spans="2:5" ht="15.75">
      <c r="B34" s="256" t="s">
        <v>284</v>
      </c>
      <c r="C34" s="359">
        <f>IF(C35*0.1&lt;C33,"Exceed 10% Rule","")</f>
      </c>
      <c r="D34" s="359">
        <f>IF(D35*0.1&lt;D33,"Exceed 10% Rule","")</f>
      </c>
      <c r="E34" s="290">
        <f>IF(E35*0.1&lt;E33,"Exceed 10% Rule","")</f>
      </c>
    </row>
    <row r="35" spans="2:5" ht="15.75">
      <c r="B35" s="258" t="s">
        <v>96</v>
      </c>
      <c r="C35" s="360">
        <f>SUM(C26:C33)</f>
        <v>29270</v>
      </c>
      <c r="D35" s="360">
        <f>SUM(D26:D33)</f>
        <v>32000</v>
      </c>
      <c r="E35" s="298">
        <f>SUM(E26:E33)</f>
        <v>37000</v>
      </c>
    </row>
    <row r="36" spans="2:5" ht="15.75">
      <c r="B36" s="98" t="s">
        <v>209</v>
      </c>
      <c r="C36" s="363">
        <f>C24-C35</f>
        <v>13205</v>
      </c>
      <c r="D36" s="363">
        <f>D24-D35</f>
        <v>433</v>
      </c>
      <c r="E36" s="283" t="s">
        <v>68</v>
      </c>
    </row>
    <row r="37" spans="2:6" ht="15.75">
      <c r="B37" s="234" t="str">
        <f>CONCATENATE("",E$1-2,"/",E$1-1," Budget Authority Amount:")</f>
        <v>2010/2011 Budget Authority Amount:</v>
      </c>
      <c r="C37" s="226">
        <f>inputOth!B38</f>
        <v>32000</v>
      </c>
      <c r="D37" s="226">
        <f>inputPrYr!D21</f>
        <v>32000</v>
      </c>
      <c r="E37" s="283" t="s">
        <v>68</v>
      </c>
      <c r="F37" s="266"/>
    </row>
    <row r="38" spans="2:6" ht="15.75">
      <c r="B38" s="234"/>
      <c r="C38" s="521" t="s">
        <v>287</v>
      </c>
      <c r="D38" s="522"/>
      <c r="E38" s="240"/>
      <c r="F38" s="266">
        <f>IF(E35/0.95-E35&lt;E38,"Exceeds 5%","")</f>
      </c>
    </row>
    <row r="39" spans="2:5" ht="15.75">
      <c r="B39" s="427" t="str">
        <f>CONCATENATE(C92,"     ",D92)</f>
        <v>     </v>
      </c>
      <c r="C39" s="523" t="s">
        <v>288</v>
      </c>
      <c r="D39" s="524"/>
      <c r="E39" s="212">
        <f>E35+E38</f>
        <v>37000</v>
      </c>
    </row>
    <row r="40" spans="2:5" ht="15.75">
      <c r="B40" s="427" t="str">
        <f>CONCATENATE(C93,"     ",D93)</f>
        <v>     </v>
      </c>
      <c r="C40" s="267"/>
      <c r="D40" s="186" t="s">
        <v>97</v>
      </c>
      <c r="E40" s="70">
        <f>IF(E39-E24&gt;0,E39-E24,0)</f>
        <v>34583</v>
      </c>
    </row>
    <row r="41" spans="2:5" ht="15.75">
      <c r="B41" s="186"/>
      <c r="C41" s="425" t="s">
        <v>289</v>
      </c>
      <c r="D41" s="408">
        <f>inputOth!$E$24</f>
        <v>0.03</v>
      </c>
      <c r="E41" s="212">
        <f>ROUND(IF(D41&gt;0,($E$40*D41),0),0)</f>
        <v>1037</v>
      </c>
    </row>
    <row r="42" spans="2:5" ht="15.75">
      <c r="B42" s="35"/>
      <c r="C42" s="519" t="str">
        <f>CONCATENATE("Amount of  ",$E$1-1," Ad Valorem Tax")</f>
        <v>Amount of  2011 Ad Valorem Tax</v>
      </c>
      <c r="D42" s="520"/>
      <c r="E42" s="294">
        <f>E40+E41</f>
        <v>35620</v>
      </c>
    </row>
    <row r="43" spans="2:5" ht="15.75">
      <c r="B43" s="34" t="s">
        <v>82</v>
      </c>
      <c r="C43" s="273"/>
      <c r="D43" s="273"/>
      <c r="E43" s="273"/>
    </row>
    <row r="44" spans="2:5" ht="15.75">
      <c r="B44" s="35"/>
      <c r="C44" s="381" t="str">
        <f aca="true" t="shared" si="0" ref="C44:E45">C5</f>
        <v>Prior Year Actual</v>
      </c>
      <c r="D44" s="380" t="str">
        <f t="shared" si="0"/>
        <v>Current Year Estimate</v>
      </c>
      <c r="E44" s="382" t="str">
        <f t="shared" si="0"/>
        <v>Proposed Budget Year</v>
      </c>
    </row>
    <row r="45" spans="2:5" ht="15.75">
      <c r="B45" s="413" t="str">
        <f>inputPrYr!B22</f>
        <v>County Health</v>
      </c>
      <c r="C45" s="361">
        <f t="shared" si="0"/>
        <v>2010</v>
      </c>
      <c r="D45" s="361">
        <f t="shared" si="0"/>
        <v>2011</v>
      </c>
      <c r="E45" s="249">
        <f t="shared" si="0"/>
        <v>2012</v>
      </c>
    </row>
    <row r="46" spans="2:5" ht="15.75">
      <c r="B46" s="98" t="s">
        <v>208</v>
      </c>
      <c r="C46" s="358">
        <v>6610</v>
      </c>
      <c r="D46" s="362">
        <f>C75</f>
        <v>42379</v>
      </c>
      <c r="E46" s="212">
        <f>D75</f>
        <v>31228</v>
      </c>
    </row>
    <row r="47" spans="2:5" ht="15.75">
      <c r="B47" s="250" t="s">
        <v>210</v>
      </c>
      <c r="C47" s="252"/>
      <c r="D47" s="252"/>
      <c r="E47" s="77"/>
    </row>
    <row r="48" spans="2:5" ht="15.75">
      <c r="B48" s="98" t="s">
        <v>83</v>
      </c>
      <c r="C48" s="358">
        <v>94979</v>
      </c>
      <c r="D48" s="362">
        <v>91972</v>
      </c>
      <c r="E48" s="283" t="s">
        <v>68</v>
      </c>
    </row>
    <row r="49" spans="2:5" ht="15.75">
      <c r="B49" s="98" t="s">
        <v>84</v>
      </c>
      <c r="C49" s="358">
        <v>873</v>
      </c>
      <c r="D49" s="358">
        <v>1000</v>
      </c>
      <c r="E49" s="62">
        <v>1000</v>
      </c>
    </row>
    <row r="50" spans="2:5" ht="15.75">
      <c r="B50" s="98" t="s">
        <v>85</v>
      </c>
      <c r="C50" s="358">
        <v>7700</v>
      </c>
      <c r="D50" s="358">
        <v>8154</v>
      </c>
      <c r="E50" s="212">
        <f>mvalloc!D14</f>
        <v>7689</v>
      </c>
    </row>
    <row r="51" spans="2:5" ht="15.75">
      <c r="B51" s="98" t="s">
        <v>86</v>
      </c>
      <c r="C51" s="358"/>
      <c r="D51" s="358">
        <v>123</v>
      </c>
      <c r="E51" s="212">
        <f>mvalloc!E14</f>
        <v>122</v>
      </c>
    </row>
    <row r="52" spans="2:5" ht="15.75">
      <c r="B52" s="252" t="s">
        <v>159</v>
      </c>
      <c r="C52" s="358"/>
      <c r="D52" s="358">
        <v>1222</v>
      </c>
      <c r="E52" s="212">
        <f>mvalloc!F14</f>
        <v>1388</v>
      </c>
    </row>
    <row r="53" spans="2:5" ht="15.75">
      <c r="B53" s="252" t="s">
        <v>246</v>
      </c>
      <c r="C53" s="358"/>
      <c r="D53" s="358"/>
      <c r="E53" s="212">
        <f>mvalloc!G14</f>
        <v>0</v>
      </c>
    </row>
    <row r="54" spans="2:5" ht="15.75">
      <c r="B54" s="254" t="s">
        <v>373</v>
      </c>
      <c r="C54" s="358">
        <v>105</v>
      </c>
      <c r="D54" s="358">
        <v>85</v>
      </c>
      <c r="E54" s="62">
        <v>104</v>
      </c>
    </row>
    <row r="55" spans="2:5" ht="15.75">
      <c r="B55" s="254" t="s">
        <v>243</v>
      </c>
      <c r="C55" s="463">
        <v>-551</v>
      </c>
      <c r="D55" s="463">
        <v>-500</v>
      </c>
      <c r="E55" s="464">
        <v>-523</v>
      </c>
    </row>
    <row r="56" spans="2:5" ht="15.75">
      <c r="B56" s="254" t="s">
        <v>378</v>
      </c>
      <c r="C56" s="358">
        <v>15000</v>
      </c>
      <c r="D56" s="358">
        <v>15000</v>
      </c>
      <c r="E56" s="62">
        <v>15000</v>
      </c>
    </row>
    <row r="57" spans="2:5" ht="15.75">
      <c r="B57" s="254" t="s">
        <v>379</v>
      </c>
      <c r="C57" s="358">
        <v>30000</v>
      </c>
      <c r="D57" s="358"/>
      <c r="E57" s="62"/>
    </row>
    <row r="58" spans="2:5" ht="15.75">
      <c r="B58" s="264" t="s">
        <v>380</v>
      </c>
      <c r="C58" s="358">
        <v>133020</v>
      </c>
      <c r="D58" s="358">
        <v>118493</v>
      </c>
      <c r="E58" s="62">
        <v>115403</v>
      </c>
    </row>
    <row r="59" spans="2:5" ht="15.75">
      <c r="B59" s="255" t="s">
        <v>90</v>
      </c>
      <c r="C59" s="358"/>
      <c r="D59" s="358"/>
      <c r="E59" s="62"/>
    </row>
    <row r="60" spans="2:5" ht="15.75">
      <c r="B60" s="256" t="s">
        <v>43</v>
      </c>
      <c r="C60" s="358"/>
      <c r="D60" s="358"/>
      <c r="E60" s="62"/>
    </row>
    <row r="61" spans="2:5" ht="15.75">
      <c r="B61" s="256" t="s">
        <v>285</v>
      </c>
      <c r="C61" s="359">
        <f>IF(C62*0.1&lt;C60,"Exceed 10% Rule","")</f>
      </c>
      <c r="D61" s="359">
        <f>IF(D62*0.1&lt;D60,"Exceed 10% Rule","")</f>
      </c>
      <c r="E61" s="290">
        <f>IF(E62*0.1+E81&lt;E60,"Exceed 10% Rule","")</f>
      </c>
    </row>
    <row r="62" spans="2:5" ht="15.75">
      <c r="B62" s="258" t="s">
        <v>91</v>
      </c>
      <c r="C62" s="360">
        <f>SUM(C48:C60)</f>
        <v>281126</v>
      </c>
      <c r="D62" s="360">
        <f>SUM(D48:D60)</f>
        <v>235549</v>
      </c>
      <c r="E62" s="298">
        <f>SUM(E49:E60)</f>
        <v>140183</v>
      </c>
    </row>
    <row r="63" spans="2:5" ht="15.75">
      <c r="B63" s="258" t="s">
        <v>92</v>
      </c>
      <c r="C63" s="360">
        <f>C46+C62</f>
        <v>287736</v>
      </c>
      <c r="D63" s="360">
        <f>D46+D62</f>
        <v>277928</v>
      </c>
      <c r="E63" s="298">
        <f>E46+E62</f>
        <v>171411</v>
      </c>
    </row>
    <row r="64" spans="2:5" ht="15.75">
      <c r="B64" s="98" t="s">
        <v>95</v>
      </c>
      <c r="C64" s="256"/>
      <c r="D64" s="256"/>
      <c r="E64" s="58"/>
    </row>
    <row r="65" spans="2:5" ht="15.75">
      <c r="B65" s="60" t="s">
        <v>100</v>
      </c>
      <c r="C65" s="358">
        <v>173548</v>
      </c>
      <c r="D65" s="358">
        <v>183650</v>
      </c>
      <c r="E65" s="62">
        <v>183483</v>
      </c>
    </row>
    <row r="66" spans="2:5" ht="15.75">
      <c r="B66" s="60" t="s">
        <v>101</v>
      </c>
      <c r="C66" s="358">
        <v>59594</v>
      </c>
      <c r="D66" s="358">
        <v>47200</v>
      </c>
      <c r="E66" s="62">
        <v>64100</v>
      </c>
    </row>
    <row r="67" spans="2:5" ht="15.75">
      <c r="B67" s="60" t="s">
        <v>102</v>
      </c>
      <c r="C67" s="358">
        <v>12215</v>
      </c>
      <c r="D67" s="358">
        <v>15850</v>
      </c>
      <c r="E67" s="62">
        <v>15800</v>
      </c>
    </row>
    <row r="68" spans="2:5" ht="15.75">
      <c r="B68" s="255" t="s">
        <v>103</v>
      </c>
      <c r="C68" s="358"/>
      <c r="D68" s="358"/>
      <c r="E68" s="62"/>
    </row>
    <row r="69" spans="2:5" ht="15.75">
      <c r="B69" s="264"/>
      <c r="C69" s="358"/>
      <c r="D69" s="358"/>
      <c r="E69" s="62"/>
    </row>
    <row r="70" spans="2:5" ht="15.75">
      <c r="B70" s="264"/>
      <c r="C70" s="358"/>
      <c r="D70" s="358"/>
      <c r="E70" s="62"/>
    </row>
    <row r="71" spans="2:5" ht="15.75">
      <c r="B71" s="256" t="s">
        <v>45</v>
      </c>
      <c r="C71" s="358"/>
      <c r="D71" s="358"/>
      <c r="E71" s="70"/>
    </row>
    <row r="72" spans="2:5" ht="15.75">
      <c r="B72" s="256" t="s">
        <v>43</v>
      </c>
      <c r="C72" s="358"/>
      <c r="D72" s="358"/>
      <c r="E72" s="62"/>
    </row>
    <row r="73" spans="2:5" ht="15.75">
      <c r="B73" s="256" t="s">
        <v>284</v>
      </c>
      <c r="C73" s="359">
        <f>IF(C74*0.1&lt;C72,"Exceed 10% Rule","")</f>
      </c>
      <c r="D73" s="359">
        <f>IF(D74*0.1&lt;D72,"Exceed 10% Rule","")</f>
      </c>
      <c r="E73" s="290">
        <f>IF(E74*0.1&lt;E72,"Exceed 10% Rule","")</f>
      </c>
    </row>
    <row r="74" spans="2:5" ht="15.75">
      <c r="B74" s="258" t="s">
        <v>96</v>
      </c>
      <c r="C74" s="360">
        <f>SUM(C65:C72)</f>
        <v>245357</v>
      </c>
      <c r="D74" s="360">
        <f>SUM(D65:D72)</f>
        <v>246700</v>
      </c>
      <c r="E74" s="298">
        <f>SUM(E65:E72)</f>
        <v>263383</v>
      </c>
    </row>
    <row r="75" spans="2:5" ht="15.75">
      <c r="B75" s="98" t="s">
        <v>209</v>
      </c>
      <c r="C75" s="363">
        <f>C63-C74</f>
        <v>42379</v>
      </c>
      <c r="D75" s="363">
        <f>D63-D74</f>
        <v>31228</v>
      </c>
      <c r="E75" s="283" t="s">
        <v>68</v>
      </c>
    </row>
    <row r="76" spans="2:6" ht="15.75">
      <c r="B76" s="234" t="str">
        <f>CONCATENATE("",E$1-2,"/",E$1-1," Budget Authority Amount:")</f>
        <v>2010/2011 Budget Authority Amount:</v>
      </c>
      <c r="C76" s="226">
        <f>inputOth!B39</f>
        <v>252986</v>
      </c>
      <c r="D76" s="226">
        <f>inputPrYr!D22</f>
        <v>246700</v>
      </c>
      <c r="E76" s="283" t="s">
        <v>68</v>
      </c>
      <c r="F76" s="266"/>
    </row>
    <row r="77" spans="2:6" ht="15.75">
      <c r="B77" s="234"/>
      <c r="C77" s="521" t="s">
        <v>287</v>
      </c>
      <c r="D77" s="522"/>
      <c r="E77" s="62"/>
      <c r="F77" s="266">
        <f>IF(E74/0.95-E74&lt;E77,"Exceeds 5%","")</f>
      </c>
    </row>
    <row r="78" spans="2:5" ht="15.75">
      <c r="B78" s="426" t="str">
        <f>CONCATENATE(C94,"     ",D94)</f>
        <v>     </v>
      </c>
      <c r="C78" s="523" t="s">
        <v>288</v>
      </c>
      <c r="D78" s="524"/>
      <c r="E78" s="212">
        <f>E74+E77</f>
        <v>263383</v>
      </c>
    </row>
    <row r="79" spans="2:5" ht="15.75">
      <c r="B79" s="426" t="str">
        <f>CONCATENATE(C95,"     ",D95)</f>
        <v>     </v>
      </c>
      <c r="C79" s="267"/>
      <c r="D79" s="186" t="s">
        <v>97</v>
      </c>
      <c r="E79" s="70">
        <f>IF(E78-E63&gt;0,E78-E63,0)</f>
        <v>91972</v>
      </c>
    </row>
    <row r="80" spans="2:5" ht="15.75">
      <c r="B80" s="186"/>
      <c r="C80" s="425" t="s">
        <v>289</v>
      </c>
      <c r="D80" s="408">
        <f>inputOth!$E$24</f>
        <v>0.03</v>
      </c>
      <c r="E80" s="212">
        <f>ROUND(IF(D80&gt;0,($E$79*D80),0),0)</f>
        <v>2759</v>
      </c>
    </row>
    <row r="81" spans="2:5" ht="15.75">
      <c r="B81" s="35"/>
      <c r="C81" s="519" t="str">
        <f>CONCATENATE("Amount of  ",$E$1-1," Ad Valorem Tax")</f>
        <v>Amount of  2011 Ad Valorem Tax</v>
      </c>
      <c r="D81" s="520"/>
      <c r="E81" s="294">
        <f>E79+E80</f>
        <v>94731</v>
      </c>
    </row>
    <row r="82" spans="2:5" ht="15.75">
      <c r="B82" s="234" t="s">
        <v>118</v>
      </c>
      <c r="C82" s="295">
        <v>11</v>
      </c>
      <c r="D82" s="35"/>
      <c r="E82" s="35"/>
    </row>
    <row r="92" spans="3:4" ht="15.75" hidden="1">
      <c r="C92" s="32">
        <f>IF(C35&gt;C37,"See Tab A","")</f>
      </c>
      <c r="D92" s="32">
        <f>IF(D35&gt;D37,"See Tab C","")</f>
      </c>
    </row>
    <row r="93" spans="3:4" ht="15.75" hidden="1">
      <c r="C93" s="32">
        <f>IF(C36&lt;0,"See Tab B","")</f>
      </c>
      <c r="D93" s="32">
        <f>IF(D36&lt;0,"See Tab D","")</f>
      </c>
    </row>
    <row r="94" spans="3:4" ht="15.75" hidden="1">
      <c r="C94" s="32">
        <f>IF(C74&gt;C76,"See Tab A","")</f>
      </c>
      <c r="D94" s="32">
        <f>IF(D74&gt;D76,"See Tab C","")</f>
      </c>
    </row>
    <row r="95" spans="3:4" ht="15.75" hidden="1">
      <c r="C95" s="32">
        <f>IF(C75&lt;0,"See Tab B","")</f>
      </c>
      <c r="D95" s="32">
        <f>IF(D75&lt;0,"See Tab D","")</f>
      </c>
    </row>
  </sheetData>
  <sheetProtection/>
  <mergeCells count="6">
    <mergeCell ref="C81:D81"/>
    <mergeCell ref="C42:D42"/>
    <mergeCell ref="C38:D38"/>
    <mergeCell ref="C39:D39"/>
    <mergeCell ref="C77:D77"/>
    <mergeCell ref="C78:D78"/>
  </mergeCells>
  <conditionalFormatting sqref="E72">
    <cfRule type="cellIs" priority="3" dxfId="135" operator="greaterThan" stopIfTrue="1">
      <formula>$E$74*0.1</formula>
    </cfRule>
  </conditionalFormatting>
  <conditionalFormatting sqref="E77">
    <cfRule type="cellIs" priority="4" dxfId="135" operator="greaterThan" stopIfTrue="1">
      <formula>$E$74/0.95-$E$74</formula>
    </cfRule>
  </conditionalFormatting>
  <conditionalFormatting sqref="E38">
    <cfRule type="cellIs" priority="5" dxfId="135" operator="greaterThan" stopIfTrue="1">
      <formula>$E$35/0.95-$E$35</formula>
    </cfRule>
  </conditionalFormatting>
  <conditionalFormatting sqref="E33">
    <cfRule type="cellIs" priority="6" dxfId="135" operator="greaterThan" stopIfTrue="1">
      <formula>$E$35*0.1</formula>
    </cfRule>
  </conditionalFormatting>
  <conditionalFormatting sqref="C35">
    <cfRule type="cellIs" priority="7" dxfId="2" operator="greaterThan" stopIfTrue="1">
      <formula>$C$37</formula>
    </cfRule>
  </conditionalFormatting>
  <conditionalFormatting sqref="C75 C36">
    <cfRule type="cellIs" priority="8" dxfId="2" operator="lessThan" stopIfTrue="1">
      <formula>0</formula>
    </cfRule>
  </conditionalFormatting>
  <conditionalFormatting sqref="D35">
    <cfRule type="cellIs" priority="9" dxfId="2" operator="greaterThan" stopIfTrue="1">
      <formula>$D$37</formula>
    </cfRule>
  </conditionalFormatting>
  <conditionalFormatting sqref="C74">
    <cfRule type="cellIs" priority="10" dxfId="2" operator="greaterThan" stopIfTrue="1">
      <formula>$C$76</formula>
    </cfRule>
  </conditionalFormatting>
  <conditionalFormatting sqref="D74">
    <cfRule type="cellIs" priority="11" dxfId="2" operator="greaterThan" stopIfTrue="1">
      <formula>$D$76</formula>
    </cfRule>
  </conditionalFormatting>
  <conditionalFormatting sqref="C72">
    <cfRule type="cellIs" priority="12" dxfId="2" operator="greaterThan" stopIfTrue="1">
      <formula>$C$74*0.1</formula>
    </cfRule>
  </conditionalFormatting>
  <conditionalFormatting sqref="D72">
    <cfRule type="cellIs" priority="13" dxfId="2" operator="greaterThan" stopIfTrue="1">
      <formula>$D$74*0.1</formula>
    </cfRule>
  </conditionalFormatting>
  <conditionalFormatting sqref="E60">
    <cfRule type="cellIs" priority="14" dxfId="135" operator="greaterThan" stopIfTrue="1">
      <formula>$E$62*0.1+E81</formula>
    </cfRule>
  </conditionalFormatting>
  <conditionalFormatting sqref="C60">
    <cfRule type="cellIs" priority="15" dxfId="2" operator="greaterThan" stopIfTrue="1">
      <formula>$C$62*0.1</formula>
    </cfRule>
  </conditionalFormatting>
  <conditionalFormatting sqref="D60">
    <cfRule type="cellIs" priority="16" dxfId="2" operator="greaterThan" stopIfTrue="1">
      <formula>$D$62*0.1</formula>
    </cfRule>
  </conditionalFormatting>
  <conditionalFormatting sqref="C33">
    <cfRule type="cellIs" priority="17" dxfId="2" operator="greaterThan" stopIfTrue="1">
      <formula>$C$35*0.1</formula>
    </cfRule>
  </conditionalFormatting>
  <conditionalFormatting sqref="D33">
    <cfRule type="cellIs" priority="18" dxfId="2" operator="greaterThan" stopIfTrue="1">
      <formula>$D$35*0.1</formula>
    </cfRule>
  </conditionalFormatting>
  <conditionalFormatting sqref="E21">
    <cfRule type="cellIs" priority="19" dxfId="135" operator="greaterThan" stopIfTrue="1">
      <formula>$E$23*0.1+E42</formula>
    </cfRule>
  </conditionalFormatting>
  <conditionalFormatting sqref="C21">
    <cfRule type="cellIs" priority="20" dxfId="2" operator="greaterThan" stopIfTrue="1">
      <formula>$C$23*0.1</formula>
    </cfRule>
  </conditionalFormatting>
  <conditionalFormatting sqref="D21">
    <cfRule type="cellIs" priority="21" dxfId="2" operator="greaterThan" stopIfTrue="1">
      <formula>$D$23*0.1</formula>
    </cfRule>
  </conditionalFormatting>
  <conditionalFormatting sqref="D36 D75">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view="pageBreakPreview" zoomScale="97" zoomScaleSheetLayoutView="97" zoomScalePageLayoutView="0" workbookViewId="0" topLeftCell="A62">
      <selection activeCell="E78" sqref="E78"/>
    </sheetView>
  </sheetViews>
  <sheetFormatPr defaultColWidth="8.796875" defaultRowHeight="15"/>
  <cols>
    <col min="1" max="1" width="2.3984375" style="32" customWidth="1"/>
    <col min="2" max="2" width="31.09765625" style="32" customWidth="1"/>
    <col min="3" max="4" width="15.796875" style="32" customWidth="1"/>
    <col min="5" max="5" width="16.19921875" style="32" customWidth="1"/>
    <col min="6" max="16384" width="8.8984375" style="32" customWidth="1"/>
  </cols>
  <sheetData>
    <row r="1" spans="2:5" ht="15.75">
      <c r="B1" s="174" t="str">
        <f>(inputPrYr!C2)</f>
        <v>LINCOLN COUNTY</v>
      </c>
      <c r="C1" s="35"/>
      <c r="D1" s="35"/>
      <c r="E1" s="233">
        <f>inputPrYr!C4</f>
        <v>2012</v>
      </c>
    </row>
    <row r="2" spans="2:5" ht="15.75">
      <c r="B2" s="35"/>
      <c r="C2" s="35"/>
      <c r="D2" s="35"/>
      <c r="E2" s="186"/>
    </row>
    <row r="3" spans="2:5" ht="15.75">
      <c r="B3" s="102" t="s">
        <v>166</v>
      </c>
      <c r="C3" s="279"/>
      <c r="D3" s="279"/>
      <c r="E3" s="280"/>
    </row>
    <row r="4" spans="2:5" ht="15.75">
      <c r="B4" s="35"/>
      <c r="C4" s="273"/>
      <c r="D4" s="273"/>
      <c r="E4" s="273"/>
    </row>
    <row r="5" spans="2:5" ht="15.75">
      <c r="B5" s="34" t="s">
        <v>82</v>
      </c>
      <c r="C5" s="381" t="str">
        <f>general!C4</f>
        <v>Prior Year Actual</v>
      </c>
      <c r="D5" s="380" t="str">
        <f>general!D4</f>
        <v>Current Year Estimate</v>
      </c>
      <c r="E5" s="382" t="str">
        <f>general!E4</f>
        <v>Proposed Budget Year</v>
      </c>
    </row>
    <row r="6" spans="2:5" ht="15.75">
      <c r="B6" s="414" t="str">
        <f>inputPrYr!B23</f>
        <v>Ambulance</v>
      </c>
      <c r="C6" s="361">
        <f>general!$C$5</f>
        <v>2010</v>
      </c>
      <c r="D6" s="361">
        <f>general!D5</f>
        <v>2011</v>
      </c>
      <c r="E6" s="262">
        <f>general!E5</f>
        <v>2012</v>
      </c>
    </row>
    <row r="7" spans="2:5" ht="15.75">
      <c r="B7" s="98" t="s">
        <v>208</v>
      </c>
      <c r="C7" s="358">
        <v>24719</v>
      </c>
      <c r="D7" s="362">
        <f>C35</f>
        <v>6620</v>
      </c>
      <c r="E7" s="212">
        <f>D35</f>
        <v>10020</v>
      </c>
    </row>
    <row r="8" spans="2:5" ht="15.75">
      <c r="B8" s="237" t="s">
        <v>210</v>
      </c>
      <c r="C8" s="252"/>
      <c r="D8" s="252"/>
      <c r="E8" s="77"/>
    </row>
    <row r="9" spans="2:5" ht="15.75">
      <c r="B9" s="98" t="s">
        <v>83</v>
      </c>
      <c r="C9" s="358">
        <v>100003</v>
      </c>
      <c r="D9" s="362">
        <v>115309</v>
      </c>
      <c r="E9" s="283" t="s">
        <v>68</v>
      </c>
    </row>
    <row r="10" spans="2:5" ht="15.75">
      <c r="B10" s="98" t="s">
        <v>84</v>
      </c>
      <c r="C10" s="358">
        <v>256</v>
      </c>
      <c r="D10" s="358">
        <v>600</v>
      </c>
      <c r="E10" s="62">
        <v>600</v>
      </c>
    </row>
    <row r="11" spans="2:5" ht="15.75">
      <c r="B11" s="98" t="s">
        <v>85</v>
      </c>
      <c r="C11" s="358"/>
      <c r="D11" s="358">
        <v>8585</v>
      </c>
      <c r="E11" s="212">
        <f>mvalloc!D15</f>
        <v>9640</v>
      </c>
    </row>
    <row r="12" spans="2:5" ht="15.75">
      <c r="B12" s="98" t="s">
        <v>86</v>
      </c>
      <c r="C12" s="358"/>
      <c r="D12" s="358">
        <v>130</v>
      </c>
      <c r="E12" s="212">
        <f>mvalloc!E15</f>
        <v>153</v>
      </c>
    </row>
    <row r="13" spans="2:5" ht="15.75">
      <c r="B13" s="252" t="s">
        <v>159</v>
      </c>
      <c r="C13" s="358"/>
      <c r="D13" s="358">
        <v>1286</v>
      </c>
      <c r="E13" s="212">
        <f>mvalloc!F15</f>
        <v>1740</v>
      </c>
    </row>
    <row r="14" spans="2:5" ht="15.75">
      <c r="B14" s="252" t="s">
        <v>246</v>
      </c>
      <c r="C14" s="358"/>
      <c r="D14" s="358"/>
      <c r="E14" s="212">
        <f>mvalloc!G15</f>
        <v>0</v>
      </c>
    </row>
    <row r="15" spans="2:5" ht="15.75">
      <c r="B15" s="254" t="s">
        <v>373</v>
      </c>
      <c r="C15" s="358">
        <v>110</v>
      </c>
      <c r="D15" s="358">
        <v>90</v>
      </c>
      <c r="E15" s="62">
        <v>131</v>
      </c>
    </row>
    <row r="16" spans="2:5" ht="15.75">
      <c r="B16" s="254" t="s">
        <v>243</v>
      </c>
      <c r="C16" s="463">
        <v>-581</v>
      </c>
      <c r="D16" s="463">
        <v>-600</v>
      </c>
      <c r="E16" s="464">
        <v>-656</v>
      </c>
    </row>
    <row r="17" spans="2:5" ht="15.75">
      <c r="B17" s="254" t="s">
        <v>381</v>
      </c>
      <c r="C17" s="358">
        <v>9296</v>
      </c>
      <c r="D17" s="358">
        <v>3000</v>
      </c>
      <c r="E17" s="62">
        <v>3000</v>
      </c>
    </row>
    <row r="18" spans="2:5" ht="15.75">
      <c r="B18" s="264" t="s">
        <v>382</v>
      </c>
      <c r="C18" s="358">
        <v>105173</v>
      </c>
      <c r="D18" s="358">
        <v>104000</v>
      </c>
      <c r="E18" s="62">
        <v>104000</v>
      </c>
    </row>
    <row r="19" spans="2:5" ht="15.75">
      <c r="B19" s="255" t="s">
        <v>90</v>
      </c>
      <c r="C19" s="358"/>
      <c r="D19" s="358"/>
      <c r="E19" s="62"/>
    </row>
    <row r="20" spans="2:5" ht="15.75">
      <c r="B20" s="256" t="s">
        <v>43</v>
      </c>
      <c r="C20" s="358"/>
      <c r="D20" s="358">
        <v>1000</v>
      </c>
      <c r="E20" s="62"/>
    </row>
    <row r="21" spans="2:5" ht="15.75">
      <c r="B21" s="256" t="s">
        <v>285</v>
      </c>
      <c r="C21" s="359">
        <f>IF(C22*0.1&lt;C20,"Exceed 10% Rule","")</f>
      </c>
      <c r="D21" s="359">
        <f>IF(D22*0.1&lt;D20,"Exceed 10% Rule","")</f>
      </c>
      <c r="E21" s="290">
        <f>IF(E22*0.1+E41&lt;E20,"Exceed 10% Rule","")</f>
      </c>
    </row>
    <row r="22" spans="2:5" ht="15.75">
      <c r="B22" s="258" t="s">
        <v>91</v>
      </c>
      <c r="C22" s="360">
        <f>SUM(C9:C20)</f>
        <v>214257</v>
      </c>
      <c r="D22" s="360">
        <f>SUM(D9:D20)</f>
        <v>233400</v>
      </c>
      <c r="E22" s="298">
        <f>SUM(E9:E20)</f>
        <v>118608</v>
      </c>
    </row>
    <row r="23" spans="2:5" ht="15.75">
      <c r="B23" s="258" t="s">
        <v>92</v>
      </c>
      <c r="C23" s="360">
        <f>C7+C22</f>
        <v>238976</v>
      </c>
      <c r="D23" s="360">
        <f>D7+D22</f>
        <v>240020</v>
      </c>
      <c r="E23" s="298">
        <f>E7+E22</f>
        <v>128628</v>
      </c>
    </row>
    <row r="24" spans="2:5" ht="15.75">
      <c r="B24" s="98" t="s">
        <v>95</v>
      </c>
      <c r="C24" s="256"/>
      <c r="D24" s="256"/>
      <c r="E24" s="58"/>
    </row>
    <row r="25" spans="2:5" ht="15.75">
      <c r="B25" s="60" t="s">
        <v>100</v>
      </c>
      <c r="C25" s="358">
        <v>153242</v>
      </c>
      <c r="D25" s="358">
        <v>160000</v>
      </c>
      <c r="E25" s="62">
        <v>160000</v>
      </c>
    </row>
    <row r="26" spans="2:5" ht="15.75">
      <c r="B26" s="60" t="s">
        <v>101</v>
      </c>
      <c r="C26" s="358">
        <v>37630</v>
      </c>
      <c r="D26" s="358">
        <v>23500</v>
      </c>
      <c r="E26" s="62">
        <v>23500</v>
      </c>
    </row>
    <row r="27" spans="2:5" ht="15.75">
      <c r="B27" s="60" t="s">
        <v>102</v>
      </c>
      <c r="C27" s="358">
        <v>23053</v>
      </c>
      <c r="D27" s="358">
        <v>30500</v>
      </c>
      <c r="E27" s="62">
        <v>30500</v>
      </c>
    </row>
    <row r="28" spans="2:5" ht="15.75">
      <c r="B28" s="255" t="s">
        <v>103</v>
      </c>
      <c r="C28" s="358">
        <v>931</v>
      </c>
      <c r="D28" s="358">
        <v>6000</v>
      </c>
      <c r="E28" s="62">
        <v>6000</v>
      </c>
    </row>
    <row r="29" spans="2:5" ht="15.75">
      <c r="B29" s="264" t="s">
        <v>399</v>
      </c>
      <c r="C29" s="358">
        <v>17500</v>
      </c>
      <c r="D29" s="358">
        <v>10000</v>
      </c>
      <c r="E29" s="62">
        <v>10000</v>
      </c>
    </row>
    <row r="30" spans="2:5" ht="15.75">
      <c r="B30" s="264"/>
      <c r="C30" s="358"/>
      <c r="D30" s="358"/>
      <c r="E30" s="62"/>
    </row>
    <row r="31" spans="2:5" ht="15.75">
      <c r="B31" s="256" t="s">
        <v>45</v>
      </c>
      <c r="C31" s="358"/>
      <c r="D31" s="358"/>
      <c r="E31" s="70"/>
    </row>
    <row r="32" spans="2:5" ht="15.75">
      <c r="B32" s="256" t="s">
        <v>43</v>
      </c>
      <c r="C32" s="358"/>
      <c r="D32" s="358"/>
      <c r="E32" s="62"/>
    </row>
    <row r="33" spans="2:5" ht="15.75">
      <c r="B33" s="256" t="s">
        <v>284</v>
      </c>
      <c r="C33" s="359">
        <f>IF(C34*0.1&lt;C32,"Exceed 10% Rule","")</f>
      </c>
      <c r="D33" s="359">
        <f>IF(D34*0.1&lt;D32,"Exceed 10% Rule","")</f>
      </c>
      <c r="E33" s="290">
        <f>IF(E34*0.1&lt;E32,"Exceed 10% Rule","")</f>
      </c>
    </row>
    <row r="34" spans="2:5" ht="15.75">
      <c r="B34" s="258" t="s">
        <v>96</v>
      </c>
      <c r="C34" s="360">
        <f>SUM(C25:C32)</f>
        <v>232356</v>
      </c>
      <c r="D34" s="360">
        <f>SUM(D25:D32)</f>
        <v>230000</v>
      </c>
      <c r="E34" s="298">
        <f>SUM(E25:E32)</f>
        <v>230000</v>
      </c>
    </row>
    <row r="35" spans="2:5" ht="15.75">
      <c r="B35" s="98" t="s">
        <v>209</v>
      </c>
      <c r="C35" s="363">
        <f>C23-C34</f>
        <v>6620</v>
      </c>
      <c r="D35" s="363">
        <f>D23-D34</f>
        <v>10020</v>
      </c>
      <c r="E35" s="283" t="s">
        <v>68</v>
      </c>
    </row>
    <row r="36" spans="2:6" ht="15.75">
      <c r="B36" s="234" t="str">
        <f>CONCATENATE("",E$1-2,"/",E$1-1," Budget Authority Amount:")</f>
        <v>2010/2011 Budget Authority Amount:</v>
      </c>
      <c r="C36" s="226">
        <f>inputOth!D40</f>
        <v>235796</v>
      </c>
      <c r="D36" s="226">
        <f>inputPrYr!D23</f>
        <v>230000</v>
      </c>
      <c r="E36" s="283" t="s">
        <v>68</v>
      </c>
      <c r="F36" s="266"/>
    </row>
    <row r="37" spans="2:6" ht="15.75">
      <c r="B37" s="234"/>
      <c r="C37" s="521" t="s">
        <v>287</v>
      </c>
      <c r="D37" s="522"/>
      <c r="E37" s="62"/>
      <c r="F37" s="266">
        <f>IF(E34/0.95-E34&lt;E37,"Exceeds 5%","")</f>
      </c>
    </row>
    <row r="38" spans="2:5" ht="15.75">
      <c r="B38" s="427" t="str">
        <f>CONCATENATE(C90,"     ",D90)</f>
        <v>     </v>
      </c>
      <c r="C38" s="523" t="s">
        <v>288</v>
      </c>
      <c r="D38" s="524"/>
      <c r="E38" s="212">
        <f>E34+E37</f>
        <v>230000</v>
      </c>
    </row>
    <row r="39" spans="2:5" ht="15.75">
      <c r="B39" s="427" t="str">
        <f>CONCATENATE(C91,"     ",D91)</f>
        <v>     </v>
      </c>
      <c r="C39" s="267"/>
      <c r="D39" s="186" t="s">
        <v>97</v>
      </c>
      <c r="E39" s="70">
        <f>IF(E38-E23&gt;0,E38-E23,0)</f>
        <v>101372</v>
      </c>
    </row>
    <row r="40" spans="2:5" ht="15.75">
      <c r="B40" s="186"/>
      <c r="C40" s="425" t="s">
        <v>289</v>
      </c>
      <c r="D40" s="408">
        <f>inputOth!$E$24</f>
        <v>0.03</v>
      </c>
      <c r="E40" s="212">
        <f>ROUND(IF(D40&gt;0,($E$39*D40),0),0)</f>
        <v>3041</v>
      </c>
    </row>
    <row r="41" spans="2:5" ht="15.75">
      <c r="B41" s="35"/>
      <c r="C41" s="519" t="str">
        <f>CONCATENATE("Amount of  ",$E$1-1," Ad Valorem Tax")</f>
        <v>Amount of  2011 Ad Valorem Tax</v>
      </c>
      <c r="D41" s="520"/>
      <c r="E41" s="294">
        <f>E39+E40</f>
        <v>104413</v>
      </c>
    </row>
    <row r="42" spans="2:5" ht="15.75">
      <c r="B42" s="35"/>
      <c r="C42" s="273"/>
      <c r="D42" s="273"/>
      <c r="E42" s="273"/>
    </row>
    <row r="43" spans="2:5" ht="15.75">
      <c r="B43" s="34" t="s">
        <v>82</v>
      </c>
      <c r="C43" s="381" t="str">
        <f aca="true" t="shared" si="0" ref="C43:E44">C5</f>
        <v>Prior Year Actual</v>
      </c>
      <c r="D43" s="380" t="str">
        <f t="shared" si="0"/>
        <v>Current Year Estimate</v>
      </c>
      <c r="E43" s="382" t="str">
        <f t="shared" si="0"/>
        <v>Proposed Budget Year</v>
      </c>
    </row>
    <row r="44" spans="2:5" ht="15.75">
      <c r="B44" s="414" t="str">
        <f>inputPrYr!B24</f>
        <v>Employee Benefits</v>
      </c>
      <c r="C44" s="361">
        <f t="shared" si="0"/>
        <v>2010</v>
      </c>
      <c r="D44" s="361">
        <f t="shared" si="0"/>
        <v>2011</v>
      </c>
      <c r="E44" s="262">
        <f t="shared" si="0"/>
        <v>2012</v>
      </c>
    </row>
    <row r="45" spans="2:5" ht="15.75">
      <c r="B45" s="98" t="s">
        <v>208</v>
      </c>
      <c r="C45" s="358">
        <v>162206</v>
      </c>
      <c r="D45" s="362">
        <f>C73</f>
        <v>207261</v>
      </c>
      <c r="E45" s="212">
        <f>D73</f>
        <v>68005</v>
      </c>
    </row>
    <row r="46" spans="2:5" ht="15.75">
      <c r="B46" s="237" t="s">
        <v>210</v>
      </c>
      <c r="C46" s="252"/>
      <c r="D46" s="252"/>
      <c r="E46" s="77"/>
    </row>
    <row r="47" spans="2:5" ht="15.75">
      <c r="B47" s="98" t="s">
        <v>83</v>
      </c>
      <c r="C47" s="358">
        <v>953543</v>
      </c>
      <c r="D47" s="362">
        <v>849016</v>
      </c>
      <c r="E47" s="283" t="s">
        <v>68</v>
      </c>
    </row>
    <row r="48" spans="2:5" ht="15.75">
      <c r="B48" s="98" t="s">
        <v>84</v>
      </c>
      <c r="C48" s="358">
        <v>8553</v>
      </c>
      <c r="D48" s="358">
        <v>4000</v>
      </c>
      <c r="E48" s="62">
        <v>4000</v>
      </c>
    </row>
    <row r="49" spans="2:5" ht="15.75">
      <c r="B49" s="98" t="s">
        <v>85</v>
      </c>
      <c r="C49" s="358">
        <v>74966</v>
      </c>
      <c r="D49" s="358">
        <v>81869</v>
      </c>
      <c r="E49" s="212">
        <f>mvalloc!D16</f>
        <v>70980</v>
      </c>
    </row>
    <row r="50" spans="2:5" ht="15.75">
      <c r="B50" s="98" t="s">
        <v>86</v>
      </c>
      <c r="C50" s="358"/>
      <c r="D50" s="358">
        <v>1240</v>
      </c>
      <c r="E50" s="212">
        <f>mvalloc!E16</f>
        <v>1126</v>
      </c>
    </row>
    <row r="51" spans="2:5" ht="15.75">
      <c r="B51" s="252" t="s">
        <v>159</v>
      </c>
      <c r="C51" s="358"/>
      <c r="D51" s="358">
        <v>12265</v>
      </c>
      <c r="E51" s="212">
        <f>mvalloc!F16</f>
        <v>12809</v>
      </c>
    </row>
    <row r="52" spans="2:5" ht="15.75">
      <c r="B52" s="252" t="s">
        <v>246</v>
      </c>
      <c r="C52" s="358"/>
      <c r="D52" s="358"/>
      <c r="E52" s="212">
        <f>mvalloc!G16</f>
        <v>0</v>
      </c>
    </row>
    <row r="53" spans="2:5" ht="15.75">
      <c r="B53" s="254" t="s">
        <v>373</v>
      </c>
      <c r="C53" s="358">
        <v>1050</v>
      </c>
      <c r="D53" s="358">
        <v>854</v>
      </c>
      <c r="E53" s="62">
        <v>961</v>
      </c>
    </row>
    <row r="54" spans="2:5" ht="15.75">
      <c r="B54" s="254" t="s">
        <v>243</v>
      </c>
      <c r="C54" s="463">
        <v>-5536</v>
      </c>
      <c r="D54" s="463">
        <v>-4500</v>
      </c>
      <c r="E54" s="464">
        <v>-4827</v>
      </c>
    </row>
    <row r="55" spans="2:5" ht="15.75">
      <c r="B55" s="254" t="s">
        <v>381</v>
      </c>
      <c r="C55" s="358">
        <v>14507</v>
      </c>
      <c r="D55" s="358">
        <v>16000</v>
      </c>
      <c r="E55" s="62">
        <v>16000</v>
      </c>
    </row>
    <row r="56" spans="2:5" ht="15.75">
      <c r="B56" s="255" t="s">
        <v>90</v>
      </c>
      <c r="C56" s="358"/>
      <c r="D56" s="358"/>
      <c r="E56" s="62"/>
    </row>
    <row r="57" spans="2:5" ht="15.75">
      <c r="B57" s="256" t="s">
        <v>43</v>
      </c>
      <c r="C57" s="358">
        <v>4239</v>
      </c>
      <c r="D57" s="358"/>
      <c r="E57" s="62"/>
    </row>
    <row r="58" spans="2:5" ht="15.75">
      <c r="B58" s="256" t="s">
        <v>285</v>
      </c>
      <c r="C58" s="359">
        <f>IF(C59*0.1&lt;C57,"Exceed 10% Rule","")</f>
      </c>
      <c r="D58" s="359">
        <f>IF(D59*0.1&lt;D57,"Exceed 10% Rule","")</f>
      </c>
      <c r="E58" s="290">
        <f>IF(E59*0.1+E79&lt;E57,"Exceed 10% Rule","")</f>
      </c>
    </row>
    <row r="59" spans="2:5" ht="15.75">
      <c r="B59" s="258" t="s">
        <v>91</v>
      </c>
      <c r="C59" s="360">
        <f>SUM(C47:C57)</f>
        <v>1051322</v>
      </c>
      <c r="D59" s="360">
        <f>SUM(D47:D57)</f>
        <v>960744</v>
      </c>
      <c r="E59" s="298">
        <f>SUM(E47:E57)</f>
        <v>101049</v>
      </c>
    </row>
    <row r="60" spans="2:5" ht="15.75">
      <c r="B60" s="258" t="s">
        <v>92</v>
      </c>
      <c r="C60" s="360">
        <f>C45+C59</f>
        <v>1213528</v>
      </c>
      <c r="D60" s="360">
        <f>D45+D59</f>
        <v>1168005</v>
      </c>
      <c r="E60" s="298">
        <f>E45+E59</f>
        <v>169054</v>
      </c>
    </row>
    <row r="61" spans="2:5" ht="15.75">
      <c r="B61" s="98" t="s">
        <v>95</v>
      </c>
      <c r="C61" s="256"/>
      <c r="D61" s="256"/>
      <c r="E61" s="58"/>
    </row>
    <row r="62" spans="2:5" ht="15.75">
      <c r="B62" s="264" t="s">
        <v>383</v>
      </c>
      <c r="C62" s="358">
        <v>140281</v>
      </c>
      <c r="D62" s="358">
        <v>145000</v>
      </c>
      <c r="E62" s="62">
        <v>145000</v>
      </c>
    </row>
    <row r="63" spans="2:5" ht="15.75">
      <c r="B63" s="264" t="s">
        <v>384</v>
      </c>
      <c r="C63" s="358">
        <v>10100</v>
      </c>
      <c r="D63" s="358">
        <v>11200</v>
      </c>
      <c r="E63" s="62">
        <v>12000</v>
      </c>
    </row>
    <row r="64" spans="2:5" ht="15.75">
      <c r="B64" s="264" t="s">
        <v>385</v>
      </c>
      <c r="C64" s="358">
        <v>119560</v>
      </c>
      <c r="D64" s="358">
        <v>105000</v>
      </c>
      <c r="E64" s="62">
        <v>125000</v>
      </c>
    </row>
    <row r="65" spans="2:5" ht="15.75">
      <c r="B65" s="264" t="s">
        <v>386</v>
      </c>
      <c r="C65" s="358">
        <v>86032</v>
      </c>
      <c r="D65" s="358">
        <v>85000</v>
      </c>
      <c r="E65" s="62">
        <v>87000</v>
      </c>
    </row>
    <row r="66" spans="2:5" ht="15.75">
      <c r="B66" s="264" t="s">
        <v>387</v>
      </c>
      <c r="C66" s="358">
        <v>638552</v>
      </c>
      <c r="D66" s="358">
        <v>738800</v>
      </c>
      <c r="E66" s="62">
        <v>850000</v>
      </c>
    </row>
    <row r="67" spans="2:5" ht="15.75">
      <c r="B67" s="264" t="s">
        <v>388</v>
      </c>
      <c r="C67" s="358">
        <v>9896</v>
      </c>
      <c r="D67" s="358">
        <v>10000</v>
      </c>
      <c r="E67" s="62">
        <v>10000</v>
      </c>
    </row>
    <row r="68" spans="2:5" ht="15.75">
      <c r="B68" s="264" t="s">
        <v>101</v>
      </c>
      <c r="C68" s="358">
        <v>1846</v>
      </c>
      <c r="D68" s="358">
        <v>5000</v>
      </c>
      <c r="E68" s="62">
        <v>2000</v>
      </c>
    </row>
    <row r="69" spans="2:5" ht="15.75">
      <c r="B69" s="256" t="s">
        <v>45</v>
      </c>
      <c r="C69" s="358"/>
      <c r="D69" s="358"/>
      <c r="E69" s="70"/>
    </row>
    <row r="70" spans="2:5" ht="15.75">
      <c r="B70" s="256" t="s">
        <v>43</v>
      </c>
      <c r="C70" s="358"/>
      <c r="D70" s="358"/>
      <c r="E70" s="62"/>
    </row>
    <row r="71" spans="2:5" ht="15.75">
      <c r="B71" s="256" t="s">
        <v>284</v>
      </c>
      <c r="C71" s="359">
        <f>IF(C72*0.1&lt;C70,"Exceed 10% Rule","")</f>
      </c>
      <c r="D71" s="359">
        <f>IF(D72*0.1&lt;D70,"Exceed 10% Rule","")</f>
      </c>
      <c r="E71" s="290">
        <f>IF(E72*0.1&lt;E70,"Exceed 10% Rule","")</f>
      </c>
    </row>
    <row r="72" spans="2:5" ht="15.75">
      <c r="B72" s="258" t="s">
        <v>96</v>
      </c>
      <c r="C72" s="360">
        <f>SUM(C62:C70)</f>
        <v>1006267</v>
      </c>
      <c r="D72" s="360">
        <f>SUM(D62:D70)</f>
        <v>1100000</v>
      </c>
      <c r="E72" s="298">
        <f>SUM(E62:E70)</f>
        <v>1231000</v>
      </c>
    </row>
    <row r="73" spans="2:5" ht="15.75">
      <c r="B73" s="98" t="s">
        <v>209</v>
      </c>
      <c r="C73" s="363">
        <f>C60-C72</f>
        <v>207261</v>
      </c>
      <c r="D73" s="363">
        <f>D60-D72</f>
        <v>68005</v>
      </c>
      <c r="E73" s="283" t="s">
        <v>68</v>
      </c>
    </row>
    <row r="74" spans="2:6" ht="15.75">
      <c r="B74" s="234" t="str">
        <f>CONCATENATE("",E$1-2,"/",E$1-1," Budget Authority Amount:")</f>
        <v>2010/2011 Budget Authority Amount:</v>
      </c>
      <c r="C74" s="226">
        <f>inputOth!B41</f>
        <v>1040000</v>
      </c>
      <c r="D74" s="226">
        <f>inputPrYr!D24</f>
        <v>1100000</v>
      </c>
      <c r="E74" s="283" t="s">
        <v>68</v>
      </c>
      <c r="F74" s="266"/>
    </row>
    <row r="75" spans="2:6" ht="15.75">
      <c r="B75" s="234"/>
      <c r="C75" s="521" t="s">
        <v>287</v>
      </c>
      <c r="D75" s="522"/>
      <c r="E75" s="62"/>
      <c r="F75" s="266">
        <f>IF(E72/0.95-E72&lt;E75,"Exceeds 5%","")</f>
      </c>
    </row>
    <row r="76" spans="2:5" ht="15.75">
      <c r="B76" s="426" t="str">
        <f>CONCATENATE(C92,"     ",D92)</f>
        <v>     </v>
      </c>
      <c r="C76" s="523" t="s">
        <v>288</v>
      </c>
      <c r="D76" s="524"/>
      <c r="E76" s="212">
        <f>E72+E75</f>
        <v>1231000</v>
      </c>
    </row>
    <row r="77" spans="2:5" ht="15.75">
      <c r="B77" s="426" t="str">
        <f>CONCATENATE(C93,"     ",D93)</f>
        <v>     </v>
      </c>
      <c r="C77" s="267"/>
      <c r="D77" s="186" t="s">
        <v>97</v>
      </c>
      <c r="E77" s="70">
        <f>IF(E76-E60&gt;0,E76-E60,0)</f>
        <v>1061946</v>
      </c>
    </row>
    <row r="78" spans="2:5" ht="15.75">
      <c r="B78" s="186"/>
      <c r="C78" s="425" t="s">
        <v>289</v>
      </c>
      <c r="D78" s="408">
        <f>inputOth!$E$24</f>
        <v>0.03</v>
      </c>
      <c r="E78" s="212">
        <f>ROUND(IF(D78&gt;0,($E$77*D78),0),0)</f>
        <v>31858</v>
      </c>
    </row>
    <row r="79" spans="2:5" ht="15.75">
      <c r="B79" s="35"/>
      <c r="C79" s="519" t="str">
        <f>CONCATENATE("Amount of  ",$E$1-1," Ad Valorem Tax")</f>
        <v>Amount of  2011 Ad Valorem Tax</v>
      </c>
      <c r="D79" s="520"/>
      <c r="E79" s="294">
        <f>E77+E78</f>
        <v>1093804</v>
      </c>
    </row>
    <row r="80" spans="2:5" ht="15.75">
      <c r="B80" s="234" t="s">
        <v>118</v>
      </c>
      <c r="C80" s="295">
        <v>12</v>
      </c>
      <c r="D80" s="35"/>
      <c r="E80" s="35"/>
    </row>
    <row r="90" spans="3:4" ht="15.75" hidden="1">
      <c r="C90" s="32">
        <f>IF(C34&gt;C36,"See Tab A","")</f>
      </c>
      <c r="D90" s="32">
        <f>IF(D34&gt;D36,"See Tab C","")</f>
      </c>
    </row>
    <row r="91" spans="3:4" ht="15.75" hidden="1">
      <c r="C91" s="32">
        <f>IF(C35&lt;0,"See Tab B","")</f>
      </c>
      <c r="D91" s="32">
        <f>IF(D35&lt;0,"See Tab D","")</f>
      </c>
    </row>
    <row r="92" spans="3:4" ht="15.75" hidden="1">
      <c r="C92" s="32">
        <f>IF(C72&gt;C74,"See Tab A","")</f>
      </c>
      <c r="D92" s="32">
        <f>IF(D72&gt;D74,"See Tab C","")</f>
      </c>
    </row>
    <row r="93" spans="3:4" ht="15.75" hidden="1">
      <c r="C93" s="32">
        <f>IF(C73&lt;0,"See Tab B","")</f>
      </c>
      <c r="D93" s="32">
        <f>IF(D73&lt;0,"See Tab D","")</f>
      </c>
    </row>
  </sheetData>
  <sheetProtection/>
  <mergeCells count="6">
    <mergeCell ref="C79:D79"/>
    <mergeCell ref="C41:D41"/>
    <mergeCell ref="C37:D37"/>
    <mergeCell ref="C38:D38"/>
    <mergeCell ref="C75:D75"/>
    <mergeCell ref="C76:D76"/>
  </mergeCells>
  <conditionalFormatting sqref="E70">
    <cfRule type="cellIs" priority="3" dxfId="135" operator="greaterThan" stopIfTrue="1">
      <formula>$E$72*0.1</formula>
    </cfRule>
  </conditionalFormatting>
  <conditionalFormatting sqref="E75">
    <cfRule type="cellIs" priority="4" dxfId="135" operator="greaterThan" stopIfTrue="1">
      <formula>$E$72/0.95-$E$72</formula>
    </cfRule>
  </conditionalFormatting>
  <conditionalFormatting sqref="E37">
    <cfRule type="cellIs" priority="5" dxfId="135" operator="greaterThan" stopIfTrue="1">
      <formula>$E$34/0.95-$E$34</formula>
    </cfRule>
  </conditionalFormatting>
  <conditionalFormatting sqref="E32">
    <cfRule type="cellIs" priority="6" dxfId="135" operator="greaterThan" stopIfTrue="1">
      <formula>$E$34*0.1</formula>
    </cfRule>
  </conditionalFormatting>
  <conditionalFormatting sqref="C73 C35">
    <cfRule type="cellIs" priority="7" dxfId="2" operator="lessThan" stopIfTrue="1">
      <formula>0</formula>
    </cfRule>
  </conditionalFormatting>
  <conditionalFormatting sqref="C72">
    <cfRule type="cellIs" priority="8" dxfId="2" operator="greaterThan" stopIfTrue="1">
      <formula>$C$74</formula>
    </cfRule>
  </conditionalFormatting>
  <conditionalFormatting sqref="D72">
    <cfRule type="cellIs" priority="9" dxfId="2" operator="greaterThan" stopIfTrue="1">
      <formula>$D$74</formula>
    </cfRule>
  </conditionalFormatting>
  <conditionalFormatting sqref="C70">
    <cfRule type="cellIs" priority="10" dxfId="2" operator="greaterThan" stopIfTrue="1">
      <formula>$C$72*0.1</formula>
    </cfRule>
  </conditionalFormatting>
  <conditionalFormatting sqref="D70">
    <cfRule type="cellIs" priority="11" dxfId="2" operator="greaterThan" stopIfTrue="1">
      <formula>$D$72*0.1</formula>
    </cfRule>
  </conditionalFormatting>
  <conditionalFormatting sqref="E57">
    <cfRule type="cellIs" priority="12" dxfId="135" operator="greaterThan" stopIfTrue="1">
      <formula>$E$59*0.1+E79</formula>
    </cfRule>
  </conditionalFormatting>
  <conditionalFormatting sqref="C57">
    <cfRule type="cellIs" priority="13" dxfId="2" operator="greaterThan" stopIfTrue="1">
      <formula>$C$59*0.1</formula>
    </cfRule>
  </conditionalFormatting>
  <conditionalFormatting sqref="D57">
    <cfRule type="cellIs" priority="14" dxfId="2" operator="greaterThan" stopIfTrue="1">
      <formula>$D$59*0.1</formula>
    </cfRule>
  </conditionalFormatting>
  <conditionalFormatting sqref="C34">
    <cfRule type="cellIs" priority="15" dxfId="2" operator="greaterThan" stopIfTrue="1">
      <formula>$C$36</formula>
    </cfRule>
  </conditionalFormatting>
  <conditionalFormatting sqref="D34">
    <cfRule type="cellIs" priority="16" dxfId="2" operator="greaterThan" stopIfTrue="1">
      <formula>$D$36</formula>
    </cfRule>
  </conditionalFormatting>
  <conditionalFormatting sqref="C32">
    <cfRule type="cellIs" priority="17" dxfId="2" operator="greaterThan" stopIfTrue="1">
      <formula>$C$34*0.1</formula>
    </cfRule>
  </conditionalFormatting>
  <conditionalFormatting sqref="D32">
    <cfRule type="cellIs" priority="18" dxfId="2" operator="greaterThan" stopIfTrue="1">
      <formula>$D$34*0.1</formula>
    </cfRule>
  </conditionalFormatting>
  <conditionalFormatting sqref="E20">
    <cfRule type="cellIs" priority="19" dxfId="135" operator="greaterThan" stopIfTrue="1">
      <formula>$E$22*0.1+E41</formula>
    </cfRule>
  </conditionalFormatting>
  <conditionalFormatting sqref="C20">
    <cfRule type="cellIs" priority="20" dxfId="2" operator="greaterThan" stopIfTrue="1">
      <formula>$C$22*0.1</formula>
    </cfRule>
  </conditionalFormatting>
  <conditionalFormatting sqref="D20">
    <cfRule type="cellIs" priority="21" dxfId="2" operator="greaterThan" stopIfTrue="1">
      <formula>$D$22*0.1</formula>
    </cfRule>
  </conditionalFormatting>
  <conditionalFormatting sqref="D35 D73">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7" r:id="rId1"/>
  <headerFooter alignWithMargins="0">
    <oddHeader>&amp;RState of Kansas
County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6"/>
  <sheetViews>
    <sheetView view="pageBreakPreview" zoomScale="108" zoomScaleSheetLayoutView="108" zoomScalePageLayoutView="0" workbookViewId="0" topLeftCell="A2">
      <selection activeCell="E2" sqref="E2"/>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74" t="str">
        <f>(inputPrYr!C2)</f>
        <v>LINCOLN COUNTY</v>
      </c>
      <c r="C1" s="35"/>
      <c r="D1" s="35"/>
      <c r="E1" s="233">
        <f>inputPrYr!C4</f>
        <v>2012</v>
      </c>
    </row>
    <row r="2" spans="2:5" ht="15.75">
      <c r="B2" s="35"/>
      <c r="C2" s="35"/>
      <c r="D2" s="35"/>
      <c r="E2" s="186"/>
    </row>
    <row r="3" spans="2:5" ht="15.75">
      <c r="B3" s="102" t="s">
        <v>167</v>
      </c>
      <c r="C3" s="279"/>
      <c r="D3" s="279"/>
      <c r="E3" s="280"/>
    </row>
    <row r="4" spans="2:5" ht="15.75">
      <c r="B4" s="35"/>
      <c r="C4" s="273"/>
      <c r="D4" s="273"/>
      <c r="E4" s="273"/>
    </row>
    <row r="5" spans="2:5" ht="15.75">
      <c r="B5" s="34" t="s">
        <v>82</v>
      </c>
      <c r="C5" s="455" t="str">
        <f>general!C4</f>
        <v>Prior Year Actual</v>
      </c>
      <c r="D5" s="382" t="str">
        <f>general!D4</f>
        <v>Current Year Estimate</v>
      </c>
      <c r="E5" s="382" t="str">
        <f>general!E4</f>
        <v>Proposed Budget Year</v>
      </c>
    </row>
    <row r="6" spans="2:5" ht="15.75">
      <c r="B6" s="414" t="str">
        <f>inputPrYr!B31</f>
        <v>Emergency 911-Consolidated</v>
      </c>
      <c r="C6" s="262">
        <f>general!C5</f>
        <v>2010</v>
      </c>
      <c r="D6" s="262">
        <f>general!D5</f>
        <v>2011</v>
      </c>
      <c r="E6" s="249">
        <f>general!E5</f>
        <v>2012</v>
      </c>
    </row>
    <row r="7" spans="2:5" ht="15.75">
      <c r="B7" s="98" t="s">
        <v>208</v>
      </c>
      <c r="C7" s="62">
        <v>14274</v>
      </c>
      <c r="D7" s="212">
        <f>C30</f>
        <v>6845</v>
      </c>
      <c r="E7" s="212">
        <f>D30</f>
        <v>9899</v>
      </c>
    </row>
    <row r="8" spans="2:5" ht="15.75">
      <c r="B8" s="282" t="s">
        <v>210</v>
      </c>
      <c r="C8" s="58"/>
      <c r="D8" s="58"/>
      <c r="E8" s="58"/>
    </row>
    <row r="9" spans="2:5" ht="15.75">
      <c r="B9" s="264" t="s">
        <v>389</v>
      </c>
      <c r="C9" s="62">
        <v>10920</v>
      </c>
      <c r="D9" s="62">
        <v>10000</v>
      </c>
      <c r="E9" s="62">
        <v>52500</v>
      </c>
    </row>
    <row r="10" spans="2:5" ht="15.75">
      <c r="B10" s="264" t="s">
        <v>380</v>
      </c>
      <c r="C10" s="62">
        <v>26024</v>
      </c>
      <c r="D10" s="62">
        <v>5054</v>
      </c>
      <c r="E10" s="62"/>
    </row>
    <row r="11" spans="2:5" ht="15.75">
      <c r="B11" s="264"/>
      <c r="C11" s="62"/>
      <c r="D11" s="62"/>
      <c r="E11" s="62"/>
    </row>
    <row r="12" spans="2:5" ht="15.75">
      <c r="B12" s="255" t="s">
        <v>90</v>
      </c>
      <c r="C12" s="62"/>
      <c r="D12" s="62"/>
      <c r="E12" s="62"/>
    </row>
    <row r="13" spans="2:5" ht="15.75">
      <c r="B13" s="256" t="s">
        <v>43</v>
      </c>
      <c r="C13" s="62"/>
      <c r="D13" s="251"/>
      <c r="E13" s="251"/>
    </row>
    <row r="14" spans="2:5" ht="15.75">
      <c r="B14" s="256" t="s">
        <v>285</v>
      </c>
      <c r="C14" s="411">
        <f>IF(C15*0.1&lt;C13,"Exceed 10% Rule","")</f>
      </c>
      <c r="D14" s="257">
        <f>IF(D15*0.1&lt;D13,"Exceed 10% Rule","")</f>
      </c>
      <c r="E14" s="257">
        <f>IF(E15*0.1&lt;E13,"Exceed 10% Rule","")</f>
      </c>
    </row>
    <row r="15" spans="2:5" ht="15.75">
      <c r="B15" s="258" t="s">
        <v>91</v>
      </c>
      <c r="C15" s="298">
        <f>SUM(C9:C13)</f>
        <v>36944</v>
      </c>
      <c r="D15" s="298">
        <f>SUM(D9:D13)</f>
        <v>15054</v>
      </c>
      <c r="E15" s="298">
        <f>SUM(E9:E13)</f>
        <v>52500</v>
      </c>
    </row>
    <row r="16" spans="2:5" ht="15.75">
      <c r="B16" s="258" t="s">
        <v>92</v>
      </c>
      <c r="C16" s="298">
        <f>C15+C7</f>
        <v>51218</v>
      </c>
      <c r="D16" s="298">
        <f>D15+D7</f>
        <v>21899</v>
      </c>
      <c r="E16" s="298">
        <f>E15+E7</f>
        <v>62399</v>
      </c>
    </row>
    <row r="17" spans="2:5" ht="15.75">
      <c r="B17" s="98" t="s">
        <v>95</v>
      </c>
      <c r="C17" s="212"/>
      <c r="D17" s="212"/>
      <c r="E17" s="212"/>
    </row>
    <row r="18" spans="2:5" ht="15.75">
      <c r="B18" s="60" t="s">
        <v>100</v>
      </c>
      <c r="C18" s="62"/>
      <c r="D18" s="62"/>
      <c r="E18" s="62"/>
    </row>
    <row r="19" spans="2:5" ht="15.75">
      <c r="B19" s="60" t="s">
        <v>101</v>
      </c>
      <c r="C19" s="62">
        <v>18921</v>
      </c>
      <c r="D19" s="62">
        <v>12000</v>
      </c>
      <c r="E19" s="62">
        <v>62399</v>
      </c>
    </row>
    <row r="20" spans="2:5" ht="15.75">
      <c r="B20" s="60" t="s">
        <v>102</v>
      </c>
      <c r="C20" s="62"/>
      <c r="D20" s="62"/>
      <c r="E20" s="62"/>
    </row>
    <row r="21" spans="2:5" ht="15.75">
      <c r="B21" s="255" t="s">
        <v>103</v>
      </c>
      <c r="C21" s="62">
        <v>25452</v>
      </c>
      <c r="D21" s="62"/>
      <c r="E21" s="62"/>
    </row>
    <row r="22" spans="2:5" ht="15.75">
      <c r="B22" s="264"/>
      <c r="C22" s="62"/>
      <c r="D22" s="62"/>
      <c r="E22" s="62"/>
    </row>
    <row r="23" spans="2:5" ht="15.75">
      <c r="B23" s="264"/>
      <c r="C23" s="62"/>
      <c r="D23" s="62"/>
      <c r="E23" s="62"/>
    </row>
    <row r="24" spans="2:5" ht="15.75">
      <c r="B24" s="264"/>
      <c r="C24" s="62"/>
      <c r="D24" s="62"/>
      <c r="E24" s="62"/>
    </row>
    <row r="25" spans="2:5" ht="15.75">
      <c r="B25" s="264"/>
      <c r="C25" s="62"/>
      <c r="D25" s="62"/>
      <c r="E25" s="62"/>
    </row>
    <row r="26" spans="2:5" ht="15.75">
      <c r="B26" s="264"/>
      <c r="C26" s="62"/>
      <c r="D26" s="62"/>
      <c r="E26" s="62"/>
    </row>
    <row r="27" spans="2:5" ht="15.75">
      <c r="B27" s="256" t="s">
        <v>43</v>
      </c>
      <c r="C27" s="62"/>
      <c r="D27" s="251"/>
      <c r="E27" s="251"/>
    </row>
    <row r="28" spans="2:5" ht="15.75">
      <c r="B28" s="256" t="s">
        <v>284</v>
      </c>
      <c r="C28" s="411">
        <f>IF(C29*0.1&lt;C27,"Exceed 10% Rule","")</f>
      </c>
      <c r="D28" s="257">
        <f>IF(D29*0.1&lt;D27,"Exceed 10% Rule","")</f>
      </c>
      <c r="E28" s="257">
        <f>IF(E29*0.1&lt;E27,"Exceed 10% Rule","")</f>
      </c>
    </row>
    <row r="29" spans="2:5" ht="15.75">
      <c r="B29" s="258" t="s">
        <v>96</v>
      </c>
      <c r="C29" s="298">
        <f>SUM(C18:C27)</f>
        <v>44373</v>
      </c>
      <c r="D29" s="298">
        <f>SUM(D18:D27)</f>
        <v>12000</v>
      </c>
      <c r="E29" s="298">
        <f>SUM(E18:E27)</f>
        <v>62399</v>
      </c>
    </row>
    <row r="30" spans="2:5" ht="15.75">
      <c r="B30" s="98" t="s">
        <v>209</v>
      </c>
      <c r="C30" s="70">
        <f>C16-C29</f>
        <v>6845</v>
      </c>
      <c r="D30" s="70">
        <f>D16-D29</f>
        <v>9899</v>
      </c>
      <c r="E30" s="70">
        <f>E16-E29</f>
        <v>0</v>
      </c>
    </row>
    <row r="31" spans="2:5" ht="15.75">
      <c r="B31" s="234" t="str">
        <f>CONCATENATE("",E$1-2,"/",E$1-1," Budget Authority Amount:")</f>
        <v>2010/2011 Budget Authority Amount:</v>
      </c>
      <c r="C31" s="226">
        <f>inputOth!D46</f>
        <v>50116</v>
      </c>
      <c r="D31" s="226">
        <f>inputPrYr!D31</f>
        <v>15424</v>
      </c>
      <c r="E31" s="410">
        <f>IF(E30&lt;0,"See Tab E","")</f>
      </c>
    </row>
    <row r="32" spans="2:5" ht="15.75">
      <c r="B32" s="234"/>
      <c r="C32" s="267">
        <f>IF(C29&gt;C31,"See Tab A","")</f>
      </c>
      <c r="D32" s="267">
        <f>IF(D29&gt;D31,"See Tab C","")</f>
      </c>
      <c r="E32" s="95"/>
    </row>
    <row r="33" spans="2:5" ht="15.75">
      <c r="B33" s="234"/>
      <c r="C33" s="267">
        <f>IF(C30&lt;0,"See Tab B","")</f>
      </c>
      <c r="D33" s="267">
        <f>IF(D30&lt;0,"See Tab D","")</f>
      </c>
      <c r="E33" s="95"/>
    </row>
    <row r="34" spans="2:5" ht="15.75">
      <c r="B34" s="35"/>
      <c r="C34" s="95"/>
      <c r="D34" s="95"/>
      <c r="E34" s="95"/>
    </row>
    <row r="35" spans="2:5" ht="15.75">
      <c r="B35" s="34" t="s">
        <v>82</v>
      </c>
      <c r="C35" s="273"/>
      <c r="D35" s="273"/>
      <c r="E35" s="273"/>
    </row>
    <row r="36" spans="2:5" ht="15.75">
      <c r="B36" s="35"/>
      <c r="C36" s="455" t="str">
        <f aca="true" t="shared" si="0" ref="C36:E37">C5</f>
        <v>Prior Year Actual</v>
      </c>
      <c r="D36" s="382" t="str">
        <f t="shared" si="0"/>
        <v>Current Year Estimate</v>
      </c>
      <c r="E36" s="382" t="str">
        <f t="shared" si="0"/>
        <v>Proposed Budget Year</v>
      </c>
    </row>
    <row r="37" spans="2:5" ht="15.75">
      <c r="B37" s="413" t="str">
        <f>inputPrYr!B32</f>
        <v>E-911</v>
      </c>
      <c r="C37" s="262">
        <f t="shared" si="0"/>
        <v>2010</v>
      </c>
      <c r="D37" s="262">
        <f t="shared" si="0"/>
        <v>2011</v>
      </c>
      <c r="E37" s="249">
        <f t="shared" si="0"/>
        <v>2012</v>
      </c>
    </row>
    <row r="38" spans="2:5" ht="15.75">
      <c r="B38" s="98" t="s">
        <v>208</v>
      </c>
      <c r="C38" s="62">
        <v>12820</v>
      </c>
      <c r="D38" s="212">
        <f>C61</f>
        <v>9018</v>
      </c>
      <c r="E38" s="212">
        <f>D61</f>
        <v>8497</v>
      </c>
    </row>
    <row r="39" spans="2:5" ht="15.75">
      <c r="B39" s="98" t="s">
        <v>210</v>
      </c>
      <c r="C39" s="58"/>
      <c r="D39" s="58"/>
      <c r="E39" s="58"/>
    </row>
    <row r="40" spans="2:5" ht="15.75">
      <c r="B40" s="264" t="s">
        <v>389</v>
      </c>
      <c r="C40" s="62">
        <v>6682</v>
      </c>
      <c r="D40" s="62">
        <v>6400</v>
      </c>
      <c r="E40" s="62">
        <v>0</v>
      </c>
    </row>
    <row r="41" spans="2:5" ht="15.75">
      <c r="B41" s="264" t="s">
        <v>380</v>
      </c>
      <c r="C41" s="62">
        <v>26024</v>
      </c>
      <c r="D41" s="62">
        <v>5054</v>
      </c>
      <c r="E41" s="62"/>
    </row>
    <row r="42" spans="2:5" ht="15.75">
      <c r="B42" s="264"/>
      <c r="C42" s="62"/>
      <c r="D42" s="62"/>
      <c r="E42" s="62"/>
    </row>
    <row r="43" spans="2:5" ht="15.75">
      <c r="B43" s="255" t="s">
        <v>90</v>
      </c>
      <c r="C43" s="62">
        <v>70</v>
      </c>
      <c r="D43" s="62">
        <v>25</v>
      </c>
      <c r="E43" s="62">
        <v>20</v>
      </c>
    </row>
    <row r="44" spans="2:5" ht="15.75">
      <c r="B44" s="256" t="s">
        <v>43</v>
      </c>
      <c r="C44" s="62"/>
      <c r="D44" s="251"/>
      <c r="E44" s="251"/>
    </row>
    <row r="45" spans="2:5" ht="15.75">
      <c r="B45" s="256" t="s">
        <v>285</v>
      </c>
      <c r="C45" s="411">
        <f>IF(C46*0.1&lt;C44,"Exceed 10% Rule","")</f>
      </c>
      <c r="D45" s="257">
        <f>IF(D46*0.1&lt;D44,"Exceed 10% Rule","")</f>
      </c>
      <c r="E45" s="257">
        <f>IF(E46*0.1&lt;E44,"Exceed 10% Rule","")</f>
      </c>
    </row>
    <row r="46" spans="2:5" ht="15.75">
      <c r="B46" s="258" t="s">
        <v>91</v>
      </c>
      <c r="C46" s="298">
        <f>SUM(C40:C44)</f>
        <v>32776</v>
      </c>
      <c r="D46" s="298">
        <f>SUM(D40:D44)</f>
        <v>11479</v>
      </c>
      <c r="E46" s="298">
        <f>SUM(E40:E44)</f>
        <v>20</v>
      </c>
    </row>
    <row r="47" spans="2:5" ht="15.75">
      <c r="B47" s="258" t="s">
        <v>92</v>
      </c>
      <c r="C47" s="298">
        <f>C38+C46</f>
        <v>45596</v>
      </c>
      <c r="D47" s="298">
        <f>D38+D46</f>
        <v>20497</v>
      </c>
      <c r="E47" s="298">
        <f>E38+E46</f>
        <v>8517</v>
      </c>
    </row>
    <row r="48" spans="2:5" ht="15.75">
      <c r="B48" s="98" t="s">
        <v>95</v>
      </c>
      <c r="C48" s="212"/>
      <c r="D48" s="212"/>
      <c r="E48" s="212"/>
    </row>
    <row r="49" spans="2:5" ht="15.75">
      <c r="B49" s="60" t="s">
        <v>101</v>
      </c>
      <c r="C49" s="62">
        <v>11126</v>
      </c>
      <c r="D49" s="62">
        <v>12000</v>
      </c>
      <c r="E49" s="62">
        <v>8517</v>
      </c>
    </row>
    <row r="50" spans="2:5" ht="15.75">
      <c r="B50" s="264" t="s">
        <v>103</v>
      </c>
      <c r="C50" s="62">
        <v>25452</v>
      </c>
      <c r="D50" s="62"/>
      <c r="E50" s="62"/>
    </row>
    <row r="51" spans="2:5" ht="15.75">
      <c r="B51" s="264"/>
      <c r="C51" s="62"/>
      <c r="D51" s="62"/>
      <c r="E51" s="62"/>
    </row>
    <row r="52" spans="2:5" ht="15.75">
      <c r="B52" s="264"/>
      <c r="C52" s="62"/>
      <c r="D52" s="62"/>
      <c r="E52" s="62"/>
    </row>
    <row r="53" spans="2:5" ht="15.75">
      <c r="B53" s="264"/>
      <c r="C53" s="62"/>
      <c r="D53" s="62"/>
      <c r="E53" s="62"/>
    </row>
    <row r="54" spans="2:5" ht="15.75">
      <c r="B54" s="264"/>
      <c r="C54" s="62"/>
      <c r="D54" s="62"/>
      <c r="E54" s="62"/>
    </row>
    <row r="55" spans="2:5" ht="15.75">
      <c r="B55" s="264"/>
      <c r="C55" s="62"/>
      <c r="D55" s="62"/>
      <c r="E55" s="62"/>
    </row>
    <row r="56" spans="2:5" ht="15.75">
      <c r="B56" s="264"/>
      <c r="C56" s="62"/>
      <c r="D56" s="62"/>
      <c r="E56" s="62"/>
    </row>
    <row r="57" spans="2:5" ht="15.75">
      <c r="B57" s="264"/>
      <c r="C57" s="62"/>
      <c r="D57" s="62"/>
      <c r="E57" s="62"/>
    </row>
    <row r="58" spans="2:5" ht="15.75">
      <c r="B58" s="256" t="s">
        <v>43</v>
      </c>
      <c r="C58" s="62"/>
      <c r="D58" s="251"/>
      <c r="E58" s="251"/>
    </row>
    <row r="59" spans="2:5" ht="15.75">
      <c r="B59" s="256" t="s">
        <v>284</v>
      </c>
      <c r="C59" s="411">
        <f>IF(C60*0.1&lt;C58,"Exceed 10% Rule","")</f>
      </c>
      <c r="D59" s="257">
        <f>IF(D60*0.1&lt;D58,"Exceed 10% Rule","")</f>
      </c>
      <c r="E59" s="257">
        <f>IF(E60*0.1&lt;E58,"Exceed 10% Rule","")</f>
      </c>
    </row>
    <row r="60" spans="2:5" ht="15.75">
      <c r="B60" s="258" t="s">
        <v>96</v>
      </c>
      <c r="C60" s="298">
        <f>SUM(C49:C58)</f>
        <v>36578</v>
      </c>
      <c r="D60" s="298">
        <f>SUM(D49:D58)</f>
        <v>12000</v>
      </c>
      <c r="E60" s="298">
        <f>SUM(E49:E58)</f>
        <v>8517</v>
      </c>
    </row>
    <row r="61" spans="2:5" ht="15.75">
      <c r="B61" s="98" t="s">
        <v>209</v>
      </c>
      <c r="C61" s="70">
        <f>C47-C60</f>
        <v>9018</v>
      </c>
      <c r="D61" s="70">
        <f>D47-D60</f>
        <v>8497</v>
      </c>
      <c r="E61" s="70">
        <f>E47-E60</f>
        <v>0</v>
      </c>
    </row>
    <row r="62" spans="2:5" ht="15.75">
      <c r="B62" s="234" t="str">
        <f>CONCATENATE("",E$1-2,"/",E$1-1," Budget Authority Amount:")</f>
        <v>2010/2011 Budget Authority Amount:</v>
      </c>
      <c r="C62" s="226">
        <f>inputOth!D47</f>
        <v>36762</v>
      </c>
      <c r="D62" s="226">
        <f>inputPrYr!D32</f>
        <v>15139</v>
      </c>
      <c r="E62" s="409">
        <f>IF(E61&lt;0,"See Tab E","")</f>
      </c>
    </row>
    <row r="63" spans="2:5" ht="15.75">
      <c r="B63" s="234"/>
      <c r="C63" s="267">
        <f>IF(C60&gt;C62,"See Tab A","")</f>
      </c>
      <c r="D63" s="267">
        <f>IF(D60&gt;D62,"See Tab C","")</f>
      </c>
      <c r="E63" s="35"/>
    </row>
    <row r="64" spans="2:5" ht="15.75">
      <c r="B64" s="234"/>
      <c r="C64" s="267">
        <f>IF(C61&lt;0,"See Tab B","")</f>
      </c>
      <c r="D64" s="267">
        <f>IF(D61&lt;0,"See Tab D","")</f>
      </c>
      <c r="E64" s="35"/>
    </row>
    <row r="65" spans="2:5" ht="15.75">
      <c r="B65" s="35"/>
      <c r="C65" s="35"/>
      <c r="D65" s="35"/>
      <c r="E65" s="35"/>
    </row>
    <row r="66" spans="2:5" ht="15.75">
      <c r="B66" s="234" t="s">
        <v>118</v>
      </c>
      <c r="C66" s="295">
        <v>13</v>
      </c>
      <c r="D66" s="35"/>
      <c r="E66" s="35"/>
    </row>
  </sheetData>
  <sheetProtection/>
  <conditionalFormatting sqref="C27">
    <cfRule type="cellIs" priority="7" dxfId="135" operator="greaterThan" stopIfTrue="1">
      <formula>$C$29*0.1</formula>
    </cfRule>
  </conditionalFormatting>
  <conditionalFormatting sqref="D27">
    <cfRule type="cellIs" priority="8" dxfId="135" operator="greaterThan" stopIfTrue="1">
      <formula>$D$29*0.1</formula>
    </cfRule>
  </conditionalFormatting>
  <conditionalFormatting sqref="E27">
    <cfRule type="cellIs" priority="9" dxfId="135" operator="greaterThan" stopIfTrue="1">
      <formula>$E$29*0.1</formula>
    </cfRule>
  </conditionalFormatting>
  <conditionalFormatting sqref="C13">
    <cfRule type="cellIs" priority="10" dxfId="135" operator="greaterThan" stopIfTrue="1">
      <formula>$C$15*0.1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C44">
    <cfRule type="cellIs" priority="13" dxfId="135" operator="greaterThan" stopIfTrue="1">
      <formula>$C$46*0.1</formula>
    </cfRule>
  </conditionalFormatting>
  <conditionalFormatting sqref="D44">
    <cfRule type="cellIs" priority="14" dxfId="135" operator="greaterThan" stopIfTrue="1">
      <formula>$D$46*0.1</formula>
    </cfRule>
  </conditionalFormatting>
  <conditionalFormatting sqref="E44">
    <cfRule type="cellIs" priority="15" dxfId="135" operator="greaterThan" stopIfTrue="1">
      <formula>$E$46*0.1</formula>
    </cfRule>
  </conditionalFormatting>
  <conditionalFormatting sqref="C58">
    <cfRule type="cellIs" priority="16" dxfId="135" operator="greaterThan" stopIfTrue="1">
      <formula>$C$60*0.1</formula>
    </cfRule>
  </conditionalFormatting>
  <conditionalFormatting sqref="D58">
    <cfRule type="cellIs" priority="17" dxfId="135" operator="greaterThan" stopIfTrue="1">
      <formula>$D$60*0.1</formula>
    </cfRule>
  </conditionalFormatting>
  <conditionalFormatting sqref="E58">
    <cfRule type="cellIs" priority="18" dxfId="135" operator="greaterThan" stopIfTrue="1">
      <formula>$E$60*0.1</formula>
    </cfRule>
  </conditionalFormatting>
  <conditionalFormatting sqref="E61 C61 E30">
    <cfRule type="cellIs" priority="19" dxfId="2" operator="lessThan" stopIfTrue="1">
      <formula>0</formula>
    </cfRule>
  </conditionalFormatting>
  <conditionalFormatting sqref="D60">
    <cfRule type="cellIs" priority="20" dxfId="2" operator="greaterThan" stopIfTrue="1">
      <formula>$D$62</formula>
    </cfRule>
  </conditionalFormatting>
  <conditionalFormatting sqref="C60">
    <cfRule type="cellIs" priority="21" dxfId="2" operator="greaterThan" stopIfTrue="1">
      <formula>$C$62</formula>
    </cfRule>
  </conditionalFormatting>
  <conditionalFormatting sqref="C29">
    <cfRule type="cellIs" priority="6" dxfId="0" operator="greaterThan" stopIfTrue="1">
      <formula>$C$31</formula>
    </cfRule>
  </conditionalFormatting>
  <conditionalFormatting sqref="D29">
    <cfRule type="cellIs" priority="5" dxfId="0" operator="greaterThan" stopIfTrue="1">
      <formula>$D$31</formula>
    </cfRule>
  </conditionalFormatting>
  <conditionalFormatting sqref="C30">
    <cfRule type="cellIs" priority="4" dxfId="0" operator="lessThan" stopIfTrue="1">
      <formula>0</formula>
    </cfRule>
  </conditionalFormatting>
  <conditionalFormatting sqref="D30">
    <cfRule type="cellIs" priority="2" dxfId="0" operator="lessThan" stopIfTrue="1">
      <formula>0</formula>
    </cfRule>
    <cfRule type="cellIs" priority="3"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view="pageBreakPreview" zoomScale="108" zoomScaleSheetLayoutView="108" zoomScalePageLayoutView="0" workbookViewId="0" topLeftCell="A40">
      <selection activeCell="E54" sqref="E54"/>
    </sheetView>
  </sheetViews>
  <sheetFormatPr defaultColWidth="8.796875" defaultRowHeight="15"/>
  <cols>
    <col min="1" max="1" width="2.3984375" style="32" customWidth="1"/>
    <col min="2" max="2" width="33.8984375" style="32" customWidth="1"/>
    <col min="3" max="4" width="15.796875" style="32" customWidth="1"/>
    <col min="5" max="5" width="16.09765625" style="32" customWidth="1"/>
    <col min="6" max="16384" width="8.8984375" style="32" customWidth="1"/>
  </cols>
  <sheetData>
    <row r="1" spans="2:5" ht="15.75">
      <c r="B1" s="174" t="str">
        <f>(inputPrYr!C2)</f>
        <v>LINCOLN COUNTY</v>
      </c>
      <c r="C1" s="35"/>
      <c r="D1" s="35"/>
      <c r="E1" s="233">
        <f>inputPrYr!C4</f>
        <v>2012</v>
      </c>
    </row>
    <row r="2" spans="2:5" ht="15.75">
      <c r="B2" s="35"/>
      <c r="C2" s="35"/>
      <c r="D2" s="35"/>
      <c r="E2" s="186"/>
    </row>
    <row r="3" spans="2:5" ht="15.75">
      <c r="B3" s="102" t="s">
        <v>167</v>
      </c>
      <c r="C3" s="279"/>
      <c r="D3" s="279"/>
      <c r="E3" s="280"/>
    </row>
    <row r="4" spans="2:5" ht="15.75">
      <c r="B4" s="35"/>
      <c r="C4" s="273"/>
      <c r="D4" s="273"/>
      <c r="E4" s="273"/>
    </row>
    <row r="5" spans="2:5" ht="15.75">
      <c r="B5" s="34" t="s">
        <v>82</v>
      </c>
      <c r="C5" s="455" t="str">
        <f>general!C4</f>
        <v>Prior Year Actual</v>
      </c>
      <c r="D5" s="382" t="str">
        <f>general!D4</f>
        <v>Current Year Estimate</v>
      </c>
      <c r="E5" s="382" t="str">
        <f>general!E4</f>
        <v>Proposed Budget Year</v>
      </c>
    </row>
    <row r="6" spans="2:5" ht="15.75">
      <c r="B6" s="414" t="str">
        <f>inputPrYr!B33</f>
        <v>Refuse</v>
      </c>
      <c r="C6" s="262">
        <f>general!C5</f>
        <v>2010</v>
      </c>
      <c r="D6" s="262">
        <f>general!D5</f>
        <v>2011</v>
      </c>
      <c r="E6" s="249">
        <f>general!E5</f>
        <v>2012</v>
      </c>
    </row>
    <row r="7" spans="2:5" ht="15.75">
      <c r="B7" s="98" t="s">
        <v>208</v>
      </c>
      <c r="C7" s="62">
        <v>36192</v>
      </c>
      <c r="D7" s="212">
        <f>C30</f>
        <v>50535</v>
      </c>
      <c r="E7" s="212">
        <f>D30</f>
        <v>29847</v>
      </c>
    </row>
    <row r="8" spans="2:5" ht="15.75">
      <c r="B8" s="282" t="s">
        <v>210</v>
      </c>
      <c r="C8" s="58"/>
      <c r="D8" s="58"/>
      <c r="E8" s="58"/>
    </row>
    <row r="9" spans="2:5" ht="15.75">
      <c r="B9" s="264" t="s">
        <v>390</v>
      </c>
      <c r="C9" s="62">
        <v>178475</v>
      </c>
      <c r="D9" s="62">
        <v>190000</v>
      </c>
      <c r="E9" s="62">
        <v>188000</v>
      </c>
    </row>
    <row r="10" spans="2:5" ht="15.75">
      <c r="B10" s="264" t="s">
        <v>391</v>
      </c>
      <c r="C10" s="62">
        <v>43776</v>
      </c>
      <c r="D10" s="62">
        <v>40000</v>
      </c>
      <c r="E10" s="62">
        <v>40000</v>
      </c>
    </row>
    <row r="11" spans="2:5" ht="15.75">
      <c r="B11" s="264" t="s">
        <v>372</v>
      </c>
      <c r="C11" s="62">
        <v>519</v>
      </c>
      <c r="D11" s="62"/>
      <c r="E11" s="62"/>
    </row>
    <row r="12" spans="2:5" ht="15.75">
      <c r="B12" s="255" t="s">
        <v>90</v>
      </c>
      <c r="C12" s="62"/>
      <c r="D12" s="62"/>
      <c r="E12" s="62"/>
    </row>
    <row r="13" spans="2:5" ht="15.75">
      <c r="B13" s="256" t="s">
        <v>43</v>
      </c>
      <c r="C13" s="62"/>
      <c r="D13" s="251"/>
      <c r="E13" s="251"/>
    </row>
    <row r="14" spans="2:5" ht="15.75">
      <c r="B14" s="256" t="s">
        <v>285</v>
      </c>
      <c r="C14" s="411">
        <f>IF(C15*0.1&lt;C13,"Exceed 10% Rule","")</f>
      </c>
      <c r="D14" s="257">
        <f>IF(D15*0.1&lt;D13,"Exceed 10% Rule","")</f>
      </c>
      <c r="E14" s="257">
        <f>IF(E15*0.1&lt;E13,"Exceed 10% Rule","")</f>
      </c>
    </row>
    <row r="15" spans="2:5" ht="15.75">
      <c r="B15" s="258" t="s">
        <v>91</v>
      </c>
      <c r="C15" s="298">
        <f>SUM(C9:C13)</f>
        <v>222770</v>
      </c>
      <c r="D15" s="298">
        <f>SUM(D9:D13)</f>
        <v>230000</v>
      </c>
      <c r="E15" s="298">
        <f>SUM(E9:E13)</f>
        <v>228000</v>
      </c>
    </row>
    <row r="16" spans="2:5" ht="15.75">
      <c r="B16" s="258" t="s">
        <v>92</v>
      </c>
      <c r="C16" s="298">
        <f>C15+C7</f>
        <v>258962</v>
      </c>
      <c r="D16" s="298">
        <f>D15+D7</f>
        <v>280535</v>
      </c>
      <c r="E16" s="298">
        <f>E15+E7</f>
        <v>257847</v>
      </c>
    </row>
    <row r="17" spans="2:5" ht="15.75">
      <c r="B17" s="98" t="s">
        <v>95</v>
      </c>
      <c r="C17" s="212"/>
      <c r="D17" s="212"/>
      <c r="E17" s="212"/>
    </row>
    <row r="18" spans="2:5" ht="15.75">
      <c r="B18" s="60" t="s">
        <v>100</v>
      </c>
      <c r="C18" s="62">
        <v>39439</v>
      </c>
      <c r="D18" s="62">
        <v>45000</v>
      </c>
      <c r="E18" s="62">
        <v>40000</v>
      </c>
    </row>
    <row r="19" spans="2:5" ht="15.75">
      <c r="B19" s="60" t="s">
        <v>101</v>
      </c>
      <c r="C19" s="62">
        <v>165924</v>
      </c>
      <c r="D19" s="62">
        <v>181688</v>
      </c>
      <c r="E19" s="62">
        <v>190847</v>
      </c>
    </row>
    <row r="20" spans="2:5" ht="15.75">
      <c r="B20" s="60" t="s">
        <v>102</v>
      </c>
      <c r="C20" s="62">
        <v>3064</v>
      </c>
      <c r="D20" s="62">
        <v>16000</v>
      </c>
      <c r="E20" s="62">
        <v>17000</v>
      </c>
    </row>
    <row r="21" spans="2:5" ht="15.75">
      <c r="B21" s="255" t="s">
        <v>103</v>
      </c>
      <c r="C21" s="62"/>
      <c r="D21" s="62">
        <v>8000</v>
      </c>
      <c r="E21" s="62">
        <v>10000</v>
      </c>
    </row>
    <row r="22" spans="2:5" ht="15.75">
      <c r="B22" s="264"/>
      <c r="C22" s="62"/>
      <c r="D22" s="62"/>
      <c r="E22" s="62"/>
    </row>
    <row r="23" spans="2:5" ht="15.75">
      <c r="B23" s="264"/>
      <c r="C23" s="62"/>
      <c r="D23" s="62"/>
      <c r="E23" s="464"/>
    </row>
    <row r="24" spans="2:5" ht="15.75">
      <c r="B24" s="264"/>
      <c r="C24" s="62"/>
      <c r="D24" s="62"/>
      <c r="E24" s="62"/>
    </row>
    <row r="25" spans="2:5" ht="15.75">
      <c r="B25" s="264"/>
      <c r="C25" s="62"/>
      <c r="D25" s="62"/>
      <c r="E25" s="62"/>
    </row>
    <row r="26" spans="2:5" ht="15.75">
      <c r="B26" s="264"/>
      <c r="C26" s="62"/>
      <c r="D26" s="62"/>
      <c r="E26" s="62"/>
    </row>
    <row r="27" spans="2:5" ht="15.75">
      <c r="B27" s="256" t="s">
        <v>43</v>
      </c>
      <c r="C27" s="62"/>
      <c r="D27" s="251"/>
      <c r="E27" s="251"/>
    </row>
    <row r="28" spans="2:5" ht="15.75">
      <c r="B28" s="256" t="s">
        <v>284</v>
      </c>
      <c r="C28" s="411">
        <f>IF(C29*0.1&lt;C27,"Exceed 10% Rule","")</f>
      </c>
      <c r="D28" s="257">
        <f>IF(D29*0.1&lt;D27,"Exceed 10% Rule","")</f>
      </c>
      <c r="E28" s="257">
        <f>IF(E29*0.1&lt;E27,"Exceed 10% Rule","")</f>
      </c>
    </row>
    <row r="29" spans="2:5" ht="15.75">
      <c r="B29" s="258" t="s">
        <v>96</v>
      </c>
      <c r="C29" s="298">
        <f>SUM(C18:C27)</f>
        <v>208427</v>
      </c>
      <c r="D29" s="298">
        <f>SUM(D18:D27)</f>
        <v>250688</v>
      </c>
      <c r="E29" s="298">
        <f>SUM(E18:E27)</f>
        <v>257847</v>
      </c>
    </row>
    <row r="30" spans="2:5" ht="15.75">
      <c r="B30" s="98" t="s">
        <v>209</v>
      </c>
      <c r="C30" s="70">
        <f>C16-C29</f>
        <v>50535</v>
      </c>
      <c r="D30" s="70">
        <f>D16-D29</f>
        <v>29847</v>
      </c>
      <c r="E30" s="70">
        <f>E16-E29</f>
        <v>0</v>
      </c>
    </row>
    <row r="31" spans="2:5" ht="15.75">
      <c r="B31" s="234" t="str">
        <f>CONCATENATE("",E$1-2,"/",E$1-1," Budget Authority Amount:")</f>
        <v>2010/2011 Budget Authority Amount:</v>
      </c>
      <c r="C31" s="226">
        <f>inputOth!B48</f>
        <v>255932</v>
      </c>
      <c r="D31" s="226">
        <f>inputPrYr!D33</f>
        <v>250688</v>
      </c>
      <c r="E31" s="410">
        <f>IF(E30&lt;0,"See Tab E","")</f>
      </c>
    </row>
    <row r="32" spans="2:5" ht="15.75">
      <c r="B32" s="234"/>
      <c r="C32" s="267">
        <f>IF(C29&gt;C31,"See Tab A","")</f>
      </c>
      <c r="D32" s="267">
        <f>IF(D29&gt;D31,"See Tab C","")</f>
      </c>
      <c r="E32" s="95"/>
    </row>
    <row r="33" spans="2:5" ht="15.75">
      <c r="B33" s="234"/>
      <c r="C33" s="267">
        <f>IF(C30&lt;0,"See Tab B","")</f>
      </c>
      <c r="D33" s="267">
        <f>IF(D30&lt;0,"See Tab D","")</f>
      </c>
      <c r="E33" s="95"/>
    </row>
    <row r="34" spans="2:5" ht="15.75">
      <c r="B34" s="35"/>
      <c r="C34" s="95"/>
      <c r="D34" s="95"/>
      <c r="E34" s="95"/>
    </row>
    <row r="35" spans="2:5" ht="15.75">
      <c r="B35" s="34" t="s">
        <v>82</v>
      </c>
      <c r="C35" s="273"/>
      <c r="D35" s="273"/>
      <c r="E35" s="273"/>
    </row>
    <row r="36" spans="2:5" ht="15.75">
      <c r="B36" s="35"/>
      <c r="C36" s="455" t="str">
        <f aca="true" t="shared" si="0" ref="C36:E37">C5</f>
        <v>Prior Year Actual</v>
      </c>
      <c r="D36" s="382" t="str">
        <f t="shared" si="0"/>
        <v>Current Year Estimate</v>
      </c>
      <c r="E36" s="382" t="str">
        <f t="shared" si="0"/>
        <v>Proposed Budget Year</v>
      </c>
    </row>
    <row r="37" spans="2:5" ht="15.75">
      <c r="B37" s="413">
        <f>inputPrYr!B34</f>
        <v>0</v>
      </c>
      <c r="C37" s="262">
        <f t="shared" si="0"/>
        <v>2010</v>
      </c>
      <c r="D37" s="262">
        <f t="shared" si="0"/>
        <v>2011</v>
      </c>
      <c r="E37" s="262">
        <f t="shared" si="0"/>
        <v>2012</v>
      </c>
    </row>
    <row r="38" spans="2:5" ht="15.75">
      <c r="B38" s="98" t="s">
        <v>208</v>
      </c>
      <c r="C38" s="62"/>
      <c r="D38" s="212">
        <f>C61</f>
        <v>0</v>
      </c>
      <c r="E38" s="212">
        <f>D61</f>
        <v>0</v>
      </c>
    </row>
    <row r="39" spans="2:5" ht="15.75">
      <c r="B39" s="98" t="s">
        <v>210</v>
      </c>
      <c r="C39" s="58"/>
      <c r="D39" s="58"/>
      <c r="E39" s="58"/>
    </row>
    <row r="40" spans="2:5" ht="15.75">
      <c r="B40" s="264"/>
      <c r="C40" s="62"/>
      <c r="D40" s="62"/>
      <c r="E40" s="62"/>
    </row>
    <row r="41" spans="2:5" ht="15.75">
      <c r="B41" s="264"/>
      <c r="C41" s="62"/>
      <c r="D41" s="62"/>
      <c r="E41" s="62"/>
    </row>
    <row r="42" spans="2:5" ht="15.75">
      <c r="B42" s="264"/>
      <c r="C42" s="62"/>
      <c r="D42" s="62"/>
      <c r="E42" s="62"/>
    </row>
    <row r="43" spans="2:5" ht="15.75">
      <c r="B43" s="255" t="s">
        <v>90</v>
      </c>
      <c r="C43" s="62"/>
      <c r="D43" s="62"/>
      <c r="E43" s="62"/>
    </row>
    <row r="44" spans="2:5" ht="15.75">
      <c r="B44" s="256" t="s">
        <v>43</v>
      </c>
      <c r="C44" s="62"/>
      <c r="D44" s="251"/>
      <c r="E44" s="251"/>
    </row>
    <row r="45" spans="2:5" ht="15.75">
      <c r="B45" s="256" t="s">
        <v>285</v>
      </c>
      <c r="C45" s="411">
        <f>IF(C46*0.1&lt;C44,"Exceed 10% Rule","")</f>
      </c>
      <c r="D45" s="257">
        <f>IF(D46*0.1&lt;D44,"Exceed 10% Rule","")</f>
      </c>
      <c r="E45" s="257">
        <f>IF(E46*0.1&lt;E44,"Exceed 10% Rule","")</f>
      </c>
    </row>
    <row r="46" spans="2:5" ht="15.75">
      <c r="B46" s="258" t="s">
        <v>91</v>
      </c>
      <c r="C46" s="298">
        <f>SUM(C40:C44)</f>
        <v>0</v>
      </c>
      <c r="D46" s="298">
        <f>SUM(D40:D44)</f>
        <v>0</v>
      </c>
      <c r="E46" s="298">
        <f>SUM(E40:E44)</f>
        <v>0</v>
      </c>
    </row>
    <row r="47" spans="2:5" ht="15.75">
      <c r="B47" s="258" t="s">
        <v>92</v>
      </c>
      <c r="C47" s="298">
        <f>C38+C46</f>
        <v>0</v>
      </c>
      <c r="D47" s="298">
        <f>D38+D46</f>
        <v>0</v>
      </c>
      <c r="E47" s="298">
        <f>E38+E46</f>
        <v>0</v>
      </c>
    </row>
    <row r="48" spans="2:5" ht="15.75">
      <c r="B48" s="98" t="s">
        <v>95</v>
      </c>
      <c r="C48" s="212"/>
      <c r="D48" s="212"/>
      <c r="E48" s="212"/>
    </row>
    <row r="49" spans="2:5" ht="15.75">
      <c r="B49" s="264"/>
      <c r="C49" s="62"/>
      <c r="D49" s="62"/>
      <c r="E49" s="62"/>
    </row>
    <row r="50" spans="2:5" ht="15.75">
      <c r="B50" s="264"/>
      <c r="C50" s="62"/>
      <c r="D50" s="62"/>
      <c r="E50" s="62"/>
    </row>
    <row r="51" spans="2:5" ht="15.75">
      <c r="B51" s="264"/>
      <c r="C51" s="62"/>
      <c r="D51" s="62"/>
      <c r="E51" s="62"/>
    </row>
    <row r="52" spans="2:5" ht="15.75">
      <c r="B52" s="264"/>
      <c r="C52" s="62"/>
      <c r="D52" s="62"/>
      <c r="E52" s="62"/>
    </row>
    <row r="53" spans="2:5" ht="15.75">
      <c r="B53" s="264"/>
      <c r="C53" s="62"/>
      <c r="D53" s="62"/>
      <c r="E53" s="62"/>
    </row>
    <row r="54" spans="2:5" ht="15.75">
      <c r="B54" s="264"/>
      <c r="C54" s="62"/>
      <c r="D54" s="62"/>
      <c r="E54" s="62"/>
    </row>
    <row r="55" spans="2:5" ht="15.75">
      <c r="B55" s="264"/>
      <c r="C55" s="62"/>
      <c r="D55" s="62"/>
      <c r="E55" s="62"/>
    </row>
    <row r="56" spans="2:5" ht="15.75">
      <c r="B56" s="264"/>
      <c r="C56" s="62"/>
      <c r="D56" s="62"/>
      <c r="E56" s="62"/>
    </row>
    <row r="57" spans="2:5" ht="15.75">
      <c r="B57" s="264"/>
      <c r="C57" s="62"/>
      <c r="D57" s="62"/>
      <c r="E57" s="62"/>
    </row>
    <row r="58" spans="2:5" ht="15.75">
      <c r="B58" s="256" t="s">
        <v>43</v>
      </c>
      <c r="C58" s="62"/>
      <c r="D58" s="251"/>
      <c r="E58" s="251"/>
    </row>
    <row r="59" spans="2:5" ht="15.75">
      <c r="B59" s="256" t="s">
        <v>284</v>
      </c>
      <c r="C59" s="411">
        <f>IF(C60*0.1&lt;C58,"Exceed 10% Rule","")</f>
      </c>
      <c r="D59" s="257">
        <f>IF(D60*0.1&lt;D58,"Exceed 10% Rule","")</f>
      </c>
      <c r="E59" s="257">
        <f>IF(E60*0.1&lt;E58,"Exceed 10% Rule","")</f>
      </c>
    </row>
    <row r="60" spans="2:5" ht="15.75">
      <c r="B60" s="258" t="s">
        <v>96</v>
      </c>
      <c r="C60" s="298">
        <f>SUM(C49:C58)</f>
        <v>0</v>
      </c>
      <c r="D60" s="298">
        <f>SUM(D49:D58)</f>
        <v>0</v>
      </c>
      <c r="E60" s="298">
        <f>SUM(E49:E58)</f>
        <v>0</v>
      </c>
    </row>
    <row r="61" spans="2:5" ht="15.75">
      <c r="B61" s="98" t="s">
        <v>209</v>
      </c>
      <c r="C61" s="70">
        <f>C47-C60</f>
        <v>0</v>
      </c>
      <c r="D61" s="70">
        <f>D47-D60</f>
        <v>0</v>
      </c>
      <c r="E61" s="70">
        <f>E47-E60</f>
        <v>0</v>
      </c>
    </row>
    <row r="62" spans="2:5" ht="15.75">
      <c r="B62" s="234" t="str">
        <f>CONCATENATE("",E$1-2,"/",E$1-1," Budget Authority Amount:")</f>
        <v>2010/2011 Budget Authority Amount:</v>
      </c>
      <c r="C62" s="226">
        <f>inputOth!B49</f>
        <v>0</v>
      </c>
      <c r="D62" s="226">
        <f>inputPrYr!D34</f>
        <v>0</v>
      </c>
      <c r="E62" s="409">
        <f>IF(E61&lt;0,"See Tab E","")</f>
      </c>
    </row>
    <row r="63" spans="2:5" ht="15.75">
      <c r="B63" s="234"/>
      <c r="C63" s="267">
        <f>IF(C60&gt;C62,"See Tab A","")</f>
      </c>
      <c r="D63" s="267">
        <f>IF(D60&gt;D62,"See Tab C","")</f>
      </c>
      <c r="E63" s="35"/>
    </row>
    <row r="64" spans="2:5" ht="15.75">
      <c r="B64" s="234"/>
      <c r="C64" s="267">
        <f>IF(C61&lt;0,"See Tab B","")</f>
      </c>
      <c r="D64" s="267">
        <f>IF(D61&lt;0,"See Tab D","")</f>
      </c>
      <c r="E64" s="35"/>
    </row>
    <row r="65" spans="2:5" ht="15.75">
      <c r="B65" s="35"/>
      <c r="C65" s="35"/>
      <c r="D65" s="35"/>
      <c r="E65" s="35"/>
    </row>
    <row r="66" spans="2:5" ht="15.75">
      <c r="B66" s="234" t="s">
        <v>118</v>
      </c>
      <c r="C66" s="295">
        <v>14</v>
      </c>
      <c r="D66" s="35"/>
      <c r="E66" s="35"/>
    </row>
  </sheetData>
  <sheetProtection/>
  <conditionalFormatting sqref="C27">
    <cfRule type="cellIs" priority="3" dxfId="135" operator="greaterThan" stopIfTrue="1">
      <formula>$C$29*0.1</formula>
    </cfRule>
  </conditionalFormatting>
  <conditionalFormatting sqref="D27">
    <cfRule type="cellIs" priority="4" dxfId="135" operator="greaterThan" stopIfTrue="1">
      <formula>$D$29*0.1</formula>
    </cfRule>
  </conditionalFormatting>
  <conditionalFormatting sqref="E27">
    <cfRule type="cellIs" priority="5" dxfId="135" operator="greaterThan" stopIfTrue="1">
      <formula>$E$29*0.1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44">
    <cfRule type="cellIs" priority="9" dxfId="135" operator="greaterThan" stopIfTrue="1">
      <formula>$C$46*0.1</formula>
    </cfRule>
  </conditionalFormatting>
  <conditionalFormatting sqref="D44">
    <cfRule type="cellIs" priority="10" dxfId="135" operator="greaterThan" stopIfTrue="1">
      <formula>$D$46*0.1</formula>
    </cfRule>
  </conditionalFormatting>
  <conditionalFormatting sqref="E44">
    <cfRule type="cellIs" priority="11" dxfId="135" operator="greaterThan" stopIfTrue="1">
      <formula>$E$46*0.1</formula>
    </cfRule>
  </conditionalFormatting>
  <conditionalFormatting sqref="C58">
    <cfRule type="cellIs" priority="12" dxfId="135" operator="greaterThan" stopIfTrue="1">
      <formula>$C$60*0.1</formula>
    </cfRule>
  </conditionalFormatting>
  <conditionalFormatting sqref="D58">
    <cfRule type="cellIs" priority="13" dxfId="135" operator="greaterThan" stopIfTrue="1">
      <formula>$D$60*0.1</formula>
    </cfRule>
  </conditionalFormatting>
  <conditionalFormatting sqref="E58">
    <cfRule type="cellIs" priority="14" dxfId="135"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70"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view="pageBreakPreview" zoomScaleSheetLayoutView="100" zoomScalePageLayoutView="0" workbookViewId="0" topLeftCell="A16">
      <selection activeCell="F34" sqref="F34"/>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2.69921875" style="32" customWidth="1"/>
    <col min="6" max="6" width="7.3984375" style="32" customWidth="1"/>
    <col min="7" max="7" width="12.3984375" style="32" customWidth="1"/>
    <col min="8" max="8" width="7.3984375" style="32" customWidth="1"/>
    <col min="9" max="9" width="11.59765625" style="32" customWidth="1"/>
    <col min="10" max="11" width="8.8984375" style="32" customWidth="1"/>
    <col min="12" max="12" width="3.19921875" style="32" customWidth="1"/>
    <col min="13" max="16384" width="8.8984375" style="32" customWidth="1"/>
  </cols>
  <sheetData>
    <row r="1" spans="1:11" ht="15.75">
      <c r="A1" s="94" t="str">
        <f>inputPrYr!$C$2</f>
        <v>LINCOLN COUNTY</v>
      </c>
      <c r="B1" s="301"/>
      <c r="C1" s="75"/>
      <c r="D1" s="75"/>
      <c r="E1" s="75"/>
      <c r="F1" s="302" t="s">
        <v>9</v>
      </c>
      <c r="G1" s="75"/>
      <c r="H1" s="75"/>
      <c r="I1" s="75"/>
      <c r="J1" s="75"/>
      <c r="K1" s="75">
        <f>inputPrYr!$C$4</f>
        <v>2012</v>
      </c>
    </row>
    <row r="2" spans="1:11" ht="15.75">
      <c r="A2" s="75"/>
      <c r="B2" s="75"/>
      <c r="C2" s="75"/>
      <c r="D2" s="75"/>
      <c r="E2" s="75"/>
      <c r="F2" s="303" t="str">
        <f>CONCATENATE("(Only the actual budget year for ",K1-2," is to be shown)")</f>
        <v>(Only the actual budget year for 2010 is to be shown)</v>
      </c>
      <c r="G2" s="75"/>
      <c r="H2" s="75"/>
      <c r="I2" s="75"/>
      <c r="J2" s="75"/>
      <c r="K2" s="75"/>
    </row>
    <row r="3" spans="1:11" ht="15.75">
      <c r="A3" s="75" t="s">
        <v>10</v>
      </c>
      <c r="B3" s="75"/>
      <c r="C3" s="75"/>
      <c r="D3" s="75"/>
      <c r="E3" s="75"/>
      <c r="F3" s="301"/>
      <c r="G3" s="75"/>
      <c r="H3" s="75"/>
      <c r="I3" s="75"/>
      <c r="J3" s="75"/>
      <c r="K3" s="75"/>
    </row>
    <row r="4" spans="1:11" ht="15.75">
      <c r="A4" s="75" t="s">
        <v>11</v>
      </c>
      <c r="B4" s="75"/>
      <c r="C4" s="75" t="s">
        <v>12</v>
      </c>
      <c r="D4" s="75"/>
      <c r="E4" s="75" t="s">
        <v>13</v>
      </c>
      <c r="F4" s="301"/>
      <c r="G4" s="75" t="s">
        <v>14</v>
      </c>
      <c r="H4" s="75"/>
      <c r="I4" s="75" t="s">
        <v>15</v>
      </c>
      <c r="J4" s="75"/>
      <c r="K4" s="75"/>
    </row>
    <row r="5" spans="1:11" ht="15.75">
      <c r="A5" s="533" t="str">
        <f>IF(inputPrYr!B39&gt;" ",(inputPrYr!B39)," ")</f>
        <v>Special  Machinery</v>
      </c>
      <c r="B5" s="534"/>
      <c r="C5" s="533" t="str">
        <f>IF(inputPrYr!B40&gt;" ",(inputPrYr!B40)," ")</f>
        <v>Special  Highway Imprv.</v>
      </c>
      <c r="D5" s="534"/>
      <c r="E5" s="533" t="str">
        <f>IF(inputPrYr!B41&gt;" ",(inputPrYr!B41)," ")</f>
        <v>Ambulance C.O.</v>
      </c>
      <c r="F5" s="534"/>
      <c r="G5" s="533" t="str">
        <f>IF(inputPrYr!B42&gt;" ",(inputPrYr!B42)," ")</f>
        <v>Capital Imprv.</v>
      </c>
      <c r="H5" s="534"/>
      <c r="I5" s="533" t="str">
        <f>IF(inputPrYr!B43&gt;" ",(inputPrYr!B43)," ")</f>
        <v>County Health C.O.</v>
      </c>
      <c r="J5" s="534"/>
      <c r="K5" s="305"/>
    </row>
    <row r="6" spans="1:11" ht="15.75">
      <c r="A6" s="306" t="s">
        <v>16</v>
      </c>
      <c r="B6" s="307"/>
      <c r="C6" s="308" t="s">
        <v>16</v>
      </c>
      <c r="D6" s="309"/>
      <c r="E6" s="308" t="s">
        <v>16</v>
      </c>
      <c r="F6" s="304"/>
      <c r="G6" s="308" t="s">
        <v>16</v>
      </c>
      <c r="H6" s="310"/>
      <c r="I6" s="308" t="s">
        <v>16</v>
      </c>
      <c r="J6" s="75"/>
      <c r="K6" s="311" t="s">
        <v>53</v>
      </c>
    </row>
    <row r="7" spans="1:11" ht="15.75">
      <c r="A7" s="312" t="s">
        <v>47</v>
      </c>
      <c r="B7" s="313">
        <v>5061</v>
      </c>
      <c r="C7" s="314" t="s">
        <v>47</v>
      </c>
      <c r="D7" s="313">
        <v>28338</v>
      </c>
      <c r="E7" s="314" t="s">
        <v>47</v>
      </c>
      <c r="F7" s="313">
        <v>114051</v>
      </c>
      <c r="G7" s="314" t="s">
        <v>47</v>
      </c>
      <c r="H7" s="313">
        <v>549546</v>
      </c>
      <c r="I7" s="314" t="s">
        <v>47</v>
      </c>
      <c r="J7" s="313">
        <v>63570</v>
      </c>
      <c r="K7" s="315">
        <f>SUM(B7+D7+F7+H7+J7)</f>
        <v>760566</v>
      </c>
    </row>
    <row r="8" spans="1:11" ht="15.75">
      <c r="A8" s="316" t="s">
        <v>210</v>
      </c>
      <c r="B8" s="317"/>
      <c r="C8" s="316" t="s">
        <v>210</v>
      </c>
      <c r="D8" s="318"/>
      <c r="E8" s="316" t="s">
        <v>210</v>
      </c>
      <c r="F8" s="301"/>
      <c r="G8" s="316" t="s">
        <v>210</v>
      </c>
      <c r="H8" s="75"/>
      <c r="I8" s="316" t="s">
        <v>210</v>
      </c>
      <c r="J8" s="75"/>
      <c r="K8" s="301"/>
    </row>
    <row r="9" spans="1:11" ht="15.75">
      <c r="A9" s="319" t="s">
        <v>392</v>
      </c>
      <c r="B9" s="313"/>
      <c r="C9" s="319"/>
      <c r="D9" s="313"/>
      <c r="E9" s="319" t="s">
        <v>394</v>
      </c>
      <c r="F9" s="313">
        <v>17500</v>
      </c>
      <c r="G9" s="319" t="s">
        <v>395</v>
      </c>
      <c r="H9" s="313">
        <v>100000</v>
      </c>
      <c r="I9" s="319" t="s">
        <v>372</v>
      </c>
      <c r="J9" s="313">
        <v>14355</v>
      </c>
      <c r="K9" s="301"/>
    </row>
    <row r="10" spans="1:11" ht="15.75">
      <c r="A10" s="319" t="s">
        <v>398</v>
      </c>
      <c r="B10" s="313">
        <v>89822</v>
      </c>
      <c r="C10" s="319"/>
      <c r="D10" s="313"/>
      <c r="E10" s="319"/>
      <c r="F10" s="313"/>
      <c r="G10" s="319"/>
      <c r="H10" s="313"/>
      <c r="I10" s="319"/>
      <c r="J10" s="313"/>
      <c r="K10" s="301"/>
    </row>
    <row r="11" spans="1:11" ht="15.75">
      <c r="A11" s="319"/>
      <c r="B11" s="313"/>
      <c r="C11" s="320"/>
      <c r="D11" s="313"/>
      <c r="E11" s="320"/>
      <c r="F11" s="313"/>
      <c r="G11" s="320"/>
      <c r="H11" s="313"/>
      <c r="I11" s="321"/>
      <c r="J11" s="313"/>
      <c r="K11" s="301"/>
    </row>
    <row r="12" spans="1:11" ht="15.75">
      <c r="A12" s="319"/>
      <c r="B12" s="313"/>
      <c r="C12" s="319"/>
      <c r="D12" s="313"/>
      <c r="E12" s="322"/>
      <c r="F12" s="313"/>
      <c r="G12" s="322"/>
      <c r="H12" s="313"/>
      <c r="I12" s="322"/>
      <c r="J12" s="313"/>
      <c r="K12" s="301"/>
    </row>
    <row r="13" spans="1:11" ht="15.75">
      <c r="A13" s="323"/>
      <c r="B13" s="313"/>
      <c r="C13" s="324"/>
      <c r="D13" s="313"/>
      <c r="E13" s="324"/>
      <c r="F13" s="313"/>
      <c r="G13" s="324"/>
      <c r="H13" s="313"/>
      <c r="I13" s="321"/>
      <c r="J13" s="313"/>
      <c r="K13" s="301"/>
    </row>
    <row r="14" spans="1:11" ht="15.75">
      <c r="A14" s="319"/>
      <c r="B14" s="313"/>
      <c r="C14" s="322"/>
      <c r="D14" s="313"/>
      <c r="E14" s="322"/>
      <c r="F14" s="313"/>
      <c r="G14" s="322"/>
      <c r="H14" s="313"/>
      <c r="I14" s="322"/>
      <c r="J14" s="313"/>
      <c r="K14" s="301"/>
    </row>
    <row r="15" spans="1:11" ht="15.75">
      <c r="A15" s="319"/>
      <c r="B15" s="313"/>
      <c r="C15" s="322"/>
      <c r="D15" s="313"/>
      <c r="E15" s="322"/>
      <c r="F15" s="313"/>
      <c r="G15" s="322"/>
      <c r="H15" s="313"/>
      <c r="I15" s="322"/>
      <c r="J15" s="313"/>
      <c r="K15" s="301"/>
    </row>
    <row r="16" spans="1:11" ht="15.75">
      <c r="A16" s="319"/>
      <c r="B16" s="313"/>
      <c r="C16" s="319"/>
      <c r="D16" s="313"/>
      <c r="E16" s="319"/>
      <c r="F16" s="313"/>
      <c r="G16" s="322"/>
      <c r="H16" s="313"/>
      <c r="I16" s="319"/>
      <c r="J16" s="313"/>
      <c r="K16" s="301"/>
    </row>
    <row r="17" spans="1:11" ht="15.75">
      <c r="A17" s="316" t="s">
        <v>91</v>
      </c>
      <c r="B17" s="325">
        <f>SUM(B9:B16)</f>
        <v>89822</v>
      </c>
      <c r="C17" s="316" t="s">
        <v>91</v>
      </c>
      <c r="D17" s="315">
        <f>SUM(D9:D16)</f>
        <v>0</v>
      </c>
      <c r="E17" s="316" t="s">
        <v>91</v>
      </c>
      <c r="F17" s="354">
        <f>SUM(F9:F16)</f>
        <v>17500</v>
      </c>
      <c r="G17" s="316" t="s">
        <v>91</v>
      </c>
      <c r="H17" s="315">
        <f>SUM(H9:H16)</f>
        <v>100000</v>
      </c>
      <c r="I17" s="316" t="s">
        <v>91</v>
      </c>
      <c r="J17" s="315">
        <f>SUM(J9:J16)</f>
        <v>14355</v>
      </c>
      <c r="K17" s="315">
        <f>SUM(B17+D17+F17+H17+J17)</f>
        <v>221677</v>
      </c>
    </row>
    <row r="18" spans="1:11" ht="15.75">
      <c r="A18" s="316" t="s">
        <v>92</v>
      </c>
      <c r="B18" s="325">
        <f>SUM(B7+B17)</f>
        <v>94883</v>
      </c>
      <c r="C18" s="316" t="s">
        <v>92</v>
      </c>
      <c r="D18" s="315">
        <f>SUM(D7+D17)</f>
        <v>28338</v>
      </c>
      <c r="E18" s="316" t="s">
        <v>92</v>
      </c>
      <c r="F18" s="315">
        <f>SUM(F7+F17)</f>
        <v>131551</v>
      </c>
      <c r="G18" s="316" t="s">
        <v>92</v>
      </c>
      <c r="H18" s="315">
        <f>SUM(H7+H17)</f>
        <v>649546</v>
      </c>
      <c r="I18" s="316" t="s">
        <v>92</v>
      </c>
      <c r="J18" s="315">
        <f>SUM(J7+J17)</f>
        <v>77925</v>
      </c>
      <c r="K18" s="315">
        <f>SUM(B18+D18+F18+H18+J18)</f>
        <v>982243</v>
      </c>
    </row>
    <row r="19" spans="1:11" ht="15.75">
      <c r="A19" s="316" t="s">
        <v>95</v>
      </c>
      <c r="B19" s="317"/>
      <c r="C19" s="316" t="s">
        <v>95</v>
      </c>
      <c r="D19" s="318"/>
      <c r="E19" s="316" t="s">
        <v>95</v>
      </c>
      <c r="F19" s="301"/>
      <c r="G19" s="316" t="s">
        <v>95</v>
      </c>
      <c r="H19" s="75"/>
      <c r="I19" s="316" t="s">
        <v>95</v>
      </c>
      <c r="J19" s="75"/>
      <c r="K19" s="301"/>
    </row>
    <row r="20" spans="1:11" ht="15.75">
      <c r="A20" s="319" t="s">
        <v>393</v>
      </c>
      <c r="B20" s="313">
        <v>91062</v>
      </c>
      <c r="C20" s="322"/>
      <c r="D20" s="313"/>
      <c r="E20" s="319" t="s">
        <v>393</v>
      </c>
      <c r="F20" s="313"/>
      <c r="G20" s="322" t="s">
        <v>396</v>
      </c>
      <c r="H20" s="313">
        <v>18690</v>
      </c>
      <c r="I20" s="319" t="s">
        <v>393</v>
      </c>
      <c r="J20" s="313">
        <v>14847</v>
      </c>
      <c r="K20" s="301"/>
    </row>
    <row r="21" spans="1:11" ht="15.75">
      <c r="A21" s="319"/>
      <c r="B21" s="313"/>
      <c r="C21" s="322"/>
      <c r="D21" s="313"/>
      <c r="E21" s="322"/>
      <c r="F21" s="313"/>
      <c r="G21" s="322"/>
      <c r="H21" s="313"/>
      <c r="I21" s="322" t="s">
        <v>400</v>
      </c>
      <c r="J21" s="313">
        <v>30000</v>
      </c>
      <c r="K21" s="301"/>
    </row>
    <row r="22" spans="1:11" ht="15.75">
      <c r="A22" s="319"/>
      <c r="B22" s="313"/>
      <c r="C22" s="324"/>
      <c r="D22" s="313"/>
      <c r="E22" s="324"/>
      <c r="F22" s="313"/>
      <c r="G22" s="324"/>
      <c r="H22" s="313"/>
      <c r="I22" s="321"/>
      <c r="J22" s="313"/>
      <c r="K22" s="301"/>
    </row>
    <row r="23" spans="1:11" ht="15.75">
      <c r="A23" s="319"/>
      <c r="B23" s="313"/>
      <c r="C23" s="322"/>
      <c r="D23" s="313"/>
      <c r="E23" s="322"/>
      <c r="F23" s="313"/>
      <c r="G23" s="322"/>
      <c r="H23" s="313"/>
      <c r="I23" s="322"/>
      <c r="J23" s="313"/>
      <c r="K23" s="301"/>
    </row>
    <row r="24" spans="1:11" ht="15.75">
      <c r="A24" s="319"/>
      <c r="B24" s="313"/>
      <c r="C24" s="324"/>
      <c r="D24" s="313"/>
      <c r="E24" s="324"/>
      <c r="F24" s="313"/>
      <c r="G24" s="324"/>
      <c r="H24" s="313"/>
      <c r="I24" s="321"/>
      <c r="J24" s="313"/>
      <c r="K24" s="301"/>
    </row>
    <row r="25" spans="1:11" ht="15.75">
      <c r="A25" s="319"/>
      <c r="B25" s="313"/>
      <c r="C25" s="322"/>
      <c r="D25" s="313"/>
      <c r="E25" s="322"/>
      <c r="F25" s="313"/>
      <c r="G25" s="322"/>
      <c r="H25" s="313"/>
      <c r="I25" s="322"/>
      <c r="J25" s="313"/>
      <c r="K25" s="301"/>
    </row>
    <row r="26" spans="1:11" ht="15.75">
      <c r="A26" s="319"/>
      <c r="B26" s="313"/>
      <c r="C26" s="322"/>
      <c r="D26" s="313"/>
      <c r="E26" s="322"/>
      <c r="F26" s="313"/>
      <c r="G26" s="322"/>
      <c r="H26" s="313"/>
      <c r="I26" s="322"/>
      <c r="J26" s="313"/>
      <c r="K26" s="301"/>
    </row>
    <row r="27" spans="1:11" ht="15.75">
      <c r="A27" s="319"/>
      <c r="B27" s="313"/>
      <c r="C27" s="319"/>
      <c r="D27" s="313"/>
      <c r="E27" s="319"/>
      <c r="F27" s="313"/>
      <c r="G27" s="322"/>
      <c r="H27" s="313"/>
      <c r="I27" s="322"/>
      <c r="J27" s="313"/>
      <c r="K27" s="301"/>
    </row>
    <row r="28" spans="1:11" ht="15.75">
      <c r="A28" s="316" t="s">
        <v>96</v>
      </c>
      <c r="B28" s="315">
        <f>SUM(B20:B27)</f>
        <v>91062</v>
      </c>
      <c r="C28" s="316" t="s">
        <v>96</v>
      </c>
      <c r="D28" s="315">
        <f>SUM(D20:D27)</f>
        <v>0</v>
      </c>
      <c r="E28" s="316" t="s">
        <v>96</v>
      </c>
      <c r="F28" s="354">
        <f>SUM(F20:F27)</f>
        <v>0</v>
      </c>
      <c r="G28" s="316" t="s">
        <v>96</v>
      </c>
      <c r="H28" s="354">
        <f>SUM(H20:H27)</f>
        <v>18690</v>
      </c>
      <c r="I28" s="316" t="s">
        <v>96</v>
      </c>
      <c r="J28" s="315">
        <f>SUM(J20:J27)</f>
        <v>44847</v>
      </c>
      <c r="K28" s="315">
        <f>SUM(B28+D28+F28+H28+J28)</f>
        <v>154599</v>
      </c>
    </row>
    <row r="29" spans="1:12" ht="15.75">
      <c r="A29" s="316" t="s">
        <v>17</v>
      </c>
      <c r="B29" s="315">
        <f>B18-B28</f>
        <v>3821</v>
      </c>
      <c r="C29" s="316" t="s">
        <v>17</v>
      </c>
      <c r="D29" s="315">
        <f>D18-D28</f>
        <v>28338</v>
      </c>
      <c r="E29" s="316" t="s">
        <v>17</v>
      </c>
      <c r="F29" s="315">
        <f>F18-F28</f>
        <v>131551</v>
      </c>
      <c r="G29" s="316" t="s">
        <v>17</v>
      </c>
      <c r="H29" s="315">
        <f>H18-H28</f>
        <v>630856</v>
      </c>
      <c r="I29" s="316" t="s">
        <v>17</v>
      </c>
      <c r="J29" s="315">
        <f>J18-J28</f>
        <v>33078</v>
      </c>
      <c r="K29" s="326">
        <f>SUM(B29+D29+F29+H29+J29)</f>
        <v>827644</v>
      </c>
      <c r="L29" s="32" t="s">
        <v>33</v>
      </c>
    </row>
    <row r="30" spans="1:12" ht="15.75">
      <c r="A30" s="316"/>
      <c r="B30" s="339">
        <f>IF(B29&lt;0,"See Tab B","")</f>
      </c>
      <c r="C30" s="316"/>
      <c r="D30" s="339">
        <f>IF(D29&lt;0,"See Tab B","")</f>
      </c>
      <c r="E30" s="316"/>
      <c r="F30" s="339">
        <f>IF(F29&lt;0,"See Tab B","")</f>
      </c>
      <c r="G30" s="75"/>
      <c r="H30" s="339">
        <f>IF(H29&lt;0,"See Tab B","")</f>
      </c>
      <c r="I30" s="75"/>
      <c r="J30" s="339">
        <f>IF(J29&lt;0,"See Tab B","")</f>
      </c>
      <c r="K30" s="326">
        <f>SUM(K7+K17-K28)</f>
        <v>827644</v>
      </c>
      <c r="L30" s="32" t="s">
        <v>33</v>
      </c>
    </row>
    <row r="31" spans="1:11" ht="15.75">
      <c r="A31" s="75"/>
      <c r="B31" s="327"/>
      <c r="C31" s="75"/>
      <c r="D31" s="301"/>
      <c r="E31" s="75"/>
      <c r="F31" s="75"/>
      <c r="G31" s="33" t="s">
        <v>34</v>
      </c>
      <c r="H31" s="33"/>
      <c r="I31" s="33"/>
      <c r="J31" s="33"/>
      <c r="K31" s="75"/>
    </row>
    <row r="32" spans="1:11" ht="15.75">
      <c r="A32" s="75"/>
      <c r="B32" s="327"/>
      <c r="C32" s="75"/>
      <c r="D32" s="75"/>
      <c r="E32" s="75"/>
      <c r="F32" s="75"/>
      <c r="G32" s="75"/>
      <c r="H32" s="75"/>
      <c r="I32" s="75"/>
      <c r="J32" s="75"/>
      <c r="K32" s="75"/>
    </row>
    <row r="33" spans="1:11" ht="15.75">
      <c r="A33" s="75"/>
      <c r="B33" s="327"/>
      <c r="C33" s="75"/>
      <c r="D33" s="75"/>
      <c r="E33" s="268" t="s">
        <v>118</v>
      </c>
      <c r="F33" s="295">
        <v>15</v>
      </c>
      <c r="G33" s="75"/>
      <c r="H33" s="75"/>
      <c r="I33" s="75"/>
      <c r="J33" s="75"/>
      <c r="K33" s="75"/>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91" r:id="rId1"/>
  <headerFooter alignWithMargins="0">
    <oddHeader>&amp;RState of Kansas
County</oddHeader>
  </headerFooter>
</worksheet>
</file>

<file path=xl/worksheets/sheet2.xml><?xml version="1.0" encoding="utf-8"?>
<worksheet xmlns="http://schemas.openxmlformats.org/spreadsheetml/2006/main" xmlns:r="http://schemas.openxmlformats.org/officeDocument/2006/relationships">
  <dimension ref="A1:E53"/>
  <sheetViews>
    <sheetView view="pageBreakPreview" zoomScale="104" zoomScaleSheetLayoutView="104" zoomScalePageLayoutView="0" workbookViewId="0" topLeftCell="A34">
      <selection activeCell="D40" sqref="D40"/>
    </sheetView>
  </sheetViews>
  <sheetFormatPr defaultColWidth="8.796875" defaultRowHeight="15"/>
  <cols>
    <col min="1" max="1" width="15.796875" style="32" customWidth="1"/>
    <col min="2" max="2" width="20.796875" style="32" customWidth="1"/>
    <col min="3" max="3" width="9.796875" style="32" customWidth="1"/>
    <col min="4" max="4" width="15.296875" style="32" customWidth="1"/>
    <col min="5" max="5" width="17.69921875" style="32" customWidth="1"/>
    <col min="6" max="16384" width="8.8984375" style="32" customWidth="1"/>
  </cols>
  <sheetData>
    <row r="1" spans="1:5" ht="15.75">
      <c r="A1" s="94" t="str">
        <f>inputPrYr!C2</f>
        <v>LINCOLN COUNTY</v>
      </c>
      <c r="B1" s="75"/>
      <c r="C1" s="75"/>
      <c r="D1" s="75"/>
      <c r="E1" s="75">
        <f>inputPrYr!C4</f>
        <v>2012</v>
      </c>
    </row>
    <row r="2" spans="1:5" ht="15.75">
      <c r="A2" s="94"/>
      <c r="B2" s="75"/>
      <c r="C2" s="75"/>
      <c r="D2" s="75"/>
      <c r="E2" s="75"/>
    </row>
    <row r="3" spans="1:5" ht="15.75">
      <c r="A3" s="477" t="s">
        <v>32</v>
      </c>
      <c r="B3" s="478"/>
      <c r="C3" s="478"/>
      <c r="D3" s="478"/>
      <c r="E3" s="478"/>
    </row>
    <row r="4" spans="1:5" ht="15.75">
      <c r="A4" s="75"/>
      <c r="B4" s="75"/>
      <c r="C4" s="75"/>
      <c r="D4" s="75"/>
      <c r="E4" s="75"/>
    </row>
    <row r="5" spans="1:5" ht="15.75">
      <c r="A5" s="74" t="str">
        <f>CONCATENATE("From the County Clerks ",E1," Budget Information:")</f>
        <v>From the County Clerks 2012 Budget Information:</v>
      </c>
      <c r="B5" s="76"/>
      <c r="C5" s="45"/>
      <c r="D5" s="35"/>
      <c r="E5" s="95"/>
    </row>
    <row r="6" spans="1:5" ht="15.75">
      <c r="A6" s="96" t="str">
        <f>CONCATENATE("Total Assessed Valuation for ",E1-1,"")</f>
        <v>Total Assessed Valuation for 2011</v>
      </c>
      <c r="B6" s="82"/>
      <c r="C6" s="82"/>
      <c r="D6" s="82"/>
      <c r="E6" s="62">
        <v>35907396</v>
      </c>
    </row>
    <row r="7" spans="1:5" ht="15.75">
      <c r="A7" s="96" t="str">
        <f>CONCATENATE("New Improvements for ",E1-1,"")</f>
        <v>New Improvements for 2011</v>
      </c>
      <c r="B7" s="82"/>
      <c r="C7" s="82"/>
      <c r="D7" s="82"/>
      <c r="E7" s="97">
        <v>199921</v>
      </c>
    </row>
    <row r="8" spans="1:5" ht="15.75">
      <c r="A8" s="96" t="str">
        <f>CONCATENATE("Personal Property excluding oil, gas, and mobile homes- ",E1-1,"")</f>
        <v>Personal Property excluding oil, gas, and mobile homes- 2011</v>
      </c>
      <c r="B8" s="82"/>
      <c r="C8" s="82"/>
      <c r="D8" s="82"/>
      <c r="E8" s="97">
        <v>1161476</v>
      </c>
    </row>
    <row r="9" spans="1:5" ht="15.75">
      <c r="A9" s="96" t="str">
        <f>CONCATENATE("Property that has changed in use for ",E1-1,"")</f>
        <v>Property that has changed in use for 2011</v>
      </c>
      <c r="B9" s="82"/>
      <c r="C9" s="82"/>
      <c r="D9" s="82"/>
      <c r="E9" s="97">
        <v>0</v>
      </c>
    </row>
    <row r="10" spans="1:5" ht="15.75">
      <c r="A10" s="96" t="str">
        <f>CONCATENATE("Personal Property excluding oil, gas, and mobile homes- ",E1-2,"")</f>
        <v>Personal Property excluding oil, gas, and mobile homes- 2010</v>
      </c>
      <c r="B10" s="82"/>
      <c r="C10" s="82"/>
      <c r="D10" s="82"/>
      <c r="E10" s="97">
        <v>1248905</v>
      </c>
    </row>
    <row r="11" spans="1:5" ht="15.75">
      <c r="A11" s="96" t="str">
        <f>CONCATENATE("Gross earnings (intangible) tax esitmate for ",E1,"")</f>
        <v>Gross earnings (intangible) tax esitmate for 2012</v>
      </c>
      <c r="B11" s="82"/>
      <c r="C11" s="82"/>
      <c r="D11" s="82"/>
      <c r="E11" s="62">
        <v>10229</v>
      </c>
    </row>
    <row r="12" spans="1:5" ht="15.75">
      <c r="A12" s="98" t="s">
        <v>243</v>
      </c>
      <c r="B12" s="82"/>
      <c r="C12" s="82"/>
      <c r="D12" s="65"/>
      <c r="E12" s="62"/>
    </row>
    <row r="13" spans="1:5" ht="15.75">
      <c r="A13" s="35"/>
      <c r="B13" s="35"/>
      <c r="C13" s="35"/>
      <c r="D13" s="51"/>
      <c r="E13" s="51"/>
    </row>
    <row r="14" spans="1:5" ht="15.75">
      <c r="A14" s="74" t="str">
        <f>CONCATENATE("From the County Treasurer's ",E1," Budget Information:")</f>
        <v>From the County Treasurer's 2012 Budget Information:</v>
      </c>
      <c r="B14" s="76"/>
      <c r="C14" s="76"/>
      <c r="D14" s="95"/>
      <c r="E14" s="95"/>
    </row>
    <row r="15" spans="1:5" ht="15.75">
      <c r="A15" s="63" t="s">
        <v>54</v>
      </c>
      <c r="B15" s="64"/>
      <c r="C15" s="64"/>
      <c r="D15" s="99"/>
      <c r="E15" s="62">
        <v>311394</v>
      </c>
    </row>
    <row r="16" spans="1:5" ht="15.75">
      <c r="A16" s="96" t="s">
        <v>55</v>
      </c>
      <c r="B16" s="82"/>
      <c r="C16" s="82"/>
      <c r="D16" s="100"/>
      <c r="E16" s="62">
        <v>4940</v>
      </c>
    </row>
    <row r="17" spans="1:5" ht="15.75">
      <c r="A17" s="96" t="s">
        <v>171</v>
      </c>
      <c r="B17" s="82"/>
      <c r="C17" s="82"/>
      <c r="D17" s="100"/>
      <c r="E17" s="62">
        <v>56194</v>
      </c>
    </row>
    <row r="18" spans="1:5" ht="15.75">
      <c r="A18" s="96" t="s">
        <v>244</v>
      </c>
      <c r="B18" s="82"/>
      <c r="C18" s="82"/>
      <c r="D18" s="101"/>
      <c r="E18" s="62"/>
    </row>
    <row r="19" spans="1:5" ht="15.75">
      <c r="A19" s="96" t="s">
        <v>245</v>
      </c>
      <c r="B19" s="82"/>
      <c r="C19" s="82"/>
      <c r="D19" s="101"/>
      <c r="E19" s="62"/>
    </row>
    <row r="20" spans="1:5" ht="15.75">
      <c r="A20" s="98" t="s">
        <v>246</v>
      </c>
      <c r="B20" s="82"/>
      <c r="C20" s="82"/>
      <c r="D20" s="100"/>
      <c r="E20" s="62"/>
    </row>
    <row r="21" spans="1:5" ht="15.75">
      <c r="A21" s="35"/>
      <c r="B21" s="35"/>
      <c r="C21" s="35"/>
      <c r="D21" s="35"/>
      <c r="E21" s="35"/>
    </row>
    <row r="22" spans="1:5" ht="15.75">
      <c r="A22" s="102" t="s">
        <v>247</v>
      </c>
      <c r="B22" s="35"/>
      <c r="C22" s="35"/>
      <c r="D22" s="35"/>
      <c r="E22" s="35"/>
    </row>
    <row r="23" spans="1:5" ht="15.75">
      <c r="A23" s="103" t="str">
        <f>CONCATENATE("Actual Delinquency for ",E1-3," Tax - (round to three decimal places)")</f>
        <v>Actual Delinquency for 2009 Tax - (round to three decimal places)</v>
      </c>
      <c r="B23" s="64"/>
      <c r="C23" s="64"/>
      <c r="D23" s="69"/>
      <c r="E23" s="372">
        <v>0.03</v>
      </c>
    </row>
    <row r="24" spans="1:5" ht="15.75">
      <c r="A24" s="64" t="s">
        <v>248</v>
      </c>
      <c r="B24" s="64"/>
      <c r="C24" s="64"/>
      <c r="D24" s="64"/>
      <c r="E24" s="373">
        <v>0.03</v>
      </c>
    </row>
    <row r="25" spans="1:5" ht="15.75">
      <c r="A25" s="33" t="s">
        <v>249</v>
      </c>
      <c r="B25" s="33"/>
      <c r="C25" s="33"/>
      <c r="D25" s="33"/>
      <c r="E25" s="33"/>
    </row>
    <row r="26" spans="1:5" ht="15.75">
      <c r="A26" s="104"/>
      <c r="B26" s="104"/>
      <c r="C26" s="104"/>
      <c r="D26" s="104"/>
      <c r="E26" s="104"/>
    </row>
    <row r="27" spans="1:5" ht="15.75">
      <c r="A27" s="481" t="str">
        <f>CONCATENATE("From the ",E1-2," Budget Certificate Page")</f>
        <v>From the 2010 Budget Certificate Page</v>
      </c>
      <c r="B27" s="482"/>
      <c r="C27" s="104"/>
      <c r="D27" s="104"/>
      <c r="E27" s="104"/>
    </row>
    <row r="28" spans="1:5" ht="15.75">
      <c r="A28" s="105"/>
      <c r="B28" s="483" t="str">
        <f>CONCATENATE("",E1-2,"                         Expenditure Amt Budget Authority")</f>
        <v>2010                         Expenditure Amt Budget Authority</v>
      </c>
      <c r="C28" s="486" t="str">
        <f>CONCATENATE("Note: If the ",E1-2," budget was amended, then the")</f>
        <v>Note: If the 2010 budget was amended, then the</v>
      </c>
      <c r="D28" s="487"/>
      <c r="E28" s="487"/>
    </row>
    <row r="29" spans="1:5" ht="15.75">
      <c r="A29" s="106" t="s">
        <v>38</v>
      </c>
      <c r="B29" s="484"/>
      <c r="C29" s="107" t="s">
        <v>39</v>
      </c>
      <c r="D29" s="108"/>
      <c r="E29" s="108"/>
    </row>
    <row r="30" spans="1:5" ht="15.75">
      <c r="A30" s="109"/>
      <c r="B30" s="485"/>
      <c r="C30" s="107" t="s">
        <v>40</v>
      </c>
      <c r="D30" s="108"/>
      <c r="E30" s="108"/>
    </row>
    <row r="31" spans="1:5" ht="15.75">
      <c r="A31" s="109"/>
      <c r="B31" s="462"/>
      <c r="C31" s="467" t="s">
        <v>420</v>
      </c>
      <c r="D31" s="468" t="s">
        <v>422</v>
      </c>
      <c r="E31" s="108"/>
    </row>
    <row r="32" spans="1:5" ht="15.75">
      <c r="A32" s="109"/>
      <c r="B32" s="462"/>
      <c r="C32" s="469" t="s">
        <v>421</v>
      </c>
      <c r="D32" s="470" t="s">
        <v>420</v>
      </c>
      <c r="E32" s="108"/>
    </row>
    <row r="33" spans="1:5" ht="15.75">
      <c r="A33" s="110" t="str">
        <f>inputPrYr!B16</f>
        <v>General</v>
      </c>
      <c r="B33" s="111">
        <v>1985728</v>
      </c>
      <c r="C33" s="471"/>
      <c r="D33" s="472">
        <f>SUM(B33:C33)</f>
        <v>1985728</v>
      </c>
      <c r="E33" s="108"/>
    </row>
    <row r="34" spans="1:5" ht="15.75">
      <c r="A34" s="110" t="str">
        <f>inputPrYr!B17</f>
        <v>Debt Service</v>
      </c>
      <c r="B34" s="55"/>
      <c r="C34" s="471"/>
      <c r="D34" s="472">
        <f aca="true" t="shared" si="0" ref="D34:D49">SUM(B34:C34)</f>
        <v>0</v>
      </c>
      <c r="E34" s="108"/>
    </row>
    <row r="35" spans="1:5" ht="15.75">
      <c r="A35" s="110" t="str">
        <f>inputPrYr!B18</f>
        <v>Road &amp; Bridge</v>
      </c>
      <c r="B35" s="55">
        <v>1617400</v>
      </c>
      <c r="C35" s="473"/>
      <c r="D35" s="472">
        <f t="shared" si="0"/>
        <v>1617400</v>
      </c>
      <c r="E35" s="104"/>
    </row>
    <row r="36" spans="1:5" ht="15.75">
      <c r="A36" s="110" t="str">
        <f>inputPrYr!B19</f>
        <v>Special Bridge</v>
      </c>
      <c r="B36" s="55">
        <v>200000</v>
      </c>
      <c r="C36" s="473"/>
      <c r="D36" s="472">
        <f t="shared" si="0"/>
        <v>200000</v>
      </c>
      <c r="E36" s="104"/>
    </row>
    <row r="37" spans="1:5" ht="15.75">
      <c r="A37" s="110" t="str">
        <f>inputPrYr!B20</f>
        <v>Noxious Weed</v>
      </c>
      <c r="B37" s="55">
        <v>96000</v>
      </c>
      <c r="C37" s="473"/>
      <c r="D37" s="472">
        <f t="shared" si="0"/>
        <v>96000</v>
      </c>
      <c r="E37" s="104"/>
    </row>
    <row r="38" spans="1:5" ht="15.75">
      <c r="A38" s="110" t="str">
        <f>inputPrYr!B21</f>
        <v>Law Enforcement</v>
      </c>
      <c r="B38" s="55">
        <v>32000</v>
      </c>
      <c r="C38" s="473"/>
      <c r="D38" s="472">
        <f t="shared" si="0"/>
        <v>32000</v>
      </c>
      <c r="E38" s="104"/>
    </row>
    <row r="39" spans="1:5" ht="15.75">
      <c r="A39" s="110" t="str">
        <f>inputPrYr!B22</f>
        <v>County Health</v>
      </c>
      <c r="B39" s="55">
        <v>252986</v>
      </c>
      <c r="C39" s="473"/>
      <c r="D39" s="472">
        <f t="shared" si="0"/>
        <v>252986</v>
      </c>
      <c r="E39" s="104"/>
    </row>
    <row r="40" spans="1:5" ht="15.75">
      <c r="A40" s="110" t="str">
        <f>inputPrYr!B23</f>
        <v>Ambulance</v>
      </c>
      <c r="B40" s="55">
        <v>229500</v>
      </c>
      <c r="C40" s="473">
        <v>6296</v>
      </c>
      <c r="D40" s="472">
        <f t="shared" si="0"/>
        <v>235796</v>
      </c>
      <c r="E40" s="104"/>
    </row>
    <row r="41" spans="1:5" ht="15.75">
      <c r="A41" s="110" t="str">
        <f>inputPrYr!B24</f>
        <v>Employee Benefits</v>
      </c>
      <c r="B41" s="55">
        <v>1040000</v>
      </c>
      <c r="C41" s="473"/>
      <c r="D41" s="472">
        <f t="shared" si="0"/>
        <v>1040000</v>
      </c>
      <c r="E41" s="104"/>
    </row>
    <row r="42" spans="1:5" ht="15.75">
      <c r="A42" s="110">
        <f>inputPrYr!B25</f>
        <v>0</v>
      </c>
      <c r="B42" s="55"/>
      <c r="C42" s="473"/>
      <c r="D42" s="472">
        <f t="shared" si="0"/>
        <v>0</v>
      </c>
      <c r="E42" s="104"/>
    </row>
    <row r="43" spans="1:5" ht="15.75">
      <c r="A43" s="110">
        <f>inputPrYr!B26</f>
        <v>0</v>
      </c>
      <c r="B43" s="55"/>
      <c r="C43" s="473"/>
      <c r="D43" s="472">
        <f t="shared" si="0"/>
        <v>0</v>
      </c>
      <c r="E43" s="104"/>
    </row>
    <row r="44" spans="1:5" ht="15.75">
      <c r="A44" s="110">
        <f>inputPrYr!B27</f>
        <v>0</v>
      </c>
      <c r="B44" s="55"/>
      <c r="C44" s="473"/>
      <c r="D44" s="472">
        <f t="shared" si="0"/>
        <v>0</v>
      </c>
      <c r="E44" s="104"/>
    </row>
    <row r="45" spans="1:5" ht="15.75">
      <c r="A45" s="110">
        <f>inputPrYr!B28</f>
        <v>0</v>
      </c>
      <c r="B45" s="55"/>
      <c r="C45" s="473"/>
      <c r="D45" s="472">
        <f t="shared" si="0"/>
        <v>0</v>
      </c>
      <c r="E45" s="104"/>
    </row>
    <row r="46" spans="1:5" ht="15.75">
      <c r="A46" s="110" t="str">
        <f>inputPrYr!B31</f>
        <v>Emergency 911-Consolidated</v>
      </c>
      <c r="B46" s="55">
        <v>24092</v>
      </c>
      <c r="C46" s="473">
        <v>26024</v>
      </c>
      <c r="D46" s="472">
        <f t="shared" si="0"/>
        <v>50116</v>
      </c>
      <c r="E46" s="104"/>
    </row>
    <row r="47" spans="1:5" ht="15.75">
      <c r="A47" s="110" t="str">
        <f>inputPrYr!B32</f>
        <v>E-911</v>
      </c>
      <c r="B47" s="55">
        <v>10738</v>
      </c>
      <c r="C47" s="473">
        <v>26024</v>
      </c>
      <c r="D47" s="472">
        <f t="shared" si="0"/>
        <v>36762</v>
      </c>
      <c r="E47" s="104"/>
    </row>
    <row r="48" spans="1:5" ht="15.75">
      <c r="A48" s="110" t="str">
        <f>inputPrYr!B33</f>
        <v>Refuse</v>
      </c>
      <c r="B48" s="55">
        <v>255932</v>
      </c>
      <c r="C48" s="473"/>
      <c r="D48" s="472">
        <f t="shared" si="0"/>
        <v>255932</v>
      </c>
      <c r="E48" s="104"/>
    </row>
    <row r="49" spans="1:5" ht="15.75">
      <c r="A49" s="110">
        <f>inputPrYr!B34</f>
        <v>0</v>
      </c>
      <c r="B49" s="55"/>
      <c r="C49" s="473"/>
      <c r="D49" s="472">
        <f t="shared" si="0"/>
        <v>0</v>
      </c>
      <c r="E49" s="104"/>
    </row>
    <row r="50" spans="1:5" ht="15.75">
      <c r="A50" s="110">
        <f>inputPrYr!B35</f>
        <v>0</v>
      </c>
      <c r="B50" s="55"/>
      <c r="C50" s="473"/>
      <c r="D50" s="473"/>
      <c r="E50" s="104"/>
    </row>
    <row r="53" ht="15.75">
      <c r="B53" s="328">
        <f>SUM(B33:B50)</f>
        <v>5744376</v>
      </c>
    </row>
  </sheetData>
  <sheetProtection/>
  <mergeCells count="4">
    <mergeCell ref="A3:E3"/>
    <mergeCell ref="A27:B27"/>
    <mergeCell ref="B28:B30"/>
    <mergeCell ref="C28:E28"/>
  </mergeCells>
  <printOptions/>
  <pageMargins left="0.75" right="0.75" top="1" bottom="1" header="0.5" footer="0.5"/>
  <pageSetup horizontalDpi="600" verticalDpi="600" orientation="portrait" scale="87"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view="pageBreakPreview" zoomScaleSheetLayoutView="100" zoomScalePageLayoutView="0" workbookViewId="0" topLeftCell="A13">
      <selection activeCell="F34" sqref="F34"/>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4" style="32" customWidth="1"/>
    <col min="8" max="8" width="7.3984375" style="32" customWidth="1"/>
    <col min="9" max="9" width="11.59765625" style="32" customWidth="1"/>
    <col min="10" max="11" width="8.8984375" style="32" customWidth="1"/>
    <col min="12" max="12" width="4" style="32" customWidth="1"/>
    <col min="13" max="16384" width="8.8984375" style="32" customWidth="1"/>
  </cols>
  <sheetData>
    <row r="1" spans="1:11" ht="15.75">
      <c r="A1" s="94" t="str">
        <f>inputPrYr!$C$2</f>
        <v>LINCOLN COUNTY</v>
      </c>
      <c r="B1" s="301"/>
      <c r="C1" s="75"/>
      <c r="D1" s="75"/>
      <c r="E1" s="75"/>
      <c r="F1" s="302" t="s">
        <v>18</v>
      </c>
      <c r="G1" s="75"/>
      <c r="H1" s="75"/>
      <c r="I1" s="75"/>
      <c r="J1" s="75"/>
      <c r="K1" s="75">
        <f>inputPrYr!$C$4</f>
        <v>2012</v>
      </c>
    </row>
    <row r="2" spans="1:11" ht="15.75">
      <c r="A2" s="75"/>
      <c r="B2" s="75"/>
      <c r="C2" s="75"/>
      <c r="D2" s="75"/>
      <c r="E2" s="75"/>
      <c r="F2" s="303" t="str">
        <f>CONCATENATE("(Only the actual budget year for ",K1-2," is to be shown)")</f>
        <v>(Only the actual budget year for 2010 is to be shown)</v>
      </c>
      <c r="G2" s="75"/>
      <c r="H2" s="75"/>
      <c r="I2" s="75"/>
      <c r="J2" s="75"/>
      <c r="K2" s="75"/>
    </row>
    <row r="3" spans="1:11" ht="15.75">
      <c r="A3" s="75" t="s">
        <v>19</v>
      </c>
      <c r="B3" s="75"/>
      <c r="C3" s="75"/>
      <c r="D3" s="75"/>
      <c r="E3" s="75"/>
      <c r="F3" s="301"/>
      <c r="G3" s="75"/>
      <c r="H3" s="75"/>
      <c r="I3" s="75"/>
      <c r="J3" s="75"/>
      <c r="K3" s="75"/>
    </row>
    <row r="4" spans="1:11" ht="15.75">
      <c r="A4" s="75" t="s">
        <v>11</v>
      </c>
      <c r="B4" s="75"/>
      <c r="C4" s="75" t="s">
        <v>12</v>
      </c>
      <c r="D4" s="75"/>
      <c r="E4" s="75" t="s">
        <v>13</v>
      </c>
      <c r="F4" s="301"/>
      <c r="G4" s="75" t="s">
        <v>14</v>
      </c>
      <c r="H4" s="75"/>
      <c r="I4" s="75" t="s">
        <v>15</v>
      </c>
      <c r="J4" s="75"/>
      <c r="K4" s="75"/>
    </row>
    <row r="5" spans="1:11" ht="15.75">
      <c r="A5" s="533" t="str">
        <f>IF(inputPrYr!B45&gt;" ",(inputPrYr!B45)," ")</f>
        <v>Home for Aged Imprv.</v>
      </c>
      <c r="B5" s="534"/>
      <c r="C5" s="533" t="str">
        <f>IF(inputPrYr!B46&gt;" ",(inputPrYr!B46)," ")</f>
        <v>Noxious Weed C.O.</v>
      </c>
      <c r="D5" s="534"/>
      <c r="E5" s="533" t="str">
        <f>IF(inputPrYr!B47&gt;" ",(inputPrYr!B47)," ")</f>
        <v>Reappraisal C.O.</v>
      </c>
      <c r="F5" s="534"/>
      <c r="G5" s="533" t="str">
        <f>IF(inputPrYr!B48&gt;" ",(inputPrYr!B48)," ")</f>
        <v>Register of Deeds-Technology</v>
      </c>
      <c r="H5" s="534"/>
      <c r="I5" s="533" t="str">
        <f>IF(inputPrYr!B49&gt;" ",(inputPrYr!B49)," ")</f>
        <v>Windpower Econ. Benefit</v>
      </c>
      <c r="J5" s="534"/>
      <c r="K5" s="305"/>
    </row>
    <row r="6" spans="1:11" ht="15.75">
      <c r="A6" s="306" t="s">
        <v>16</v>
      </c>
      <c r="B6" s="307"/>
      <c r="C6" s="308" t="s">
        <v>16</v>
      </c>
      <c r="D6" s="309"/>
      <c r="E6" s="308" t="s">
        <v>16</v>
      </c>
      <c r="F6" s="304"/>
      <c r="G6" s="308" t="s">
        <v>16</v>
      </c>
      <c r="H6" s="310"/>
      <c r="I6" s="308" t="s">
        <v>16</v>
      </c>
      <c r="J6" s="75"/>
      <c r="K6" s="311" t="s">
        <v>53</v>
      </c>
    </row>
    <row r="7" spans="1:11" ht="15.75">
      <c r="A7" s="312" t="s">
        <v>47</v>
      </c>
      <c r="B7" s="313">
        <v>48487</v>
      </c>
      <c r="C7" s="314" t="s">
        <v>47</v>
      </c>
      <c r="D7" s="313">
        <v>47734</v>
      </c>
      <c r="E7" s="314" t="s">
        <v>47</v>
      </c>
      <c r="F7" s="313">
        <v>40551</v>
      </c>
      <c r="G7" s="314" t="s">
        <v>47</v>
      </c>
      <c r="H7" s="313">
        <v>24439</v>
      </c>
      <c r="I7" s="314" t="s">
        <v>47</v>
      </c>
      <c r="J7" s="313">
        <v>1374776</v>
      </c>
      <c r="K7" s="315">
        <f>SUM(B7+D7+F7+H7+J7)</f>
        <v>1535987</v>
      </c>
    </row>
    <row r="8" spans="1:11" ht="15.75">
      <c r="A8" s="316" t="s">
        <v>210</v>
      </c>
      <c r="B8" s="317"/>
      <c r="C8" s="316" t="s">
        <v>210</v>
      </c>
      <c r="D8" s="318"/>
      <c r="E8" s="316" t="s">
        <v>210</v>
      </c>
      <c r="F8" s="301"/>
      <c r="G8" s="316" t="s">
        <v>210</v>
      </c>
      <c r="H8" s="75"/>
      <c r="I8" s="316" t="s">
        <v>210</v>
      </c>
      <c r="J8" s="75"/>
      <c r="K8" s="301"/>
    </row>
    <row r="9" spans="1:11" ht="15.75">
      <c r="A9" s="319" t="s">
        <v>401</v>
      </c>
      <c r="B9" s="313">
        <v>49000</v>
      </c>
      <c r="C9" s="319"/>
      <c r="D9" s="313"/>
      <c r="E9" s="319"/>
      <c r="F9" s="313"/>
      <c r="G9" s="319" t="s">
        <v>406</v>
      </c>
      <c r="H9" s="313">
        <v>4961</v>
      </c>
      <c r="I9" s="319" t="s">
        <v>373</v>
      </c>
      <c r="J9" s="313">
        <v>494643</v>
      </c>
      <c r="K9" s="301"/>
    </row>
    <row r="10" spans="1:11" ht="15.75">
      <c r="A10" s="319" t="s">
        <v>402</v>
      </c>
      <c r="B10" s="313">
        <v>2017</v>
      </c>
      <c r="C10" s="319"/>
      <c r="D10" s="313"/>
      <c r="E10" s="319"/>
      <c r="F10" s="313"/>
      <c r="G10" s="319"/>
      <c r="H10" s="313"/>
      <c r="I10" s="319"/>
      <c r="J10" s="313"/>
      <c r="K10" s="301"/>
    </row>
    <row r="11" spans="1:11" ht="15.75">
      <c r="A11" s="319"/>
      <c r="B11" s="313"/>
      <c r="C11" s="320"/>
      <c r="D11" s="313"/>
      <c r="E11" s="320"/>
      <c r="F11" s="313"/>
      <c r="G11" s="320"/>
      <c r="H11" s="313"/>
      <c r="I11" s="321"/>
      <c r="J11" s="313"/>
      <c r="K11" s="301"/>
    </row>
    <row r="12" spans="1:11" ht="15.75">
      <c r="A12" s="319"/>
      <c r="B12" s="313"/>
      <c r="C12" s="319"/>
      <c r="D12" s="313"/>
      <c r="E12" s="322"/>
      <c r="F12" s="313"/>
      <c r="G12" s="322"/>
      <c r="H12" s="313"/>
      <c r="I12" s="322"/>
      <c r="J12" s="313"/>
      <c r="K12" s="301"/>
    </row>
    <row r="13" spans="1:11" ht="15.75">
      <c r="A13" s="323"/>
      <c r="B13" s="313"/>
      <c r="C13" s="324"/>
      <c r="D13" s="313"/>
      <c r="E13" s="324"/>
      <c r="F13" s="313"/>
      <c r="G13" s="324"/>
      <c r="H13" s="313"/>
      <c r="I13" s="321"/>
      <c r="J13" s="313"/>
      <c r="K13" s="301"/>
    </row>
    <row r="14" spans="1:11" ht="15.75">
      <c r="A14" s="319"/>
      <c r="B14" s="313"/>
      <c r="C14" s="322"/>
      <c r="D14" s="313"/>
      <c r="E14" s="322"/>
      <c r="F14" s="313"/>
      <c r="G14" s="322"/>
      <c r="H14" s="313"/>
      <c r="I14" s="322"/>
      <c r="J14" s="313"/>
      <c r="K14" s="301"/>
    </row>
    <row r="15" spans="1:11" ht="15.75">
      <c r="A15" s="319"/>
      <c r="B15" s="313"/>
      <c r="C15" s="322"/>
      <c r="D15" s="313"/>
      <c r="E15" s="322"/>
      <c r="F15" s="313"/>
      <c r="G15" s="322"/>
      <c r="H15" s="313"/>
      <c r="I15" s="322"/>
      <c r="J15" s="313"/>
      <c r="K15" s="301"/>
    </row>
    <row r="16" spans="1:11" ht="15.75">
      <c r="A16" s="319"/>
      <c r="B16" s="313"/>
      <c r="C16" s="319"/>
      <c r="D16" s="313"/>
      <c r="E16" s="319"/>
      <c r="F16" s="313"/>
      <c r="G16" s="322"/>
      <c r="H16" s="313"/>
      <c r="I16" s="319"/>
      <c r="J16" s="313"/>
      <c r="K16" s="301"/>
    </row>
    <row r="17" spans="1:11" ht="15.75">
      <c r="A17" s="316" t="s">
        <v>91</v>
      </c>
      <c r="B17" s="315">
        <f>SUM(B9:B16)</f>
        <v>51017</v>
      </c>
      <c r="C17" s="316" t="s">
        <v>91</v>
      </c>
      <c r="D17" s="315">
        <f>SUM(D9:D16)</f>
        <v>0</v>
      </c>
      <c r="E17" s="316" t="s">
        <v>91</v>
      </c>
      <c r="F17" s="354">
        <f>SUM(F9:F16)</f>
        <v>0</v>
      </c>
      <c r="G17" s="316" t="s">
        <v>91</v>
      </c>
      <c r="H17" s="315">
        <f>SUM(H9:H16)</f>
        <v>4961</v>
      </c>
      <c r="I17" s="316" t="s">
        <v>91</v>
      </c>
      <c r="J17" s="315">
        <f>SUM(J9:J16)</f>
        <v>494643</v>
      </c>
      <c r="K17" s="315">
        <f>SUM(B17+D17+F17+H17+J17)</f>
        <v>550621</v>
      </c>
    </row>
    <row r="18" spans="1:11" ht="15.75">
      <c r="A18" s="316" t="s">
        <v>92</v>
      </c>
      <c r="B18" s="315">
        <f>SUM(B7+B17)</f>
        <v>99504</v>
      </c>
      <c r="C18" s="316" t="s">
        <v>92</v>
      </c>
      <c r="D18" s="315">
        <f>SUM(D7+D17)</f>
        <v>47734</v>
      </c>
      <c r="E18" s="316" t="s">
        <v>92</v>
      </c>
      <c r="F18" s="315">
        <f>SUM(F7+F17)</f>
        <v>40551</v>
      </c>
      <c r="G18" s="316" t="s">
        <v>92</v>
      </c>
      <c r="H18" s="315">
        <f>SUM(H7+H17)</f>
        <v>29400</v>
      </c>
      <c r="I18" s="316" t="s">
        <v>92</v>
      </c>
      <c r="J18" s="315">
        <f>SUM(J7+J17)</f>
        <v>1869419</v>
      </c>
      <c r="K18" s="315">
        <f>SUM(B18+D18+F18+H18+J18)</f>
        <v>2086608</v>
      </c>
    </row>
    <row r="19" spans="1:11" ht="15.75">
      <c r="A19" s="316" t="s">
        <v>95</v>
      </c>
      <c r="B19" s="317"/>
      <c r="C19" s="316" t="s">
        <v>95</v>
      </c>
      <c r="D19" s="318"/>
      <c r="E19" s="316" t="s">
        <v>95</v>
      </c>
      <c r="F19" s="301"/>
      <c r="G19" s="316" t="s">
        <v>95</v>
      </c>
      <c r="H19" s="75"/>
      <c r="I19" s="316" t="s">
        <v>95</v>
      </c>
      <c r="J19" s="75"/>
      <c r="K19" s="301"/>
    </row>
    <row r="20" spans="1:11" ht="15.75">
      <c r="A20" s="319"/>
      <c r="B20" s="313"/>
      <c r="C20" s="322" t="s">
        <v>403</v>
      </c>
      <c r="D20" s="313">
        <v>10000</v>
      </c>
      <c r="E20" s="322" t="s">
        <v>404</v>
      </c>
      <c r="F20" s="313"/>
      <c r="G20" s="322" t="s">
        <v>393</v>
      </c>
      <c r="H20" s="313">
        <v>1423</v>
      </c>
      <c r="I20" s="322"/>
      <c r="J20" s="313"/>
      <c r="K20" s="301"/>
    </row>
    <row r="21" spans="1:11" ht="15.75">
      <c r="A21" s="319"/>
      <c r="B21" s="313"/>
      <c r="C21" s="322"/>
      <c r="D21" s="313"/>
      <c r="E21" s="322" t="s">
        <v>405</v>
      </c>
      <c r="F21" s="313">
        <v>10000</v>
      </c>
      <c r="G21" s="322"/>
      <c r="H21" s="313"/>
      <c r="I21" s="322"/>
      <c r="J21" s="313"/>
      <c r="K21" s="301"/>
    </row>
    <row r="22" spans="1:11" ht="15.75">
      <c r="A22" s="319"/>
      <c r="B22" s="313"/>
      <c r="C22" s="324"/>
      <c r="D22" s="313"/>
      <c r="E22" s="324"/>
      <c r="F22" s="313"/>
      <c r="G22" s="324"/>
      <c r="H22" s="313"/>
      <c r="I22" s="321"/>
      <c r="J22" s="313"/>
      <c r="K22" s="301"/>
    </row>
    <row r="23" spans="1:11" ht="15.75">
      <c r="A23" s="319"/>
      <c r="B23" s="313"/>
      <c r="C23" s="322"/>
      <c r="D23" s="313"/>
      <c r="E23" s="322"/>
      <c r="F23" s="313"/>
      <c r="G23" s="322"/>
      <c r="H23" s="313"/>
      <c r="I23" s="322"/>
      <c r="J23" s="313"/>
      <c r="K23" s="301"/>
    </row>
    <row r="24" spans="1:11" ht="15.75">
      <c r="A24" s="319"/>
      <c r="B24" s="313"/>
      <c r="C24" s="324"/>
      <c r="D24" s="313"/>
      <c r="E24" s="324"/>
      <c r="F24" s="313"/>
      <c r="G24" s="324"/>
      <c r="H24" s="313"/>
      <c r="I24" s="321"/>
      <c r="J24" s="313"/>
      <c r="K24" s="301"/>
    </row>
    <row r="25" spans="1:11" ht="15.75">
      <c r="A25" s="319"/>
      <c r="B25" s="313"/>
      <c r="C25" s="322"/>
      <c r="D25" s="313"/>
      <c r="E25" s="322"/>
      <c r="F25" s="313"/>
      <c r="G25" s="322"/>
      <c r="H25" s="313"/>
      <c r="I25" s="322"/>
      <c r="J25" s="313"/>
      <c r="K25" s="301"/>
    </row>
    <row r="26" spans="1:11" ht="15.75">
      <c r="A26" s="319"/>
      <c r="B26" s="313"/>
      <c r="C26" s="322"/>
      <c r="D26" s="313"/>
      <c r="E26" s="322"/>
      <c r="F26" s="313"/>
      <c r="G26" s="322"/>
      <c r="H26" s="313"/>
      <c r="I26" s="322"/>
      <c r="J26" s="313"/>
      <c r="K26" s="301"/>
    </row>
    <row r="27" spans="1:11" ht="15.75">
      <c r="A27" s="319"/>
      <c r="B27" s="313"/>
      <c r="C27" s="319"/>
      <c r="D27" s="313"/>
      <c r="E27" s="319"/>
      <c r="F27" s="313"/>
      <c r="G27" s="322"/>
      <c r="H27" s="313"/>
      <c r="I27" s="322"/>
      <c r="J27" s="313"/>
      <c r="K27" s="301"/>
    </row>
    <row r="28" spans="1:11" ht="15.75">
      <c r="A28" s="316" t="s">
        <v>96</v>
      </c>
      <c r="B28" s="315">
        <f>SUM(B20:B27)</f>
        <v>0</v>
      </c>
      <c r="C28" s="316" t="s">
        <v>96</v>
      </c>
      <c r="D28" s="315">
        <f>SUM(D20:D27)</f>
        <v>10000</v>
      </c>
      <c r="E28" s="316" t="s">
        <v>96</v>
      </c>
      <c r="F28" s="354">
        <f>SUM(F20:F27)</f>
        <v>10000</v>
      </c>
      <c r="G28" s="316" t="s">
        <v>96</v>
      </c>
      <c r="H28" s="354">
        <f>SUM(H20:H27)</f>
        <v>1423</v>
      </c>
      <c r="I28" s="316" t="s">
        <v>96</v>
      </c>
      <c r="J28" s="315">
        <f>SUM(J20:J27)</f>
        <v>0</v>
      </c>
      <c r="K28" s="315">
        <f>SUM(B28+D28+F28+H28+J28)</f>
        <v>21423</v>
      </c>
    </row>
    <row r="29" spans="1:12" ht="15.75">
      <c r="A29" s="316" t="s">
        <v>17</v>
      </c>
      <c r="B29" s="315">
        <f>B18-B28</f>
        <v>99504</v>
      </c>
      <c r="C29" s="316" t="s">
        <v>17</v>
      </c>
      <c r="D29" s="315">
        <f>D18-D28</f>
        <v>37734</v>
      </c>
      <c r="E29" s="316" t="s">
        <v>17</v>
      </c>
      <c r="F29" s="315">
        <f>F18-F28</f>
        <v>30551</v>
      </c>
      <c r="G29" s="316" t="s">
        <v>17</v>
      </c>
      <c r="H29" s="315">
        <f>H18-H28</f>
        <v>27977</v>
      </c>
      <c r="I29" s="316" t="s">
        <v>17</v>
      </c>
      <c r="J29" s="315">
        <f>J18-J28</f>
        <v>1869419</v>
      </c>
      <c r="K29" s="326">
        <f>SUM(B29+D29+F29+H29+J29)</f>
        <v>2065185</v>
      </c>
      <c r="L29" s="32" t="s">
        <v>33</v>
      </c>
    </row>
    <row r="30" spans="1:12" ht="15.75">
      <c r="A30" s="316"/>
      <c r="B30" s="339">
        <f>IF(B29&lt;0,"See Tab B","")</f>
      </c>
      <c r="C30" s="316"/>
      <c r="D30" s="339">
        <f>IF(D29&lt;0,"See Tab B","")</f>
      </c>
      <c r="E30" s="316"/>
      <c r="F30" s="339">
        <f>IF(F29&lt;0,"See Tab B","")</f>
      </c>
      <c r="G30" s="75"/>
      <c r="H30" s="339">
        <f>IF(H29&lt;0,"See Tab B","")</f>
      </c>
      <c r="I30" s="75"/>
      <c r="J30" s="339">
        <f>IF(J29&lt;0,"See Tab B","")</f>
      </c>
      <c r="K30" s="326">
        <f>SUM(K7+K17-K28)</f>
        <v>2065185</v>
      </c>
      <c r="L30" s="32" t="s">
        <v>33</v>
      </c>
    </row>
    <row r="31" spans="1:11" ht="15.75">
      <c r="A31" s="75"/>
      <c r="B31" s="327"/>
      <c r="C31" s="75"/>
      <c r="D31" s="301"/>
      <c r="E31" s="75"/>
      <c r="F31" s="75"/>
      <c r="G31" s="33" t="s">
        <v>34</v>
      </c>
      <c r="H31" s="33"/>
      <c r="I31" s="33"/>
      <c r="J31" s="33"/>
      <c r="K31" s="75"/>
    </row>
    <row r="32" spans="1:11" ht="15.75">
      <c r="A32" s="75"/>
      <c r="B32" s="327"/>
      <c r="C32" s="75"/>
      <c r="D32" s="75"/>
      <c r="E32" s="75"/>
      <c r="F32" s="75"/>
      <c r="G32" s="75"/>
      <c r="H32" s="75"/>
      <c r="I32" s="75"/>
      <c r="J32" s="75"/>
      <c r="K32" s="75"/>
    </row>
    <row r="33" spans="1:11" ht="15.75">
      <c r="A33" s="75"/>
      <c r="B33" s="327"/>
      <c r="C33" s="75"/>
      <c r="D33" s="75"/>
      <c r="E33" s="268" t="s">
        <v>118</v>
      </c>
      <c r="F33" s="295">
        <v>16</v>
      </c>
      <c r="G33" s="75"/>
      <c r="H33" s="75"/>
      <c r="I33" s="75"/>
      <c r="J33" s="75"/>
      <c r="K33" s="75"/>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90" r:id="rId1"/>
  <headerFooter alignWithMargins="0">
    <oddHeader>&amp;RState of Kansas
County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view="pageBreakPreview" zoomScale="99" zoomScaleSheetLayoutView="99" zoomScalePageLayoutView="0" workbookViewId="0" topLeftCell="A8">
      <selection activeCell="F34" sqref="F34"/>
    </sheetView>
  </sheetViews>
  <sheetFormatPr defaultColWidth="8.796875" defaultRowHeight="15"/>
  <cols>
    <col min="1" max="1" width="11.59765625" style="32" customWidth="1"/>
    <col min="2" max="2" width="8.199218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1" width="8.8984375" style="32" customWidth="1"/>
    <col min="12" max="12" width="3.8984375" style="32" customWidth="1"/>
    <col min="13" max="16384" width="8.8984375" style="32" customWidth="1"/>
  </cols>
  <sheetData>
    <row r="1" spans="1:11" ht="15.75">
      <c r="A1" s="94" t="str">
        <f>inputPrYr!$C$2</f>
        <v>LINCOLN COUNTY</v>
      </c>
      <c r="B1" s="301"/>
      <c r="C1" s="75"/>
      <c r="D1" s="75"/>
      <c r="E1" s="75"/>
      <c r="F1" s="302" t="s">
        <v>20</v>
      </c>
      <c r="G1" s="75"/>
      <c r="H1" s="75"/>
      <c r="I1" s="75"/>
      <c r="J1" s="75"/>
      <c r="K1" s="75">
        <f>inputPrYr!$C$4</f>
        <v>2012</v>
      </c>
    </row>
    <row r="2" spans="1:11" ht="15.75">
      <c r="A2" s="75"/>
      <c r="B2" s="75"/>
      <c r="C2" s="75"/>
      <c r="D2" s="75"/>
      <c r="E2" s="75"/>
      <c r="F2" s="303" t="str">
        <f>CONCATENATE("(Only the actual budget year for ",K1-2," is to be shown)")</f>
        <v>(Only the actual budget year for 2010 is to be shown)</v>
      </c>
      <c r="G2" s="75"/>
      <c r="H2" s="75"/>
      <c r="I2" s="75"/>
      <c r="J2" s="75"/>
      <c r="K2" s="75"/>
    </row>
    <row r="3" spans="1:11" ht="15.75">
      <c r="A3" s="75" t="s">
        <v>21</v>
      </c>
      <c r="B3" s="75"/>
      <c r="C3" s="75"/>
      <c r="D3" s="75"/>
      <c r="E3" s="75"/>
      <c r="F3" s="301"/>
      <c r="G3" s="75"/>
      <c r="H3" s="75"/>
      <c r="I3" s="75"/>
      <c r="J3" s="75"/>
      <c r="K3" s="75"/>
    </row>
    <row r="4" spans="1:11" ht="15.75">
      <c r="A4" s="75" t="s">
        <v>11</v>
      </c>
      <c r="B4" s="75"/>
      <c r="C4" s="75" t="s">
        <v>12</v>
      </c>
      <c r="D4" s="75"/>
      <c r="E4" s="75" t="s">
        <v>13</v>
      </c>
      <c r="F4" s="301"/>
      <c r="G4" s="75" t="s">
        <v>14</v>
      </c>
      <c r="H4" s="75"/>
      <c r="I4" s="75" t="s">
        <v>15</v>
      </c>
      <c r="J4" s="75"/>
      <c r="K4" s="75"/>
    </row>
    <row r="5" spans="1:11" ht="15.75">
      <c r="A5" s="533" t="str">
        <f>IF(inputPrYr!B51&gt;" ",(inputPrYr!B51)," ")</f>
        <v>Windpower Interest Earned</v>
      </c>
      <c r="B5" s="534"/>
      <c r="C5" s="533" t="str">
        <f>IF(inputPrYr!B52&gt;" ",(inputPrYr!B52)," ")</f>
        <v>Treasurer's Motor Vehicle</v>
      </c>
      <c r="D5" s="534"/>
      <c r="E5" s="533" t="str">
        <f>IF(inputPrYr!B53&gt;" ",(inputPrYr!B53)," ")</f>
        <v>Motor Vehicle C.O.</v>
      </c>
      <c r="F5" s="534"/>
      <c r="G5" s="533" t="str">
        <f>IF(inputPrYr!B54&gt;" ",(inputPrYr!B54)," ")</f>
        <v>Ambulance Memorial</v>
      </c>
      <c r="H5" s="534"/>
      <c r="I5" s="533" t="str">
        <f>IF(inputPrYr!B55&gt;" ",(inputPrYr!B55)," ")</f>
        <v>County Health Memorial</v>
      </c>
      <c r="J5" s="534"/>
      <c r="K5" s="305"/>
    </row>
    <row r="6" spans="1:11" ht="15.75">
      <c r="A6" s="306" t="s">
        <v>16</v>
      </c>
      <c r="B6" s="307"/>
      <c r="C6" s="308" t="s">
        <v>16</v>
      </c>
      <c r="D6" s="309"/>
      <c r="E6" s="308" t="s">
        <v>16</v>
      </c>
      <c r="F6" s="304"/>
      <c r="G6" s="308" t="s">
        <v>16</v>
      </c>
      <c r="H6" s="310"/>
      <c r="I6" s="308" t="s">
        <v>16</v>
      </c>
      <c r="J6" s="75"/>
      <c r="K6" s="311" t="s">
        <v>53</v>
      </c>
    </row>
    <row r="7" spans="1:11" ht="15.75">
      <c r="A7" s="312" t="s">
        <v>47</v>
      </c>
      <c r="B7" s="313">
        <v>25532</v>
      </c>
      <c r="C7" s="314" t="s">
        <v>47</v>
      </c>
      <c r="D7" s="313">
        <v>30376</v>
      </c>
      <c r="E7" s="314" t="s">
        <v>47</v>
      </c>
      <c r="F7" s="313">
        <v>5000</v>
      </c>
      <c r="G7" s="314" t="s">
        <v>47</v>
      </c>
      <c r="H7" s="313">
        <v>3172</v>
      </c>
      <c r="I7" s="314" t="s">
        <v>47</v>
      </c>
      <c r="J7" s="313">
        <v>385</v>
      </c>
      <c r="K7" s="315">
        <f>SUM(B7+D7+F7+H7+J7)</f>
        <v>64465</v>
      </c>
    </row>
    <row r="8" spans="1:11" ht="15.75">
      <c r="A8" s="316" t="s">
        <v>210</v>
      </c>
      <c r="B8" s="317"/>
      <c r="C8" s="316" t="s">
        <v>210</v>
      </c>
      <c r="D8" s="318"/>
      <c r="E8" s="316" t="s">
        <v>210</v>
      </c>
      <c r="F8" s="301"/>
      <c r="G8" s="316" t="s">
        <v>210</v>
      </c>
      <c r="H8" s="75"/>
      <c r="I8" s="316" t="s">
        <v>210</v>
      </c>
      <c r="J8" s="75"/>
      <c r="K8" s="301"/>
    </row>
    <row r="9" spans="1:11" ht="15.75">
      <c r="A9" s="319" t="s">
        <v>407</v>
      </c>
      <c r="B9" s="313">
        <v>35676</v>
      </c>
      <c r="C9" s="319" t="s">
        <v>406</v>
      </c>
      <c r="D9" s="313">
        <v>412432</v>
      </c>
      <c r="E9" s="319"/>
      <c r="F9" s="313"/>
      <c r="G9" s="319" t="s">
        <v>411</v>
      </c>
      <c r="H9" s="313">
        <v>716</v>
      </c>
      <c r="I9" s="319"/>
      <c r="J9" s="313"/>
      <c r="K9" s="301"/>
    </row>
    <row r="10" spans="1:11" ht="15.75">
      <c r="A10" s="319"/>
      <c r="B10" s="313"/>
      <c r="C10" s="319" t="s">
        <v>43</v>
      </c>
      <c r="D10" s="313">
        <v>5204</v>
      </c>
      <c r="E10" s="319"/>
      <c r="F10" s="313"/>
      <c r="G10" s="319"/>
      <c r="H10" s="313"/>
      <c r="I10" s="319"/>
      <c r="J10" s="313"/>
      <c r="K10" s="301"/>
    </row>
    <row r="11" spans="1:11" ht="15.75">
      <c r="A11" s="319"/>
      <c r="B11" s="313"/>
      <c r="C11" s="320"/>
      <c r="D11" s="313"/>
      <c r="E11" s="320"/>
      <c r="F11" s="313"/>
      <c r="G11" s="320"/>
      <c r="H11" s="313"/>
      <c r="I11" s="321"/>
      <c r="J11" s="313"/>
      <c r="K11" s="301"/>
    </row>
    <row r="12" spans="1:11" ht="15.75">
      <c r="A12" s="319"/>
      <c r="B12" s="313"/>
      <c r="C12" s="319"/>
      <c r="D12" s="313"/>
      <c r="E12" s="322"/>
      <c r="F12" s="313"/>
      <c r="G12" s="322"/>
      <c r="H12" s="313"/>
      <c r="I12" s="322"/>
      <c r="J12" s="313"/>
      <c r="K12" s="301"/>
    </row>
    <row r="13" spans="1:11" ht="15.75">
      <c r="A13" s="323"/>
      <c r="B13" s="313"/>
      <c r="C13" s="324"/>
      <c r="D13" s="313"/>
      <c r="E13" s="324"/>
      <c r="F13" s="313"/>
      <c r="G13" s="324"/>
      <c r="H13" s="313"/>
      <c r="I13" s="321"/>
      <c r="J13" s="313"/>
      <c r="K13" s="301"/>
    </row>
    <row r="14" spans="1:11" ht="15.75">
      <c r="A14" s="319"/>
      <c r="B14" s="313"/>
      <c r="C14" s="322"/>
      <c r="D14" s="313"/>
      <c r="E14" s="322"/>
      <c r="F14" s="313"/>
      <c r="G14" s="322"/>
      <c r="H14" s="313"/>
      <c r="I14" s="322"/>
      <c r="J14" s="313"/>
      <c r="K14" s="301"/>
    </row>
    <row r="15" spans="1:11" ht="15.75">
      <c r="A15" s="319"/>
      <c r="B15" s="313"/>
      <c r="C15" s="322"/>
      <c r="D15" s="313"/>
      <c r="E15" s="322"/>
      <c r="F15" s="313"/>
      <c r="G15" s="322"/>
      <c r="H15" s="313"/>
      <c r="I15" s="322"/>
      <c r="J15" s="313"/>
      <c r="K15" s="301"/>
    </row>
    <row r="16" spans="1:11" ht="15.75">
      <c r="A16" s="319"/>
      <c r="B16" s="313"/>
      <c r="C16" s="319"/>
      <c r="D16" s="313"/>
      <c r="E16" s="319"/>
      <c r="F16" s="313"/>
      <c r="G16" s="322"/>
      <c r="H16" s="313"/>
      <c r="I16" s="319"/>
      <c r="J16" s="313"/>
      <c r="K16" s="301"/>
    </row>
    <row r="17" spans="1:11" ht="15.75">
      <c r="A17" s="316" t="s">
        <v>91</v>
      </c>
      <c r="B17" s="315">
        <f>SUM(B9:B16)</f>
        <v>35676</v>
      </c>
      <c r="C17" s="316" t="s">
        <v>91</v>
      </c>
      <c r="D17" s="315">
        <f>SUM(D9:D16)</f>
        <v>417636</v>
      </c>
      <c r="E17" s="316" t="s">
        <v>91</v>
      </c>
      <c r="F17" s="354">
        <f>SUM(F9:F16)</f>
        <v>0</v>
      </c>
      <c r="G17" s="316" t="s">
        <v>91</v>
      </c>
      <c r="H17" s="315">
        <f>SUM(H9:H16)</f>
        <v>716</v>
      </c>
      <c r="I17" s="316" t="s">
        <v>91</v>
      </c>
      <c r="J17" s="315">
        <f>SUM(J9:J16)</f>
        <v>0</v>
      </c>
      <c r="K17" s="315">
        <f>SUM(B17+D17+F17+H17+J17)</f>
        <v>454028</v>
      </c>
    </row>
    <row r="18" spans="1:11" ht="15.75">
      <c r="A18" s="316" t="s">
        <v>92</v>
      </c>
      <c r="B18" s="315">
        <f>SUM(B7+B17)</f>
        <v>61208</v>
      </c>
      <c r="C18" s="316" t="s">
        <v>92</v>
      </c>
      <c r="D18" s="315">
        <f>SUM(D7+D17)</f>
        <v>448012</v>
      </c>
      <c r="E18" s="316" t="s">
        <v>92</v>
      </c>
      <c r="F18" s="315">
        <f>SUM(F7+F17)</f>
        <v>5000</v>
      </c>
      <c r="G18" s="316" t="s">
        <v>92</v>
      </c>
      <c r="H18" s="315">
        <f>SUM(H7+H17)</f>
        <v>3888</v>
      </c>
      <c r="I18" s="316" t="s">
        <v>92</v>
      </c>
      <c r="J18" s="315">
        <f>SUM(J7+J17)</f>
        <v>385</v>
      </c>
      <c r="K18" s="315">
        <f>SUM(B18+D18+F18+H18+J18)</f>
        <v>518493</v>
      </c>
    </row>
    <row r="19" spans="1:11" ht="15.75">
      <c r="A19" s="316" t="s">
        <v>95</v>
      </c>
      <c r="B19" s="317"/>
      <c r="C19" s="316" t="s">
        <v>95</v>
      </c>
      <c r="D19" s="318"/>
      <c r="E19" s="316" t="s">
        <v>95</v>
      </c>
      <c r="F19" s="301"/>
      <c r="G19" s="316" t="s">
        <v>95</v>
      </c>
      <c r="H19" s="75"/>
      <c r="I19" s="316" t="s">
        <v>95</v>
      </c>
      <c r="J19" s="75"/>
      <c r="K19" s="301"/>
    </row>
    <row r="20" spans="1:11" ht="15.75">
      <c r="A20" s="319"/>
      <c r="B20" s="313"/>
      <c r="C20" s="465" t="s">
        <v>408</v>
      </c>
      <c r="D20" s="313">
        <v>2742</v>
      </c>
      <c r="E20" s="465"/>
      <c r="F20" s="313"/>
      <c r="G20" s="322" t="s">
        <v>412</v>
      </c>
      <c r="H20" s="313">
        <v>1343</v>
      </c>
      <c r="I20" s="322"/>
      <c r="J20" s="313"/>
      <c r="K20" s="301"/>
    </row>
    <row r="21" spans="1:11" ht="15.75">
      <c r="A21" s="319"/>
      <c r="B21" s="313"/>
      <c r="C21" s="465" t="s">
        <v>409</v>
      </c>
      <c r="D21" s="313">
        <v>392019</v>
      </c>
      <c r="E21" s="465"/>
      <c r="F21" s="313"/>
      <c r="G21" s="322"/>
      <c r="H21" s="313"/>
      <c r="I21" s="322"/>
      <c r="J21" s="313"/>
      <c r="K21" s="301"/>
    </row>
    <row r="22" spans="1:11" ht="15.75">
      <c r="A22" s="319"/>
      <c r="B22" s="313"/>
      <c r="C22" s="465" t="s">
        <v>410</v>
      </c>
      <c r="D22" s="313">
        <v>23423</v>
      </c>
      <c r="E22" s="465"/>
      <c r="F22" s="313"/>
      <c r="G22" s="324"/>
      <c r="H22" s="313"/>
      <c r="I22" s="321"/>
      <c r="J22" s="313"/>
      <c r="K22" s="301"/>
    </row>
    <row r="23" spans="1:11" ht="15.75">
      <c r="A23" s="319"/>
      <c r="B23" s="313"/>
      <c r="C23" s="322"/>
      <c r="D23" s="313"/>
      <c r="E23" s="466"/>
      <c r="F23" s="313"/>
      <c r="G23" s="322"/>
      <c r="H23" s="313"/>
      <c r="I23" s="322"/>
      <c r="J23" s="313"/>
      <c r="K23" s="301"/>
    </row>
    <row r="24" spans="1:11" ht="15.75">
      <c r="A24" s="319"/>
      <c r="B24" s="313"/>
      <c r="C24" s="324"/>
      <c r="D24" s="313"/>
      <c r="E24" s="324"/>
      <c r="F24" s="313"/>
      <c r="G24" s="324"/>
      <c r="H24" s="313"/>
      <c r="I24" s="321"/>
      <c r="J24" s="313"/>
      <c r="K24" s="301"/>
    </row>
    <row r="25" spans="1:11" ht="15.75">
      <c r="A25" s="319"/>
      <c r="B25" s="313"/>
      <c r="C25" s="322"/>
      <c r="D25" s="313"/>
      <c r="E25" s="322"/>
      <c r="F25" s="313"/>
      <c r="G25" s="322"/>
      <c r="H25" s="313"/>
      <c r="I25" s="322"/>
      <c r="J25" s="313"/>
      <c r="K25" s="301"/>
    </row>
    <row r="26" spans="1:11" ht="15.75">
      <c r="A26" s="319"/>
      <c r="B26" s="313"/>
      <c r="C26" s="322"/>
      <c r="D26" s="313"/>
      <c r="E26" s="322"/>
      <c r="F26" s="313"/>
      <c r="G26" s="322"/>
      <c r="H26" s="313"/>
      <c r="I26" s="322"/>
      <c r="J26" s="313"/>
      <c r="K26" s="301"/>
    </row>
    <row r="27" spans="1:11" ht="15.75">
      <c r="A27" s="319"/>
      <c r="B27" s="313"/>
      <c r="C27" s="319"/>
      <c r="D27" s="313"/>
      <c r="E27" s="319"/>
      <c r="F27" s="313"/>
      <c r="G27" s="322"/>
      <c r="H27" s="313"/>
      <c r="I27" s="322"/>
      <c r="J27" s="313"/>
      <c r="K27" s="301"/>
    </row>
    <row r="28" spans="1:11" ht="15.75">
      <c r="A28" s="316" t="s">
        <v>96</v>
      </c>
      <c r="B28" s="315">
        <f>SUM(B20:B27)</f>
        <v>0</v>
      </c>
      <c r="C28" s="316" t="s">
        <v>96</v>
      </c>
      <c r="D28" s="315">
        <f>SUM(D20:D27)</f>
        <v>418184</v>
      </c>
      <c r="E28" s="316" t="s">
        <v>96</v>
      </c>
      <c r="F28" s="354">
        <f>SUM(F20:F27)</f>
        <v>0</v>
      </c>
      <c r="G28" s="316" t="s">
        <v>96</v>
      </c>
      <c r="H28" s="354">
        <f>SUM(H20:H27)</f>
        <v>1343</v>
      </c>
      <c r="I28" s="316" t="s">
        <v>96</v>
      </c>
      <c r="J28" s="315">
        <f>SUM(J20:J27)</f>
        <v>0</v>
      </c>
      <c r="K28" s="315">
        <f>SUM(B28+D28+F28+H28+J28)</f>
        <v>419527</v>
      </c>
    </row>
    <row r="29" spans="1:12" ht="15.75">
      <c r="A29" s="316" t="s">
        <v>17</v>
      </c>
      <c r="B29" s="315">
        <f>B18-B28</f>
        <v>61208</v>
      </c>
      <c r="C29" s="316" t="s">
        <v>17</v>
      </c>
      <c r="D29" s="315">
        <f>D18-D28</f>
        <v>29828</v>
      </c>
      <c r="E29" s="316" t="s">
        <v>17</v>
      </c>
      <c r="F29" s="315">
        <f>F18-F28</f>
        <v>5000</v>
      </c>
      <c r="G29" s="316" t="s">
        <v>17</v>
      </c>
      <c r="H29" s="315">
        <f>H18-H28</f>
        <v>2545</v>
      </c>
      <c r="I29" s="316" t="s">
        <v>17</v>
      </c>
      <c r="J29" s="315">
        <f>J18-J28</f>
        <v>385</v>
      </c>
      <c r="K29" s="326">
        <f>SUM(B29+D29+F29+H29+J29)</f>
        <v>98966</v>
      </c>
      <c r="L29" s="32" t="s">
        <v>33</v>
      </c>
    </row>
    <row r="30" spans="1:12" ht="15.75">
      <c r="A30" s="316"/>
      <c r="B30" s="339">
        <f>IF(B29&lt;0,"See Tab B","")</f>
      </c>
      <c r="C30" s="316"/>
      <c r="D30" s="339">
        <f>IF(D29&lt;0,"See Tab B","")</f>
      </c>
      <c r="E30" s="316"/>
      <c r="F30" s="339">
        <f>IF(F29&lt;0,"See Tab B","")</f>
      </c>
      <c r="G30" s="75"/>
      <c r="H30" s="339">
        <f>IF(H29&lt;0,"See Tab B","")</f>
      </c>
      <c r="I30" s="75"/>
      <c r="J30" s="339">
        <f>IF(J29&lt;0,"See Tab B","")</f>
      </c>
      <c r="K30" s="326">
        <f>SUM(K7+K17-K28)</f>
        <v>98966</v>
      </c>
      <c r="L30" s="32" t="s">
        <v>33</v>
      </c>
    </row>
    <row r="31" spans="1:11" ht="15.75">
      <c r="A31" s="75"/>
      <c r="B31" s="327"/>
      <c r="C31" s="75"/>
      <c r="D31" s="301"/>
      <c r="E31" s="75"/>
      <c r="F31" s="75"/>
      <c r="G31" s="33" t="s">
        <v>34</v>
      </c>
      <c r="H31" s="33"/>
      <c r="I31" s="33"/>
      <c r="J31" s="33"/>
      <c r="K31" s="75"/>
    </row>
    <row r="32" spans="1:11" ht="15.75">
      <c r="A32" s="75"/>
      <c r="B32" s="327"/>
      <c r="C32" s="75"/>
      <c r="D32" s="75"/>
      <c r="E32" s="75"/>
      <c r="F32" s="75"/>
      <c r="G32" s="75"/>
      <c r="H32" s="75"/>
      <c r="I32" s="75"/>
      <c r="J32" s="75"/>
      <c r="K32" s="75"/>
    </row>
    <row r="33" spans="1:11" ht="15.75">
      <c r="A33" s="75"/>
      <c r="B33" s="327"/>
      <c r="C33" s="75"/>
      <c r="D33" s="75"/>
      <c r="E33" s="268" t="s">
        <v>118</v>
      </c>
      <c r="F33" s="295">
        <v>17</v>
      </c>
      <c r="G33" s="75"/>
      <c r="H33" s="75"/>
      <c r="I33" s="75"/>
      <c r="J33" s="75"/>
      <c r="K33" s="75"/>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91" r:id="rId1"/>
  <headerFooter alignWithMargins="0">
    <oddHeader>&amp;RState of Kansas
County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view="pageBreakPreview" zoomScale="94" zoomScaleSheetLayoutView="94" zoomScalePageLayoutView="0" workbookViewId="0" topLeftCell="A8">
      <selection activeCell="F34" sqref="F34"/>
    </sheetView>
  </sheetViews>
  <sheetFormatPr defaultColWidth="8.796875" defaultRowHeight="15"/>
  <cols>
    <col min="1" max="1" width="11.59765625" style="32" customWidth="1"/>
    <col min="2" max="2" width="7.3984375" style="32" customWidth="1"/>
    <col min="3" max="3" width="14.398437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1" width="8.8984375" style="32" customWidth="1"/>
    <col min="12" max="12" width="4.3984375" style="32" customWidth="1"/>
    <col min="13" max="16384" width="8.8984375" style="32" customWidth="1"/>
  </cols>
  <sheetData>
    <row r="1" spans="1:11" ht="15.75">
      <c r="A1" s="94" t="str">
        <f>inputPrYr!$C$2</f>
        <v>LINCOLN COUNTY</v>
      </c>
      <c r="B1" s="301"/>
      <c r="C1" s="75"/>
      <c r="D1" s="75"/>
      <c r="E1" s="75"/>
      <c r="F1" s="302" t="s">
        <v>22</v>
      </c>
      <c r="G1" s="75"/>
      <c r="H1" s="75"/>
      <c r="I1" s="75"/>
      <c r="J1" s="75"/>
      <c r="K1" s="75">
        <f>inputPrYr!$C$4</f>
        <v>2012</v>
      </c>
    </row>
    <row r="2" spans="1:11" ht="15.75">
      <c r="A2" s="75"/>
      <c r="B2" s="75"/>
      <c r="C2" s="75"/>
      <c r="D2" s="75"/>
      <c r="E2" s="75"/>
      <c r="F2" s="303" t="str">
        <f>CONCATENATE("(Only the actual budget year for ",K1-2," is to be shown)")</f>
        <v>(Only the actual budget year for 2010 is to be shown)</v>
      </c>
      <c r="G2" s="75"/>
      <c r="H2" s="75"/>
      <c r="I2" s="75"/>
      <c r="J2" s="75"/>
      <c r="K2" s="75"/>
    </row>
    <row r="3" spans="1:11" ht="15.75">
      <c r="A3" s="75" t="s">
        <v>23</v>
      </c>
      <c r="B3" s="75"/>
      <c r="C3" s="75"/>
      <c r="D3" s="75"/>
      <c r="E3" s="75"/>
      <c r="F3" s="301"/>
      <c r="G3" s="75"/>
      <c r="H3" s="75"/>
      <c r="I3" s="75"/>
      <c r="J3" s="75"/>
      <c r="K3" s="75"/>
    </row>
    <row r="4" spans="1:11" ht="15.75">
      <c r="A4" s="75" t="s">
        <v>11</v>
      </c>
      <c r="B4" s="75"/>
      <c r="C4" s="75" t="s">
        <v>12</v>
      </c>
      <c r="D4" s="75"/>
      <c r="E4" s="75" t="s">
        <v>13</v>
      </c>
      <c r="F4" s="301"/>
      <c r="G4" s="75" t="s">
        <v>14</v>
      </c>
      <c r="H4" s="75"/>
      <c r="I4" s="75" t="s">
        <v>15</v>
      </c>
      <c r="J4" s="75"/>
      <c r="K4" s="75"/>
    </row>
    <row r="5" spans="1:11" ht="15.75">
      <c r="A5" s="533" t="str">
        <f>IF(inputPrYr!B57&gt;" ",(inputPrYr!B57)," ")</f>
        <v>Delia Pittard Bequest</v>
      </c>
      <c r="B5" s="534"/>
      <c r="C5" s="533" t="str">
        <f>IF(inputPrYr!B58&gt;" ",(inputPrYr!B58)," ")</f>
        <v>Children's Health Care Endow.</v>
      </c>
      <c r="D5" s="534"/>
      <c r="E5" s="533" t="str">
        <f>IF(inputPrYr!B59&gt;" ",(inputPrYr!B59)," ")</f>
        <v> </v>
      </c>
      <c r="F5" s="534"/>
      <c r="G5" s="533" t="str">
        <f>IF(inputPrYr!B60&gt;" ",(inputPrYr!B60)," ")</f>
        <v> </v>
      </c>
      <c r="H5" s="534"/>
      <c r="I5" s="533" t="str">
        <f>IF(inputPrYr!B61&gt;" ",(inputPrYr!B61)," ")</f>
        <v> </v>
      </c>
      <c r="J5" s="534"/>
      <c r="K5" s="305"/>
    </row>
    <row r="6" spans="1:11" ht="15.75">
      <c r="A6" s="306" t="s">
        <v>16</v>
      </c>
      <c r="B6" s="307"/>
      <c r="C6" s="308" t="s">
        <v>16</v>
      </c>
      <c r="D6" s="309"/>
      <c r="E6" s="308" t="s">
        <v>16</v>
      </c>
      <c r="F6" s="304"/>
      <c r="G6" s="308" t="s">
        <v>16</v>
      </c>
      <c r="H6" s="310"/>
      <c r="I6" s="308" t="s">
        <v>16</v>
      </c>
      <c r="J6" s="75"/>
      <c r="K6" s="311" t="s">
        <v>53</v>
      </c>
    </row>
    <row r="7" spans="1:11" ht="15.75">
      <c r="A7" s="312" t="s">
        <v>47</v>
      </c>
      <c r="B7" s="313">
        <v>587527</v>
      </c>
      <c r="C7" s="314" t="s">
        <v>47</v>
      </c>
      <c r="D7" s="313">
        <v>252986</v>
      </c>
      <c r="E7" s="314" t="s">
        <v>47</v>
      </c>
      <c r="F7" s="313"/>
      <c r="G7" s="314" t="s">
        <v>47</v>
      </c>
      <c r="H7" s="313"/>
      <c r="I7" s="314" t="s">
        <v>47</v>
      </c>
      <c r="J7" s="313"/>
      <c r="K7" s="315">
        <f>SUM(B7+D7+F7+H7+J7)</f>
        <v>840513</v>
      </c>
    </row>
    <row r="8" spans="1:11" ht="15.75">
      <c r="A8" s="316" t="s">
        <v>210</v>
      </c>
      <c r="B8" s="317"/>
      <c r="C8" s="316" t="s">
        <v>210</v>
      </c>
      <c r="D8" s="318"/>
      <c r="E8" s="316" t="s">
        <v>210</v>
      </c>
      <c r="F8" s="301"/>
      <c r="G8" s="316" t="s">
        <v>210</v>
      </c>
      <c r="H8" s="75"/>
      <c r="I8" s="316" t="s">
        <v>210</v>
      </c>
      <c r="J8" s="75"/>
      <c r="K8" s="301"/>
    </row>
    <row r="9" spans="1:11" ht="15.75">
      <c r="A9" s="319" t="s">
        <v>413</v>
      </c>
      <c r="B9" s="313">
        <v>17485</v>
      </c>
      <c r="C9" s="319" t="s">
        <v>416</v>
      </c>
      <c r="D9" s="313"/>
      <c r="E9" s="319"/>
      <c r="F9" s="313"/>
      <c r="G9" s="319"/>
      <c r="H9" s="313"/>
      <c r="I9" s="319"/>
      <c r="J9" s="313"/>
      <c r="K9" s="301"/>
    </row>
    <row r="10" spans="1:11" ht="15.75">
      <c r="A10" s="319"/>
      <c r="B10" s="313"/>
      <c r="C10" s="319" t="s">
        <v>417</v>
      </c>
      <c r="D10" s="313">
        <v>17490</v>
      </c>
      <c r="E10" s="319"/>
      <c r="F10" s="313"/>
      <c r="G10" s="319"/>
      <c r="H10" s="313"/>
      <c r="I10" s="319"/>
      <c r="J10" s="313"/>
      <c r="K10" s="301"/>
    </row>
    <row r="11" spans="1:11" ht="15.75">
      <c r="A11" s="319"/>
      <c r="B11" s="313"/>
      <c r="C11" s="320" t="s">
        <v>43</v>
      </c>
      <c r="D11" s="313">
        <v>2585</v>
      </c>
      <c r="E11" s="320"/>
      <c r="F11" s="313"/>
      <c r="G11" s="320"/>
      <c r="H11" s="313"/>
      <c r="I11" s="321"/>
      <c r="J11" s="313"/>
      <c r="K11" s="301"/>
    </row>
    <row r="12" spans="1:11" ht="15.75">
      <c r="A12" s="319"/>
      <c r="B12" s="313"/>
      <c r="C12" s="319" t="s">
        <v>413</v>
      </c>
      <c r="D12" s="313">
        <v>6503</v>
      </c>
      <c r="E12" s="322"/>
      <c r="F12" s="313"/>
      <c r="G12" s="322"/>
      <c r="H12" s="313"/>
      <c r="I12" s="322"/>
      <c r="J12" s="313"/>
      <c r="K12" s="301"/>
    </row>
    <row r="13" spans="1:11" ht="15.75">
      <c r="A13" s="323"/>
      <c r="B13" s="313"/>
      <c r="C13" s="324"/>
      <c r="D13" s="313"/>
      <c r="E13" s="324"/>
      <c r="F13" s="313"/>
      <c r="G13" s="324"/>
      <c r="H13" s="313"/>
      <c r="I13" s="321"/>
      <c r="J13" s="313"/>
      <c r="K13" s="301"/>
    </row>
    <row r="14" spans="1:11" ht="15.75">
      <c r="A14" s="319"/>
      <c r="B14" s="313"/>
      <c r="C14" s="322"/>
      <c r="D14" s="313"/>
      <c r="E14" s="322"/>
      <c r="F14" s="313"/>
      <c r="G14" s="322"/>
      <c r="H14" s="313"/>
      <c r="I14" s="322"/>
      <c r="J14" s="313"/>
      <c r="K14" s="301"/>
    </row>
    <row r="15" spans="1:11" ht="15.75">
      <c r="A15" s="319"/>
      <c r="B15" s="313"/>
      <c r="C15" s="322"/>
      <c r="D15" s="313"/>
      <c r="E15" s="322"/>
      <c r="F15" s="313"/>
      <c r="G15" s="322"/>
      <c r="H15" s="313"/>
      <c r="I15" s="322"/>
      <c r="J15" s="313"/>
      <c r="K15" s="301"/>
    </row>
    <row r="16" spans="1:11" ht="15.75">
      <c r="A16" s="319"/>
      <c r="B16" s="313"/>
      <c r="C16" s="319"/>
      <c r="D16" s="313"/>
      <c r="E16" s="319"/>
      <c r="F16" s="313"/>
      <c r="G16" s="322"/>
      <c r="H16" s="313"/>
      <c r="I16" s="319"/>
      <c r="J16" s="313"/>
      <c r="K16" s="301"/>
    </row>
    <row r="17" spans="1:11" ht="15.75">
      <c r="A17" s="316" t="s">
        <v>91</v>
      </c>
      <c r="B17" s="315">
        <f>SUM(B9:B16)</f>
        <v>17485</v>
      </c>
      <c r="C17" s="316" t="s">
        <v>91</v>
      </c>
      <c r="D17" s="315">
        <f>SUM(D9:D16)</f>
        <v>26578</v>
      </c>
      <c r="E17" s="316" t="s">
        <v>91</v>
      </c>
      <c r="F17" s="354">
        <f>SUM(F9:F16)</f>
        <v>0</v>
      </c>
      <c r="G17" s="316" t="s">
        <v>91</v>
      </c>
      <c r="H17" s="315">
        <f>SUM(H9:H16)</f>
        <v>0</v>
      </c>
      <c r="I17" s="316" t="s">
        <v>91</v>
      </c>
      <c r="J17" s="315">
        <f>SUM(J9:J16)</f>
        <v>0</v>
      </c>
      <c r="K17" s="315">
        <f>SUM(B17+D17+F17+H17+J17)</f>
        <v>44063</v>
      </c>
    </row>
    <row r="18" spans="1:11" ht="15.75">
      <c r="A18" s="316" t="s">
        <v>92</v>
      </c>
      <c r="B18" s="315">
        <f>SUM(B7+B17)</f>
        <v>605012</v>
      </c>
      <c r="C18" s="316" t="s">
        <v>92</v>
      </c>
      <c r="D18" s="315">
        <f>SUM(D7+D17)</f>
        <v>279564</v>
      </c>
      <c r="E18" s="316" t="s">
        <v>92</v>
      </c>
      <c r="F18" s="315">
        <f>SUM(F7+F17)</f>
        <v>0</v>
      </c>
      <c r="G18" s="316" t="s">
        <v>92</v>
      </c>
      <c r="H18" s="315">
        <f>SUM(H7+H17)</f>
        <v>0</v>
      </c>
      <c r="I18" s="316" t="s">
        <v>92</v>
      </c>
      <c r="J18" s="315">
        <f>SUM(J7+J17)</f>
        <v>0</v>
      </c>
      <c r="K18" s="315">
        <f>SUM(B18+D18+F18+H18+J18)</f>
        <v>884576</v>
      </c>
    </row>
    <row r="19" spans="1:11" ht="15.75">
      <c r="A19" s="316" t="s">
        <v>95</v>
      </c>
      <c r="B19" s="317"/>
      <c r="C19" s="316" t="s">
        <v>95</v>
      </c>
      <c r="D19" s="318"/>
      <c r="E19" s="316" t="s">
        <v>95</v>
      </c>
      <c r="F19" s="301"/>
      <c r="G19" s="316" t="s">
        <v>95</v>
      </c>
      <c r="H19" s="75"/>
      <c r="I19" s="316" t="s">
        <v>95</v>
      </c>
      <c r="J19" s="75"/>
      <c r="K19" s="301"/>
    </row>
    <row r="20" spans="1:11" ht="15.75">
      <c r="A20" s="319" t="s">
        <v>414</v>
      </c>
      <c r="B20" s="313"/>
      <c r="C20" s="322" t="s">
        <v>409</v>
      </c>
      <c r="D20" s="313">
        <v>10404</v>
      </c>
      <c r="E20" s="322"/>
      <c r="F20" s="313"/>
      <c r="G20" s="322"/>
      <c r="H20" s="313"/>
      <c r="I20" s="322"/>
      <c r="J20" s="313"/>
      <c r="K20" s="301"/>
    </row>
    <row r="21" spans="1:11" ht="15.75">
      <c r="A21" s="319" t="s">
        <v>415</v>
      </c>
      <c r="B21" s="313">
        <v>17490</v>
      </c>
      <c r="C21" s="322" t="s">
        <v>418</v>
      </c>
      <c r="D21" s="313">
        <v>15000</v>
      </c>
      <c r="E21" s="322"/>
      <c r="F21" s="313"/>
      <c r="G21" s="322"/>
      <c r="H21" s="313"/>
      <c r="I21" s="322"/>
      <c r="J21" s="313"/>
      <c r="K21" s="301"/>
    </row>
    <row r="22" spans="1:11" ht="15.75">
      <c r="A22" s="319"/>
      <c r="B22" s="313"/>
      <c r="C22" s="324"/>
      <c r="D22" s="313"/>
      <c r="E22" s="324"/>
      <c r="F22" s="313"/>
      <c r="G22" s="324"/>
      <c r="H22" s="313"/>
      <c r="I22" s="321"/>
      <c r="J22" s="313"/>
      <c r="K22" s="301"/>
    </row>
    <row r="23" spans="1:11" ht="15.75">
      <c r="A23" s="319"/>
      <c r="B23" s="313"/>
      <c r="C23" s="322"/>
      <c r="D23" s="313"/>
      <c r="E23" s="322"/>
      <c r="F23" s="313"/>
      <c r="G23" s="322"/>
      <c r="H23" s="313"/>
      <c r="I23" s="322"/>
      <c r="J23" s="313"/>
      <c r="K23" s="301"/>
    </row>
    <row r="24" spans="1:11" ht="15.75">
      <c r="A24" s="319"/>
      <c r="B24" s="313"/>
      <c r="C24" s="324"/>
      <c r="D24" s="313"/>
      <c r="E24" s="324"/>
      <c r="F24" s="313"/>
      <c r="G24" s="324"/>
      <c r="H24" s="313"/>
      <c r="I24" s="321"/>
      <c r="J24" s="313"/>
      <c r="K24" s="301"/>
    </row>
    <row r="25" spans="1:11" ht="15.75">
      <c r="A25" s="319"/>
      <c r="B25" s="313"/>
      <c r="C25" s="322"/>
      <c r="D25" s="313"/>
      <c r="E25" s="322"/>
      <c r="F25" s="313"/>
      <c r="G25" s="322"/>
      <c r="H25" s="313"/>
      <c r="I25" s="322"/>
      <c r="J25" s="313"/>
      <c r="K25" s="301"/>
    </row>
    <row r="26" spans="1:11" ht="15.75">
      <c r="A26" s="319"/>
      <c r="B26" s="313"/>
      <c r="C26" s="322"/>
      <c r="D26" s="313"/>
      <c r="E26" s="322"/>
      <c r="F26" s="313"/>
      <c r="G26" s="322"/>
      <c r="H26" s="313"/>
      <c r="I26" s="322"/>
      <c r="J26" s="313"/>
      <c r="K26" s="301"/>
    </row>
    <row r="27" spans="1:11" ht="15.75">
      <c r="A27" s="319"/>
      <c r="B27" s="313"/>
      <c r="C27" s="319"/>
      <c r="D27" s="313"/>
      <c r="E27" s="319"/>
      <c r="F27" s="313"/>
      <c r="G27" s="322"/>
      <c r="H27" s="313"/>
      <c r="I27" s="322"/>
      <c r="J27" s="313"/>
      <c r="K27" s="301"/>
    </row>
    <row r="28" spans="1:11" ht="15.75">
      <c r="A28" s="316" t="s">
        <v>96</v>
      </c>
      <c r="B28" s="315">
        <f>SUM(B20:B27)</f>
        <v>17490</v>
      </c>
      <c r="C28" s="316" t="s">
        <v>96</v>
      </c>
      <c r="D28" s="315">
        <f>SUM(D20:D27)</f>
        <v>25404</v>
      </c>
      <c r="E28" s="316" t="s">
        <v>96</v>
      </c>
      <c r="F28" s="354">
        <f>SUM(F20:F27)</f>
        <v>0</v>
      </c>
      <c r="G28" s="316" t="s">
        <v>96</v>
      </c>
      <c r="H28" s="354">
        <f>SUM(H20:H27)</f>
        <v>0</v>
      </c>
      <c r="I28" s="316" t="s">
        <v>96</v>
      </c>
      <c r="J28" s="315">
        <f>SUM(J20:J27)</f>
        <v>0</v>
      </c>
      <c r="K28" s="315">
        <f>SUM(B28+D28+F28+H28+J28)</f>
        <v>42894</v>
      </c>
    </row>
    <row r="29" spans="1:12" ht="15.75">
      <c r="A29" s="316" t="s">
        <v>17</v>
      </c>
      <c r="B29" s="315">
        <f>B18-B28</f>
        <v>587522</v>
      </c>
      <c r="C29" s="316" t="s">
        <v>17</v>
      </c>
      <c r="D29" s="315">
        <f>D18-D28</f>
        <v>254160</v>
      </c>
      <c r="E29" s="316" t="s">
        <v>17</v>
      </c>
      <c r="F29" s="315">
        <f>F18-F28</f>
        <v>0</v>
      </c>
      <c r="G29" s="316" t="s">
        <v>17</v>
      </c>
      <c r="H29" s="315">
        <f>H18-H28</f>
        <v>0</v>
      </c>
      <c r="I29" s="316" t="s">
        <v>17</v>
      </c>
      <c r="J29" s="315">
        <f>J18-J28</f>
        <v>0</v>
      </c>
      <c r="K29" s="329">
        <f>SUM(B29+D29+F29+H29+J29)</f>
        <v>841682</v>
      </c>
      <c r="L29" s="32" t="s">
        <v>33</v>
      </c>
    </row>
    <row r="30" spans="1:12" ht="15.75">
      <c r="A30" s="316"/>
      <c r="B30" s="339">
        <f>IF(B29&lt;0,"See Tab B","")</f>
      </c>
      <c r="C30" s="316"/>
      <c r="D30" s="339">
        <f>IF(D29&lt;0,"See Tab B","")</f>
      </c>
      <c r="E30" s="316"/>
      <c r="F30" s="339">
        <f>IF(F29&lt;0,"See Tab B","")</f>
      </c>
      <c r="G30" s="75"/>
      <c r="H30" s="339">
        <f>IF(H29&lt;0,"See Tab B","")</f>
      </c>
      <c r="I30" s="75"/>
      <c r="J30" s="339">
        <f>IF(J29&lt;0,"See Tab B","")</f>
      </c>
      <c r="K30" s="326">
        <f>SUM(K7+K17-K28)</f>
        <v>841682</v>
      </c>
      <c r="L30" s="32" t="s">
        <v>33</v>
      </c>
    </row>
    <row r="31" spans="1:11" ht="15.75">
      <c r="A31" s="75"/>
      <c r="B31" s="327"/>
      <c r="C31" s="75"/>
      <c r="D31" s="301"/>
      <c r="E31" s="75"/>
      <c r="F31" s="75"/>
      <c r="G31" s="33" t="s">
        <v>34</v>
      </c>
      <c r="H31" s="33"/>
      <c r="I31" s="33"/>
      <c r="J31" s="33"/>
      <c r="K31" s="75"/>
    </row>
    <row r="32" spans="1:11" ht="15.75">
      <c r="A32" s="75"/>
      <c r="B32" s="327"/>
      <c r="C32" s="75"/>
      <c r="D32" s="75"/>
      <c r="E32" s="75"/>
      <c r="F32" s="75"/>
      <c r="G32" s="75"/>
      <c r="H32" s="75"/>
      <c r="I32" s="75"/>
      <c r="J32" s="75"/>
      <c r="K32" s="75"/>
    </row>
    <row r="33" spans="1:11" ht="15.75">
      <c r="A33" s="75"/>
      <c r="B33" s="327"/>
      <c r="C33" s="75"/>
      <c r="D33" s="75"/>
      <c r="E33" s="268" t="s">
        <v>118</v>
      </c>
      <c r="F33" s="295">
        <v>18</v>
      </c>
      <c r="G33" s="75"/>
      <c r="H33" s="75"/>
      <c r="I33" s="75"/>
      <c r="J33" s="75"/>
      <c r="K33" s="75"/>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90" r:id="rId1"/>
  <headerFooter alignWithMargins="0">
    <oddHeader>&amp;RState of Kansas
County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M56"/>
  <sheetViews>
    <sheetView view="pageBreakPreview" zoomScale="108" zoomScaleNormal="75" zoomScaleSheetLayoutView="108" zoomScalePageLayoutView="0" workbookViewId="0" topLeftCell="A21">
      <selection activeCell="A21" sqref="A21"/>
    </sheetView>
  </sheetViews>
  <sheetFormatPr defaultColWidth="8.796875" defaultRowHeight="15"/>
  <cols>
    <col min="1" max="1" width="21.69921875" style="32" customWidth="1"/>
    <col min="2" max="2" width="15.69921875" style="32" customWidth="1"/>
    <col min="3" max="3" width="9.3984375" style="32" customWidth="1"/>
    <col min="4" max="4" width="16.796875" style="32" customWidth="1"/>
    <col min="5" max="5" width="9.796875" style="32" customWidth="1"/>
    <col min="6" max="6" width="15.796875" style="32" customWidth="1"/>
    <col min="7" max="7" width="13.69921875" style="32" customWidth="1"/>
    <col min="8" max="8" width="9.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8" ht="15.75">
      <c r="A1" s="35"/>
      <c r="B1" s="35"/>
      <c r="C1" s="35"/>
      <c r="D1" s="35"/>
      <c r="E1" s="35"/>
      <c r="F1" s="35"/>
      <c r="G1" s="35"/>
      <c r="H1" s="233">
        <f>inputPrYr!C4</f>
        <v>2012</v>
      </c>
    </row>
    <row r="2" spans="1:9" ht="15.75">
      <c r="A2" s="479" t="s">
        <v>162</v>
      </c>
      <c r="B2" s="479"/>
      <c r="C2" s="479"/>
      <c r="D2" s="479"/>
      <c r="E2" s="479"/>
      <c r="F2" s="479"/>
      <c r="G2" s="479"/>
      <c r="H2" s="479"/>
      <c r="I2" s="330"/>
    </row>
    <row r="3" spans="1:8" ht="15.75">
      <c r="A3" s="35"/>
      <c r="B3" s="35"/>
      <c r="C3" s="35"/>
      <c r="D3" s="35"/>
      <c r="E3" s="35"/>
      <c r="F3" s="35"/>
      <c r="G3" s="35"/>
      <c r="H3" s="35"/>
    </row>
    <row r="4" spans="1:8" ht="15.75">
      <c r="A4" s="529" t="s">
        <v>191</v>
      </c>
      <c r="B4" s="529"/>
      <c r="C4" s="529"/>
      <c r="D4" s="529"/>
      <c r="E4" s="529"/>
      <c r="F4" s="529"/>
      <c r="G4" s="529"/>
      <c r="H4" s="529"/>
    </row>
    <row r="5" spans="1:8" ht="15.75">
      <c r="A5" s="535" t="str">
        <f>inputPrYr!C2</f>
        <v>LINCOLN COUNTY</v>
      </c>
      <c r="B5" s="535"/>
      <c r="C5" s="535"/>
      <c r="D5" s="535"/>
      <c r="E5" s="535"/>
      <c r="F5" s="535"/>
      <c r="G5" s="535"/>
      <c r="H5" s="535"/>
    </row>
    <row r="6" spans="1:8" ht="15.75">
      <c r="A6" s="529" t="str">
        <f>CONCATENATE("will meet on ",inputBudSum!B5," at ",inputBudSum!B7," at ",inputBudSum!B9," for the purpose of hearing and")</f>
        <v>will meet on August 22, 2011 at 10:15 A.M. at Commissioner's Room for the purpose of hearing and</v>
      </c>
      <c r="B6" s="529"/>
      <c r="C6" s="529"/>
      <c r="D6" s="529"/>
      <c r="E6" s="529"/>
      <c r="F6" s="529"/>
      <c r="G6" s="529"/>
      <c r="H6" s="529"/>
    </row>
    <row r="7" spans="1:8" ht="15.75">
      <c r="A7" s="529" t="s">
        <v>271</v>
      </c>
      <c r="B7" s="529"/>
      <c r="C7" s="529"/>
      <c r="D7" s="529"/>
      <c r="E7" s="529"/>
      <c r="F7" s="529"/>
      <c r="G7" s="529"/>
      <c r="H7" s="529"/>
    </row>
    <row r="8" spans="1:8" ht="15.75">
      <c r="A8" s="529" t="str">
        <f>CONCATENATE("Detailed budget information is available at ",inputBudSum!B12," and will be available at this hearing.")</f>
        <v>Detailed budget information is available at Clerk's Office and will be available at this hearing.</v>
      </c>
      <c r="B8" s="529"/>
      <c r="C8" s="529"/>
      <c r="D8" s="529"/>
      <c r="E8" s="529"/>
      <c r="F8" s="529"/>
      <c r="G8" s="529"/>
      <c r="H8" s="529"/>
    </row>
    <row r="9" spans="1:8" ht="15.75">
      <c r="A9" s="42" t="s">
        <v>163</v>
      </c>
      <c r="B9" s="43"/>
      <c r="C9" s="43"/>
      <c r="D9" s="167"/>
      <c r="E9" s="43"/>
      <c r="F9" s="43"/>
      <c r="G9" s="43"/>
      <c r="H9" s="43"/>
    </row>
    <row r="10" spans="1:8" ht="15.75">
      <c r="A10" s="529" t="str">
        <f>CONCATENATE("Proposed Budget ",H1," Expenditures and Amount of ",H1-1," Ad Valorem Tax establish the maximum limits of the ",H1," budget.")</f>
        <v>Proposed Budget 2012 Expenditures and Amount of 2011 Ad Valorem Tax establish the maximum limits of the 2012 budget.</v>
      </c>
      <c r="B10" s="529"/>
      <c r="C10" s="529"/>
      <c r="D10" s="529"/>
      <c r="E10" s="529"/>
      <c r="F10" s="529"/>
      <c r="G10" s="529"/>
      <c r="H10" s="529"/>
    </row>
    <row r="11" spans="1:8" ht="15.75">
      <c r="A11" s="529" t="s">
        <v>215</v>
      </c>
      <c r="B11" s="529"/>
      <c r="C11" s="529"/>
      <c r="D11" s="529"/>
      <c r="E11" s="529"/>
      <c r="F11" s="529"/>
      <c r="G11" s="529"/>
      <c r="H11" s="529"/>
    </row>
    <row r="12" spans="1:9" ht="15.75">
      <c r="A12" s="35"/>
      <c r="B12" s="35"/>
      <c r="C12" s="35"/>
      <c r="D12" s="35"/>
      <c r="E12" s="35"/>
      <c r="F12" s="35"/>
      <c r="G12" s="35"/>
      <c r="H12" s="35"/>
      <c r="I12" s="93"/>
    </row>
    <row r="13" spans="1:8" ht="15.75">
      <c r="A13" s="35"/>
      <c r="B13" s="331" t="str">
        <f>CONCATENATE("Prior Year Actual for ",H1-2,"")</f>
        <v>Prior Year Actual for 2010</v>
      </c>
      <c r="C13" s="170"/>
      <c r="D13" s="332" t="str">
        <f>CONCATENATE("Current Year Estimate for ",H1-1,"")</f>
        <v>Current Year Estimate for 2011</v>
      </c>
      <c r="E13" s="170"/>
      <c r="F13" s="168" t="str">
        <f>CONCATENATE("Proposed Budget Year for ",H1,"")</f>
        <v>Proposed Budget Year for 2012</v>
      </c>
      <c r="G13" s="169"/>
      <c r="H13" s="170"/>
    </row>
    <row r="14" spans="1:8" ht="18.75" customHeight="1">
      <c r="A14" s="34"/>
      <c r="B14" s="269"/>
      <c r="C14" s="171" t="s">
        <v>120</v>
      </c>
      <c r="D14" s="171"/>
      <c r="E14" s="171" t="s">
        <v>120</v>
      </c>
      <c r="F14" s="434" t="s">
        <v>280</v>
      </c>
      <c r="G14" s="542" t="str">
        <f>CONCATENATE("Amount of ",H1-1,"       Ad Valorem Tax")</f>
        <v>Amount of 2011       Ad Valorem Tax</v>
      </c>
      <c r="H14" s="171" t="s">
        <v>121</v>
      </c>
    </row>
    <row r="15" spans="1:8" ht="15.75">
      <c r="A15" s="63" t="s">
        <v>122</v>
      </c>
      <c r="B15" s="210" t="s">
        <v>62</v>
      </c>
      <c r="C15" s="210" t="s">
        <v>123</v>
      </c>
      <c r="D15" s="210" t="s">
        <v>62</v>
      </c>
      <c r="E15" s="210" t="s">
        <v>123</v>
      </c>
      <c r="F15" s="435" t="s">
        <v>281</v>
      </c>
      <c r="G15" s="485"/>
      <c r="H15" s="210" t="s">
        <v>123</v>
      </c>
    </row>
    <row r="16" spans="1:8" ht="15.75">
      <c r="A16" s="77" t="str">
        <f>inputPrYr!B16</f>
        <v>General</v>
      </c>
      <c r="B16" s="77">
        <f>IF(general!$C$118&lt;&gt;0,general!$C$118,"  ")</f>
        <v>1906622</v>
      </c>
      <c r="C16" s="333">
        <f>IF(inputPrYr!D67&lt;&gt;0,inputPrYr!D67,"  ")</f>
        <v>38.639</v>
      </c>
      <c r="D16" s="77">
        <f>IF(general!$D$118&lt;&gt;0,general!$D$118,"  ")</f>
        <v>1910681</v>
      </c>
      <c r="E16" s="333">
        <f>IF(inputPrYr!F16&lt;&gt;0,inputPrYr!F16,"  ")</f>
        <v>36.948</v>
      </c>
      <c r="F16" s="77">
        <f>IF(general!$E$118&lt;&gt;0,general!$E$118,"  ")</f>
        <v>1933751</v>
      </c>
      <c r="G16" s="77">
        <f>IF(general!$E$125&lt;&gt;0,general!$E$125,"  ")</f>
        <v>1455023.32</v>
      </c>
      <c r="H16" s="333">
        <f>IF(general!E125&lt;&gt;0,ROUND(G16/$F$42*1000,3),"  ")</f>
        <v>40.522</v>
      </c>
    </row>
    <row r="17" spans="1:8" ht="15.75">
      <c r="A17" s="77" t="str">
        <f>inputPrYr!B17</f>
        <v>Debt Service</v>
      </c>
      <c r="B17" s="77" t="str">
        <f>IF(DebtService!$C$54&lt;&gt;0,DebtService!$C$54,"  ")</f>
        <v>  </v>
      </c>
      <c r="C17" s="333" t="str">
        <f>IF(inputPrYr!D68&lt;&gt;0,inputPrYr!D68,"  ")</f>
        <v>  </v>
      </c>
      <c r="D17" s="77" t="str">
        <f>IF(DebtService!$D$54&lt;&gt;0,DebtService!$D$54,"  ")</f>
        <v>  </v>
      </c>
      <c r="E17" s="333" t="str">
        <f>IF(inputPrYr!F17&lt;&gt;0,inputPrYr!F17,"  ")</f>
        <v>  </v>
      </c>
      <c r="F17" s="77" t="str">
        <f>IF(DebtService!$E$54&lt;&gt;0,DebtService!$E$54,"  ")</f>
        <v>  </v>
      </c>
      <c r="G17" s="77" t="str">
        <f>IF(DebtService!$E$61&lt;&gt;0,DebtService!$E$61,"  ")</f>
        <v>  </v>
      </c>
      <c r="H17" s="333" t="str">
        <f>IF(DebtService!E61&lt;&gt;0,ROUND(G17/$F$42*1000,3),"  ")</f>
        <v>  </v>
      </c>
    </row>
    <row r="18" spans="1:8" ht="15.75">
      <c r="A18" s="77" t="str">
        <f>inputPrYr!B18</f>
        <v>Road &amp; Bridge</v>
      </c>
      <c r="B18" s="77">
        <f>IF(road!$C$44&lt;&gt;0,road!$C$44,"  ")</f>
        <v>1398031</v>
      </c>
      <c r="C18" s="333">
        <f>IF(inputPrYr!D69&lt;&gt;0,inputPrYr!D69,"  ")</f>
        <v>33.571</v>
      </c>
      <c r="D18" s="77">
        <f>IF(road!$D$44&lt;&gt;0,road!$D$44,"  ")</f>
        <v>1630941</v>
      </c>
      <c r="E18" s="333">
        <f>IF(inputPrYr!F18&lt;&gt;0,inputPrYr!F18,"  ")</f>
        <v>36.881</v>
      </c>
      <c r="F18" s="77">
        <f>IF(road!$E$44&lt;&gt;0,road!$E$44,"  ")</f>
        <v>1805000</v>
      </c>
      <c r="G18" s="77">
        <f>IF(road!$E$51&lt;&gt;0,road!$E$51,"  ")</f>
        <v>1026927.51</v>
      </c>
      <c r="H18" s="333">
        <f>IF(road!E51&lt;&gt;0,ROUND(G18/$F$42*1000,3),"  ")</f>
        <v>28.599</v>
      </c>
    </row>
    <row r="19" spans="1:8" ht="15.75">
      <c r="A19" s="77" t="str">
        <f>IF((inputPrYr!$B19&gt;" "),(inputPrYr!$B19),"  ")</f>
        <v>Special Bridge</v>
      </c>
      <c r="B19" s="77">
        <f>IF('SpecBrdg-NW'!$C$33&lt;&gt;0,'SpecBrdg-NW'!$C$33,"  ")</f>
        <v>115361</v>
      </c>
      <c r="C19" s="333" t="str">
        <f>IF(inputPrYr!D70&lt;&gt;0,inputPrYr!D70,"  ")</f>
        <v>  </v>
      </c>
      <c r="D19" s="77">
        <f>IF('SpecBrdg-NW'!$D$33&lt;&gt;0,'SpecBrdg-NW'!$D$33,"  ")</f>
        <v>150000</v>
      </c>
      <c r="E19" s="333">
        <f>IF(inputPrYr!F19&lt;&gt;0,inputPrYr!F19,"  ")</f>
        <v>1.32</v>
      </c>
      <c r="F19" s="77">
        <f>IF('SpecBrdg-NW'!$E$33&lt;&gt;0,'SpecBrdg-NW'!$E$33,"  ")</f>
        <v>200000</v>
      </c>
      <c r="G19" s="77">
        <f>IF('SpecBrdg-NW'!$E$40&lt;&gt;0,'SpecBrdg-NW'!$E$40,"  ")</f>
        <v>112579</v>
      </c>
      <c r="H19" s="333">
        <f>IF('SpecBrdg-NW'!E40&lt;&gt;0,ROUND(G19/$F$42*1000,3),"  ")</f>
        <v>3.135</v>
      </c>
    </row>
    <row r="20" spans="1:8" ht="15.75">
      <c r="A20" s="77" t="str">
        <f>IF((inputPrYr!$B20&gt;" "),(inputPrYr!$B20),"  ")</f>
        <v>Noxious Weed</v>
      </c>
      <c r="B20" s="77">
        <f>IF('SpecBrdg-NW'!$C$71&lt;&gt;0,'SpecBrdg-NW'!$C$71,"  ")</f>
        <v>67670</v>
      </c>
      <c r="C20" s="333">
        <f>IF(inputPrYr!D71&lt;&gt;0,inputPrYr!D71,"  ")</f>
        <v>1.971</v>
      </c>
      <c r="D20" s="77">
        <f>IF('SpecBrdg-NW'!$D$71&lt;&gt;0,'SpecBrdg-NW'!$D$71,"  ")</f>
        <v>80077</v>
      </c>
      <c r="E20" s="333">
        <f>IF(inputPrYr!F20&lt;&gt;0,inputPrYr!F20,"  ")</f>
        <v>1.123</v>
      </c>
      <c r="F20" s="77">
        <f>IF('SpecBrdg-NW'!$E$71&lt;&gt;0,'SpecBrdg-NW'!$E$71,"  ")</f>
        <v>78000</v>
      </c>
      <c r="G20" s="77">
        <f>IF('SpecBrdg-NW'!$E$78&lt;&gt;0,'SpecBrdg-NW'!$E$78,"  ")</f>
        <v>54517</v>
      </c>
      <c r="H20" s="333">
        <f>IF('SpecBrdg-NW'!E78&lt;&gt;0,ROUND(G20/$F$42*1000,3),"  ")</f>
        <v>1.518</v>
      </c>
    </row>
    <row r="21" spans="1:8" ht="15.75">
      <c r="A21" s="77" t="str">
        <f>IF((inputPrYr!$B21&gt;" "),(inputPrYr!$B21),"  ")</f>
        <v>Law Enforcement</v>
      </c>
      <c r="B21" s="77">
        <f>IF('LawEnf-CoHealth'!$C$35&lt;&gt;0,'LawEnf-CoHealth'!$C$35,"  ")</f>
        <v>29270</v>
      </c>
      <c r="C21" s="333">
        <f>IF(inputPrYr!D72&lt;&gt;0,inputPrYr!D72,"  ")</f>
        <v>0.411</v>
      </c>
      <c r="D21" s="77">
        <f>IF('LawEnf-CoHealth'!$D$35&lt;&gt;0,'LawEnf-CoHealth'!$D$35,"  ")</f>
        <v>32000</v>
      </c>
      <c r="E21" s="333">
        <f>IF(inputPrYr!F21&lt;&gt;0,inputPrYr!F21,"  ")</f>
        <v>0.508</v>
      </c>
      <c r="F21" s="77">
        <f>IF('LawEnf-CoHealth'!$E$35&lt;&gt;0,'LawEnf-CoHealth'!$E$35,"  ")</f>
        <v>37000</v>
      </c>
      <c r="G21" s="77">
        <f>IF('LawEnf-CoHealth'!$E$42&lt;&gt;0,'LawEnf-CoHealth'!$E$42,"  ")</f>
        <v>35620</v>
      </c>
      <c r="H21" s="333">
        <f>IF('LawEnf-CoHealth'!$E$42&lt;&gt;0,ROUND(G21/$F$42*1000,3),"  ")</f>
        <v>0.992</v>
      </c>
    </row>
    <row r="22" spans="1:8" ht="15.75">
      <c r="A22" s="77" t="str">
        <f>IF((inputPrYr!$B22&gt;" "),(inputPrYr!$B22),"  ")</f>
        <v>County Health</v>
      </c>
      <c r="B22" s="77">
        <f>IF('LawEnf-CoHealth'!$C$74&lt;&gt;0,'LawEnf-CoHealth'!$C$74,"  ")</f>
        <v>245357</v>
      </c>
      <c r="C22" s="333">
        <f>IF(inputPrYr!D73&lt;&gt;0,inputPrYr!D73,"  ")</f>
        <v>2.679</v>
      </c>
      <c r="D22" s="77">
        <f>IF('LawEnf-CoHealth'!$D$74&lt;&gt;0,'LawEnf-CoHealth'!$D$74,"  ")</f>
        <v>246700</v>
      </c>
      <c r="E22" s="333">
        <f>IF(inputPrYr!F22&lt;&gt;0,inputPrYr!F22,"  ")</f>
        <v>2.647</v>
      </c>
      <c r="F22" s="77">
        <f>IF('LawEnf-CoHealth'!$E$74&lt;&gt;0,'LawEnf-CoHealth'!$E$74,"  ")</f>
        <v>263383</v>
      </c>
      <c r="G22" s="77">
        <f>IF('LawEnf-CoHealth'!$E$81&lt;&gt;0,'LawEnf-CoHealth'!$E$81,"  ")</f>
        <v>94731</v>
      </c>
      <c r="H22" s="333">
        <f>IF('LawEnf-CoHealth'!$E$81&lt;&gt;0,ROUND(G22/$F$42*1000,3),"  ")</f>
        <v>2.638</v>
      </c>
    </row>
    <row r="23" spans="1:8" ht="15.75">
      <c r="A23" s="77" t="str">
        <f>IF((inputPrYr!$B23&gt;" "),(inputPrYr!$B23),"  ")</f>
        <v>Ambulance</v>
      </c>
      <c r="B23" s="77">
        <f>IF('Ambul-EmplBen'!$C$34&lt;&gt;0,'Ambul-EmplBen'!$C$34,"  ")</f>
        <v>232356</v>
      </c>
      <c r="C23" s="333">
        <f>IF(inputPrYr!D74&lt;&gt;0,inputPrYr!D74,"  ")</f>
        <v>2.821</v>
      </c>
      <c r="D23" s="77">
        <f>IF('Ambul-EmplBen'!$D$34&lt;&gt;0,'Ambul-EmplBen'!$D$34,"  ")</f>
        <v>230000</v>
      </c>
      <c r="E23" s="333">
        <f>IF(inputPrYr!F23&lt;&gt;0,inputPrYr!F23,"  ")</f>
        <v>3.318</v>
      </c>
      <c r="F23" s="77">
        <f>IF('Ambul-EmplBen'!$E$34&lt;&gt;0,'Ambul-EmplBen'!$E$34,"  ")</f>
        <v>230000</v>
      </c>
      <c r="G23" s="77">
        <f>IF('Ambul-EmplBen'!$E$41&lt;&gt;0,'Ambul-EmplBen'!$E$41,"  ")</f>
        <v>104413</v>
      </c>
      <c r="H23" s="333">
        <f>IF('Ambul-EmplBen'!$E$41&lt;&gt;0,ROUND(G23/$F$42*1000,3),"  ")</f>
        <v>2.908</v>
      </c>
    </row>
    <row r="24" spans="1:8" ht="15.75">
      <c r="A24" s="77" t="str">
        <f>IF((inputPrYr!$B24&gt;" "),(inputPrYr!$B24),"  ")</f>
        <v>Employee Benefits</v>
      </c>
      <c r="B24" s="77">
        <f>IF('Ambul-EmplBen'!$C$72&lt;&gt;0,'Ambul-EmplBen'!$C$72,"  ")</f>
        <v>1006267</v>
      </c>
      <c r="C24" s="333">
        <f>IF(inputPrYr!D75&lt;&gt;0,inputPrYr!D75,"  ")</f>
        <v>26.896</v>
      </c>
      <c r="D24" s="77">
        <f>IF('Ambul-EmplBen'!$D$72&lt;&gt;0,'Ambul-EmplBen'!$D$72,"  ")</f>
        <v>1100000</v>
      </c>
      <c r="E24" s="333">
        <f>IF(inputPrYr!F24&lt;&gt;0,inputPrYr!F24,"  ")</f>
        <v>24.429</v>
      </c>
      <c r="F24" s="77">
        <f>IF('Ambul-EmplBen'!$E$72&lt;&gt;0,'Ambul-EmplBen'!$E$72,"  ")</f>
        <v>1231000</v>
      </c>
      <c r="G24" s="77">
        <f>IF('Ambul-EmplBen'!$E$79&lt;&gt;0,'Ambul-EmplBen'!$E$79,"  ")</f>
        <v>1093804</v>
      </c>
      <c r="H24" s="333">
        <f>IF('Ambul-EmplBen'!$E$79&lt;&gt;0,ROUND(G24/$F$42*1000,3),"  ")</f>
        <v>30.462</v>
      </c>
    </row>
    <row r="25" spans="1:8" ht="15.75">
      <c r="A25" s="77" t="str">
        <f>IF((inputPrYr!$B25&gt;" "),(inputPrYr!$B25),"  ")</f>
        <v>  </v>
      </c>
      <c r="B25" s="77"/>
      <c r="C25" s="333"/>
      <c r="D25" s="77"/>
      <c r="E25" s="333"/>
      <c r="F25" s="77"/>
      <c r="G25" s="77"/>
      <c r="H25" s="333"/>
    </row>
    <row r="26" spans="1:8" ht="15.75">
      <c r="A26" s="77" t="str">
        <f>IF((inputPrYr!$B27&gt;" "),(inputPrYr!$B27),"  ")</f>
        <v>  </v>
      </c>
      <c r="B26" s="77"/>
      <c r="C26" s="333"/>
      <c r="D26" s="77"/>
      <c r="E26" s="333"/>
      <c r="F26" s="77"/>
      <c r="G26" s="77"/>
      <c r="H26" s="333"/>
    </row>
    <row r="27" spans="1:8" ht="15.75">
      <c r="A27" s="77" t="str">
        <f>IF((inputPrYr!$B28&gt;" "),(inputPrYr!$B28),"  ")</f>
        <v>  </v>
      </c>
      <c r="B27" s="77"/>
      <c r="C27" s="333"/>
      <c r="D27" s="77"/>
      <c r="E27" s="333"/>
      <c r="F27" s="77"/>
      <c r="G27" s="77"/>
      <c r="H27" s="333"/>
    </row>
    <row r="28" spans="1:8" ht="15.75">
      <c r="A28" s="77" t="str">
        <f>IF((inputPrYr!$B31&gt;" "),(inputPrYr!$B31),"  ")</f>
        <v>Emergency 911-Consolidated</v>
      </c>
      <c r="B28" s="77">
        <f>IF('Emgy911consol-E-911'!$C$29&lt;&gt;0,'Emgy911consol-E-911'!$C$29,"  ")</f>
        <v>44373</v>
      </c>
      <c r="C28" s="58"/>
      <c r="D28" s="77">
        <f>IF('Emgy911consol-E-911'!$D$29&lt;&gt;0,'Emgy911consol-E-911'!$D$29,"  ")</f>
        <v>12000</v>
      </c>
      <c r="E28" s="58"/>
      <c r="F28" s="77">
        <f>IF('Emgy911consol-E-911'!$E$29&lt;&gt;0,'Emgy911consol-E-911'!$E$29,"  ")</f>
        <v>62399</v>
      </c>
      <c r="G28" s="77"/>
      <c r="H28" s="54"/>
    </row>
    <row r="29" spans="1:8" ht="15.75">
      <c r="A29" s="77" t="str">
        <f>IF((inputPrYr!$B32&gt;" "),(inputPrYr!$B32),"  ")</f>
        <v>E-911</v>
      </c>
      <c r="B29" s="77">
        <f>IF('Emgy911consol-E-911'!$C$60&lt;&gt;0,'Emgy911consol-E-911'!$C$60,"  ")</f>
        <v>36578</v>
      </c>
      <c r="C29" s="58"/>
      <c r="D29" s="77">
        <f>IF('Emgy911consol-E-911'!$D$60&lt;&gt;0,'Emgy911consol-E-911'!$D$60,"  ")</f>
        <v>12000</v>
      </c>
      <c r="E29" s="58"/>
      <c r="F29" s="77">
        <f>IF('Emgy911consol-E-911'!$E$60&lt;&gt;0,'Emgy911consol-E-911'!$E$60,"  ")</f>
        <v>8517</v>
      </c>
      <c r="G29" s="77"/>
      <c r="H29" s="54"/>
    </row>
    <row r="30" spans="1:8" ht="15.75">
      <c r="A30" s="77" t="str">
        <f>IF((inputPrYr!$B33&gt;" "),(inputPrYr!$B33),"  ")</f>
        <v>Refuse</v>
      </c>
      <c r="B30" s="77">
        <f>IF(Refuse!$C$29&lt;&gt;0,Refuse!$C$29,"  ")</f>
        <v>208427</v>
      </c>
      <c r="C30" s="58"/>
      <c r="D30" s="77">
        <f>IF(Refuse!$D$29&lt;&gt;0,Refuse!$D$29,"  ")</f>
        <v>250688</v>
      </c>
      <c r="E30" s="58"/>
      <c r="F30" s="77">
        <f>IF(Refuse!$E$29&lt;&gt;0,Refuse!$E$29,"  ")</f>
        <v>257847</v>
      </c>
      <c r="G30" s="77"/>
      <c r="H30" s="54"/>
    </row>
    <row r="31" spans="1:8" ht="15.75">
      <c r="A31" s="77" t="str">
        <f>IF((inputPrYr!$B34&gt;" "),(inputPrYr!$B34),"  ")</f>
        <v>  </v>
      </c>
      <c r="B31" s="77" t="str">
        <f>IF(Refuse!$C$60&lt;&gt;0,Refuse!$C$60,"  ")</f>
        <v>  </v>
      </c>
      <c r="C31" s="58"/>
      <c r="D31" s="77" t="str">
        <f>IF(Refuse!$D$60&lt;&gt;0,Refuse!$D$60,"  ")</f>
        <v>  </v>
      </c>
      <c r="E31" s="58"/>
      <c r="F31" s="77" t="str">
        <f>IF(Refuse!$E$60&lt;&gt;0,Refuse!$E$60,"  ")</f>
        <v>  </v>
      </c>
      <c r="G31" s="77"/>
      <c r="H31" s="54"/>
    </row>
    <row r="32" spans="1:13" ht="15.75">
      <c r="A32" s="77"/>
      <c r="B32" s="77"/>
      <c r="C32" s="58"/>
      <c r="D32" s="77"/>
      <c r="E32" s="58"/>
      <c r="F32" s="77"/>
      <c r="G32" s="77"/>
      <c r="H32" s="54"/>
      <c r="J32" s="444"/>
      <c r="K32" s="440"/>
      <c r="L32" s="440"/>
      <c r="M32" s="445"/>
    </row>
    <row r="33" spans="1:13" ht="15.75">
      <c r="A33" s="77"/>
      <c r="B33" s="77"/>
      <c r="C33" s="58"/>
      <c r="D33" s="77"/>
      <c r="E33" s="58"/>
      <c r="F33" s="77"/>
      <c r="G33" s="77"/>
      <c r="H33" s="54"/>
      <c r="J33" s="444" t="str">
        <f>CONCATENATE("",H1-1," Mill Rate Was:")</f>
        <v>2011 Mill Rate Was:</v>
      </c>
      <c r="K33" s="440"/>
      <c r="L33" s="440"/>
      <c r="M33" s="446">
        <f>E38</f>
        <v>107.174</v>
      </c>
    </row>
    <row r="34" spans="1:13" ht="15.75">
      <c r="A34" s="141" t="str">
        <f>IF((inputPrYr!$B39&gt;"  "),(nonbudA!$A3),"  ")</f>
        <v>Non-Budgeted Funds-A</v>
      </c>
      <c r="B34" s="77">
        <f>IF(nonbudA!$K$28&lt;&gt;0,nonbudA!$K$28,"  ")</f>
        <v>154599</v>
      </c>
      <c r="C34" s="58"/>
      <c r="D34" s="77"/>
      <c r="E34" s="58"/>
      <c r="F34" s="77"/>
      <c r="G34" s="77"/>
      <c r="H34" s="54"/>
      <c r="J34" s="447" t="str">
        <f>CONCATENATE("",H1," Tax Levy Fund Expenditures Must Be")</f>
        <v>2012 Tax Levy Fund Expenditures Must Be</v>
      </c>
      <c r="K34" s="448"/>
      <c r="L34" s="448"/>
      <c r="M34" s="445"/>
    </row>
    <row r="35" spans="1:13" ht="15.75">
      <c r="A35" s="141" t="str">
        <f>IF((inputPrYr!$B45&gt;"  "),(nonbudB!$A3),"  ")</f>
        <v>Non-Budgeted Funds-B</v>
      </c>
      <c r="B35" s="77">
        <f>IF(nonbudB!$K$28&lt;&gt;0,nonbudB!$K$28,"  ")</f>
        <v>21423</v>
      </c>
      <c r="C35" s="58"/>
      <c r="D35" s="77"/>
      <c r="E35" s="58"/>
      <c r="F35" s="77"/>
      <c r="G35" s="77"/>
      <c r="H35" s="54"/>
      <c r="J35" s="447">
        <f>IF(M35&gt;0,"Increased By:","")</f>
      </c>
      <c r="K35" s="448"/>
      <c r="L35" s="448"/>
      <c r="M35" s="457">
        <f>IF(M42&lt;0,M42*-1,0)</f>
        <v>0</v>
      </c>
    </row>
    <row r="36" spans="1:13" ht="15.75">
      <c r="A36" s="141" t="str">
        <f>IF((inputPrYr!$B51&gt;"  "),(nonbudC!$A3),"  ")</f>
        <v>Non-Budgeted Funds-C</v>
      </c>
      <c r="B36" s="77">
        <f>IF(nonbudC!$K$28&lt;&gt;0,nonbudC!$K$28,"  ")</f>
        <v>419527</v>
      </c>
      <c r="C36" s="58"/>
      <c r="D36" s="77"/>
      <c r="E36" s="58"/>
      <c r="F36" s="77"/>
      <c r="G36" s="77"/>
      <c r="H36" s="54"/>
      <c r="J36" s="458" t="str">
        <f>IF(M36&lt;0,"Reduced By:","")</f>
        <v>Reduced By:</v>
      </c>
      <c r="K36" s="459"/>
      <c r="L36" s="459"/>
      <c r="M36" s="460">
        <f>IF(M42&gt;0,M42*-1,0)</f>
        <v>-129275.83000000007</v>
      </c>
    </row>
    <row r="37" spans="1:13" ht="16.5" thickBot="1">
      <c r="A37" s="141" t="str">
        <f>IF((inputPrYr!$B57&gt;"  "),(nonbudD!$A3),"  ")</f>
        <v>Non-Budgeted Funds-D</v>
      </c>
      <c r="B37" s="430">
        <f>IF(nonbudD!$K$28&lt;&gt;0,nonbudD!$K$28,"  ")</f>
        <v>42894</v>
      </c>
      <c r="C37" s="429"/>
      <c r="D37" s="430"/>
      <c r="E37" s="429"/>
      <c r="F37" s="430"/>
      <c r="G37" s="430"/>
      <c r="H37" s="428"/>
      <c r="J37" s="451"/>
      <c r="K37" s="451"/>
      <c r="L37" s="451"/>
      <c r="M37" s="451"/>
    </row>
    <row r="38" spans="1:13" ht="15.75">
      <c r="A38" s="53" t="s">
        <v>79</v>
      </c>
      <c r="B38" s="432">
        <f>SUM(B16:B37)</f>
        <v>5928755</v>
      </c>
      <c r="C38" s="431">
        <f>SUM(C16:C27)</f>
        <v>106.98800000000001</v>
      </c>
      <c r="D38" s="432">
        <f>SUM(D16:D37)</f>
        <v>5655087</v>
      </c>
      <c r="E38" s="431">
        <f>SUM(E16:E25)</f>
        <v>107.174</v>
      </c>
      <c r="F38" s="432">
        <f>SUM(F16:F37)</f>
        <v>6106897</v>
      </c>
      <c r="G38" s="432">
        <f>SUM(G16:G27)</f>
        <v>3977614.83</v>
      </c>
      <c r="H38" s="431">
        <f>SUM(H16:H27)</f>
        <v>110.77400000000002</v>
      </c>
      <c r="J38" s="536" t="str">
        <f>CONCATENATE("Impact On Keeping The Same Mill Rate As For ",H1-1,"")</f>
        <v>Impact On Keeping The Same Mill Rate As For 2011</v>
      </c>
      <c r="K38" s="537"/>
      <c r="L38" s="537"/>
      <c r="M38" s="538"/>
    </row>
    <row r="39" spans="1:13" ht="15.75">
      <c r="A39" s="34" t="s">
        <v>124</v>
      </c>
      <c r="B39" s="334">
        <f>transfers!C29</f>
        <v>205923</v>
      </c>
      <c r="C39" s="335"/>
      <c r="D39" s="334">
        <f>transfers!D29</f>
        <v>50405</v>
      </c>
      <c r="E39" s="279"/>
      <c r="F39" s="334">
        <f>transfers!E29</f>
        <v>48000</v>
      </c>
      <c r="G39" s="35"/>
      <c r="H39" s="75"/>
      <c r="J39" s="444"/>
      <c r="K39" s="440"/>
      <c r="L39" s="440"/>
      <c r="M39" s="445"/>
    </row>
    <row r="40" spans="1:13" ht="16.5" thickBot="1">
      <c r="A40" s="34" t="s">
        <v>125</v>
      </c>
      <c r="B40" s="337">
        <f>B38-B39</f>
        <v>5722832</v>
      </c>
      <c r="C40" s="35"/>
      <c r="D40" s="337">
        <f>D38-D39</f>
        <v>5604682</v>
      </c>
      <c r="E40" s="335"/>
      <c r="F40" s="337">
        <f>F38-F39</f>
        <v>6058897</v>
      </c>
      <c r="G40" s="35"/>
      <c r="H40" s="75"/>
      <c r="J40" s="444" t="str">
        <f>CONCATENATE("",H1," Ad Valorem Tax Revenue:")</f>
        <v>2012 Ad Valorem Tax Revenue:</v>
      </c>
      <c r="K40" s="440"/>
      <c r="L40" s="440"/>
      <c r="M40" s="441">
        <f>G38</f>
        <v>3977614.83</v>
      </c>
    </row>
    <row r="41" spans="1:13" ht="16.5" thickTop="1">
      <c r="A41" s="34" t="s">
        <v>126</v>
      </c>
      <c r="B41" s="432">
        <f>inputPrYr!F82</f>
        <v>3856923</v>
      </c>
      <c r="C41" s="35"/>
      <c r="D41" s="432">
        <f>inputPrYr!E29</f>
        <v>3836421</v>
      </c>
      <c r="E41" s="35"/>
      <c r="F41" s="432">
        <f>G38</f>
        <v>3977614.83</v>
      </c>
      <c r="G41" s="35"/>
      <c r="H41" s="75"/>
      <c r="J41" s="444" t="str">
        <f>CONCATENATE("",H1-1," Ad Valorem Tax Revenue:")</f>
        <v>2011 Ad Valorem Tax Revenue:</v>
      </c>
      <c r="K41" s="440"/>
      <c r="L41" s="440"/>
      <c r="M41" s="452">
        <f>ROUND(F42*M33/1000,0)</f>
        <v>3848339</v>
      </c>
    </row>
    <row r="42" spans="1:13" ht="15.75">
      <c r="A42" s="34" t="s">
        <v>127</v>
      </c>
      <c r="B42" s="77">
        <f>inputPrYr!F83</f>
        <v>35485000</v>
      </c>
      <c r="C42" s="35"/>
      <c r="D42" s="77">
        <f>inputPrYr!F62</f>
        <v>35797245</v>
      </c>
      <c r="E42" s="35"/>
      <c r="F42" s="77">
        <f>inputOth!E6</f>
        <v>35907396</v>
      </c>
      <c r="G42" s="35"/>
      <c r="H42" s="75"/>
      <c r="J42" s="449" t="s">
        <v>292</v>
      </c>
      <c r="K42" s="450"/>
      <c r="L42" s="450"/>
      <c r="M42" s="442">
        <f>SUM(M40-M41)</f>
        <v>129275.83000000007</v>
      </c>
    </row>
    <row r="43" spans="1:13" ht="15.75">
      <c r="A43" s="35"/>
      <c r="B43" s="35"/>
      <c r="C43" s="35"/>
      <c r="D43" s="35"/>
      <c r="E43" s="35"/>
      <c r="F43" s="35"/>
      <c r="G43" s="35"/>
      <c r="H43" s="75"/>
      <c r="J43" s="443"/>
      <c r="K43" s="443"/>
      <c r="L43" s="443"/>
      <c r="M43" s="451"/>
    </row>
    <row r="44" spans="1:13" ht="15.75">
      <c r="A44" s="34" t="s">
        <v>128</v>
      </c>
      <c r="B44" s="35"/>
      <c r="C44" s="35"/>
      <c r="D44" s="35"/>
      <c r="E44" s="35"/>
      <c r="F44" s="35"/>
      <c r="G44" s="35"/>
      <c r="H44" s="87"/>
      <c r="J44" s="536" t="s">
        <v>293</v>
      </c>
      <c r="K44" s="539"/>
      <c r="L44" s="539"/>
      <c r="M44" s="540"/>
    </row>
    <row r="45" spans="1:13" ht="15.75">
      <c r="A45" s="34" t="s">
        <v>129</v>
      </c>
      <c r="B45" s="336">
        <f>H1-3</f>
        <v>2009</v>
      </c>
      <c r="C45" s="35"/>
      <c r="D45" s="336">
        <f>H1-2</f>
        <v>2010</v>
      </c>
      <c r="E45" s="35"/>
      <c r="F45" s="336">
        <f>H1-1</f>
        <v>2011</v>
      </c>
      <c r="G45" s="35"/>
      <c r="H45" s="87"/>
      <c r="J45" s="444"/>
      <c r="K45" s="440"/>
      <c r="L45" s="440"/>
      <c r="M45" s="445"/>
    </row>
    <row r="46" spans="1:13" ht="15.75">
      <c r="A46" s="34" t="s">
        <v>130</v>
      </c>
      <c r="B46" s="77">
        <f>inputPrYr!D87</f>
        <v>0</v>
      </c>
      <c r="C46" s="35"/>
      <c r="D46" s="77">
        <f>inputPrYr!E87</f>
        <v>0</v>
      </c>
      <c r="E46" s="35"/>
      <c r="F46" s="77">
        <f>debt!F19</f>
        <v>0</v>
      </c>
      <c r="G46" s="35"/>
      <c r="H46" s="87"/>
      <c r="J46" s="444" t="str">
        <f>CONCATENATE("Current ",H1," Estimated Mill Rate:")</f>
        <v>Current 2012 Estimated Mill Rate:</v>
      </c>
      <c r="K46" s="440"/>
      <c r="L46" s="440"/>
      <c r="M46" s="446">
        <f>H38</f>
        <v>110.77400000000002</v>
      </c>
    </row>
    <row r="47" spans="1:13" ht="15.75">
      <c r="A47" s="34" t="s">
        <v>131</v>
      </c>
      <c r="B47" s="77">
        <f>inputPrYr!D88</f>
        <v>0</v>
      </c>
      <c r="C47" s="35"/>
      <c r="D47" s="77">
        <f>inputPrYr!E88</f>
        <v>0</v>
      </c>
      <c r="E47" s="35"/>
      <c r="F47" s="77">
        <f>debt!F27</f>
        <v>0</v>
      </c>
      <c r="G47" s="35"/>
      <c r="H47" s="87"/>
      <c r="J47" s="444" t="str">
        <f>CONCATENATE("Desired ",H1," Mill Rate:")</f>
        <v>Desired 2012 Mill Rate:</v>
      </c>
      <c r="K47" s="440"/>
      <c r="L47" s="440"/>
      <c r="M47" s="453">
        <v>0</v>
      </c>
    </row>
    <row r="48" spans="1:13" ht="15.75">
      <c r="A48" s="34" t="s">
        <v>117</v>
      </c>
      <c r="B48" s="77">
        <f>inputPrYr!D89</f>
        <v>0</v>
      </c>
      <c r="C48" s="35"/>
      <c r="D48" s="77">
        <f>inputPrYr!E89</f>
        <v>0</v>
      </c>
      <c r="E48" s="35"/>
      <c r="F48" s="77">
        <f>debt!F36</f>
        <v>0</v>
      </c>
      <c r="G48" s="35"/>
      <c r="H48" s="87"/>
      <c r="J48" s="444" t="str">
        <f>CONCATENATE("",H1," Ad Valorem Tax:")</f>
        <v>2012 Ad Valorem Tax:</v>
      </c>
      <c r="K48" s="440"/>
      <c r="L48" s="440"/>
      <c r="M48" s="452">
        <f>ROUND(F42*M47/1000,0)</f>
        <v>0</v>
      </c>
    </row>
    <row r="49" spans="1:13" ht="15.75">
      <c r="A49" s="34" t="s">
        <v>216</v>
      </c>
      <c r="B49" s="77">
        <f>inputPrYr!D90</f>
        <v>6361123</v>
      </c>
      <c r="C49" s="35"/>
      <c r="D49" s="77">
        <f>inputPrYr!E90</f>
        <v>6382172</v>
      </c>
      <c r="E49" s="35"/>
      <c r="F49" s="77">
        <f>lpform!F37</f>
        <v>6432792</v>
      </c>
      <c r="G49" s="35"/>
      <c r="H49" s="87"/>
      <c r="J49" s="449" t="str">
        <f>CONCATENATE("",H1," Tax Levy Fund Exp. Changed By:")</f>
        <v>2012 Tax Levy Fund Exp. Changed By:</v>
      </c>
      <c r="K49" s="450"/>
      <c r="L49" s="450"/>
      <c r="M49" s="442">
        <f>IF(M47=0,0,(M48-G38))</f>
        <v>0</v>
      </c>
    </row>
    <row r="50" spans="1:8" ht="16.5" thickBot="1">
      <c r="A50" s="34" t="s">
        <v>132</v>
      </c>
      <c r="B50" s="454">
        <f>SUM(B46:B49)</f>
        <v>6361123</v>
      </c>
      <c r="C50" s="35"/>
      <c r="D50" s="454">
        <f>SUM(D46:D49)</f>
        <v>6382172</v>
      </c>
      <c r="E50" s="35"/>
      <c r="F50" s="454">
        <f>SUM(F46:F49)</f>
        <v>6432792</v>
      </c>
      <c r="G50" s="35"/>
      <c r="H50" s="87"/>
    </row>
    <row r="51" spans="1:8" ht="16.5" thickTop="1">
      <c r="A51" s="34" t="s">
        <v>133</v>
      </c>
      <c r="B51" s="35"/>
      <c r="C51" s="35"/>
      <c r="D51" s="35"/>
      <c r="E51" s="35"/>
      <c r="F51" s="35"/>
      <c r="G51" s="35"/>
      <c r="H51" s="87"/>
    </row>
    <row r="52" spans="1:8" ht="15.75">
      <c r="A52" s="35"/>
      <c r="B52" s="35"/>
      <c r="C52" s="35"/>
      <c r="D52" s="35"/>
      <c r="E52" s="35"/>
      <c r="F52" s="35"/>
      <c r="G52" s="35"/>
      <c r="H52" s="87"/>
    </row>
    <row r="53" spans="1:8" ht="15.75">
      <c r="A53" s="541"/>
      <c r="B53" s="541"/>
      <c r="C53" s="35"/>
      <c r="D53" s="35"/>
      <c r="E53" s="35"/>
      <c r="F53" s="35"/>
      <c r="G53" s="35"/>
      <c r="H53" s="87"/>
    </row>
    <row r="54" spans="1:8" ht="15.75">
      <c r="A54" s="167" t="s">
        <v>134</v>
      </c>
      <c r="B54" s="43"/>
      <c r="C54" s="35"/>
      <c r="D54" s="35"/>
      <c r="E54" s="35"/>
      <c r="F54" s="35"/>
      <c r="G54" s="35"/>
      <c r="H54" s="87"/>
    </row>
    <row r="55" spans="1:8" ht="15.75">
      <c r="A55" s="35"/>
      <c r="B55" s="35"/>
      <c r="C55" s="35"/>
      <c r="D55" s="234" t="s">
        <v>93</v>
      </c>
      <c r="E55" s="338">
        <v>19</v>
      </c>
      <c r="F55" s="35"/>
      <c r="G55" s="35"/>
      <c r="H55" s="87"/>
    </row>
    <row r="56" spans="1:8" ht="15.75">
      <c r="A56" s="93"/>
      <c r="D56" s="93"/>
      <c r="E56" s="93"/>
      <c r="F56" s="93"/>
      <c r="G56" s="93"/>
      <c r="H56" s="93"/>
    </row>
  </sheetData>
  <sheetProtection/>
  <mergeCells count="12">
    <mergeCell ref="J38:M38"/>
    <mergeCell ref="J44:M44"/>
    <mergeCell ref="A53:B53"/>
    <mergeCell ref="G14:G15"/>
    <mergeCell ref="A10:H10"/>
    <mergeCell ref="A11:H11"/>
    <mergeCell ref="A7:H7"/>
    <mergeCell ref="A8:H8"/>
    <mergeCell ref="A2:H2"/>
    <mergeCell ref="A4:H4"/>
    <mergeCell ref="A5:H5"/>
    <mergeCell ref="A6:H6"/>
  </mergeCells>
  <printOptions/>
  <pageMargins left="1.12" right="0.5" top="0.74" bottom="0.34" header="0.5" footer="0"/>
  <pageSetup blackAndWhite="1" fitToHeight="1" fitToWidth="1" horizontalDpi="120" verticalDpi="120" orientation="portrait" scale="65"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2:F23"/>
  <sheetViews>
    <sheetView view="pageBreakPreview" zoomScaleSheetLayoutView="100"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488" t="s">
        <v>262</v>
      </c>
      <c r="B2" s="489"/>
      <c r="C2" s="489"/>
      <c r="D2" s="489"/>
      <c r="E2" s="489"/>
      <c r="F2" s="489"/>
    </row>
    <row r="4" spans="1:6" ht="15.75">
      <c r="A4" s="342"/>
      <c r="B4" s="342"/>
      <c r="C4" s="342"/>
      <c r="D4" s="343"/>
      <c r="E4" s="342"/>
      <c r="F4" s="342"/>
    </row>
    <row r="5" spans="1:6" ht="15.75">
      <c r="A5" s="344" t="s">
        <v>263</v>
      </c>
      <c r="B5" s="345" t="s">
        <v>324</v>
      </c>
      <c r="C5" s="346"/>
      <c r="D5" s="344" t="s">
        <v>295</v>
      </c>
      <c r="E5" s="342"/>
      <c r="F5" s="342"/>
    </row>
    <row r="6" spans="1:6" ht="15.75">
      <c r="A6" s="344"/>
      <c r="B6" s="347"/>
      <c r="C6" s="348"/>
      <c r="D6" s="344" t="s">
        <v>294</v>
      </c>
      <c r="E6" s="342"/>
      <c r="F6" s="342"/>
    </row>
    <row r="7" spans="1:6" ht="15.75">
      <c r="A7" s="344" t="s">
        <v>264</v>
      </c>
      <c r="B7" s="345" t="s">
        <v>434</v>
      </c>
      <c r="C7" s="349"/>
      <c r="D7" s="344"/>
      <c r="E7" s="342"/>
      <c r="F7" s="342"/>
    </row>
    <row r="8" spans="1:6" ht="15.75">
      <c r="A8" s="344"/>
      <c r="B8" s="344"/>
      <c r="C8" s="344"/>
      <c r="D8" s="344"/>
      <c r="E8" s="342"/>
      <c r="F8" s="342"/>
    </row>
    <row r="9" spans="1:6" ht="15.75">
      <c r="A9" s="344" t="s">
        <v>265</v>
      </c>
      <c r="B9" s="350" t="s">
        <v>325</v>
      </c>
      <c r="C9" s="350"/>
      <c r="D9" s="350"/>
      <c r="E9" s="351"/>
      <c r="F9" s="342"/>
    </row>
    <row r="10" spans="1:6" ht="15.75">
      <c r="A10" s="344"/>
      <c r="B10" s="344"/>
      <c r="C10" s="344"/>
      <c r="D10" s="344"/>
      <c r="E10" s="342"/>
      <c r="F10" s="342"/>
    </row>
    <row r="11" spans="1:6" ht="15.75">
      <c r="A11" s="344"/>
      <c r="B11" s="344"/>
      <c r="C11" s="344"/>
      <c r="D11" s="344"/>
      <c r="E11" s="342"/>
      <c r="F11" s="342"/>
    </row>
    <row r="12" spans="1:6" ht="15.75">
      <c r="A12" s="344" t="s">
        <v>267</v>
      </c>
      <c r="B12" s="350" t="s">
        <v>326</v>
      </c>
      <c r="C12" s="350"/>
      <c r="D12" s="350"/>
      <c r="E12" s="351"/>
      <c r="F12" s="342"/>
    </row>
    <row r="15" spans="1:6" ht="15.75">
      <c r="A15" s="490" t="s">
        <v>268</v>
      </c>
      <c r="B15" s="490"/>
      <c r="C15" s="344"/>
      <c r="D15" s="344"/>
      <c r="E15" s="344"/>
      <c r="F15" s="342"/>
    </row>
    <row r="16" spans="1:6" ht="15.75">
      <c r="A16" s="344"/>
      <c r="B16" s="344"/>
      <c r="C16" s="344"/>
      <c r="D16" s="344"/>
      <c r="E16" s="344"/>
      <c r="F16" s="342"/>
    </row>
    <row r="17" spans="1:5" ht="15.75">
      <c r="A17" s="344" t="s">
        <v>263</v>
      </c>
      <c r="B17" s="347" t="s">
        <v>269</v>
      </c>
      <c r="C17" s="344"/>
      <c r="D17" s="344"/>
      <c r="E17" s="344"/>
    </row>
    <row r="18" spans="1:5" ht="15.75">
      <c r="A18" s="344"/>
      <c r="B18" s="344"/>
      <c r="C18" s="344"/>
      <c r="D18" s="344"/>
      <c r="E18" s="344"/>
    </row>
    <row r="19" spans="1:5" ht="15.75">
      <c r="A19" s="344" t="s">
        <v>264</v>
      </c>
      <c r="B19" s="344" t="s">
        <v>270</v>
      </c>
      <c r="C19" s="344"/>
      <c r="D19" s="344"/>
      <c r="E19" s="344"/>
    </row>
    <row r="20" spans="1:5" ht="15.75">
      <c r="A20" s="344"/>
      <c r="B20" s="344"/>
      <c r="C20" s="344"/>
      <c r="D20" s="344"/>
      <c r="E20" s="344"/>
    </row>
    <row r="21" spans="1:5" ht="15.75">
      <c r="A21" s="344" t="s">
        <v>265</v>
      </c>
      <c r="B21" s="344" t="s">
        <v>266</v>
      </c>
      <c r="C21" s="344"/>
      <c r="D21" s="344"/>
      <c r="E21" s="344"/>
    </row>
    <row r="22" spans="1:5" ht="15.75">
      <c r="A22" s="344"/>
      <c r="B22" s="344"/>
      <c r="C22" s="344"/>
      <c r="D22" s="344"/>
      <c r="E22" s="344"/>
    </row>
    <row r="23" spans="1:5" ht="15.75">
      <c r="A23" s="344" t="s">
        <v>267</v>
      </c>
      <c r="B23" s="344" t="s">
        <v>266</v>
      </c>
      <c r="C23" s="344"/>
      <c r="D23" s="344"/>
      <c r="E23" s="344"/>
    </row>
  </sheetData>
  <sheetProtection sheet="1"/>
  <mergeCells count="2">
    <mergeCell ref="A2:F2"/>
    <mergeCell ref="A15:B15"/>
  </mergeCells>
  <printOptions/>
  <pageMargins left="0.7" right="0.7" top="0.75" bottom="0.75" header="0.3" footer="0.3"/>
  <pageSetup blackAndWhite="1" horizontalDpi="600" verticalDpi="600" orientation="portrait" scale="95" r:id="rId1"/>
</worksheet>
</file>

<file path=xl/worksheets/sheet4.xml><?xml version="1.0" encoding="utf-8"?>
<worksheet xmlns="http://schemas.openxmlformats.org/spreadsheetml/2006/main" xmlns:r="http://schemas.openxmlformats.org/officeDocument/2006/relationships">
  <sheetPr>
    <pageSetUpPr fitToPage="1"/>
  </sheetPr>
  <dimension ref="A1:F59"/>
  <sheetViews>
    <sheetView view="pageBreakPreview" zoomScale="99" zoomScaleNormal="90" zoomScaleSheetLayoutView="99" zoomScalePageLayoutView="0" workbookViewId="0" topLeftCell="A1">
      <selection activeCell="A26" sqref="A26"/>
    </sheetView>
  </sheetViews>
  <sheetFormatPr defaultColWidth="8.796875" defaultRowHeight="15"/>
  <cols>
    <col min="1" max="1" width="20.796875" style="113" customWidth="1"/>
    <col min="2" max="2" width="9.796875" style="113" customWidth="1"/>
    <col min="3" max="3" width="5.796875" style="113" customWidth="1"/>
    <col min="4" max="6" width="15.796875" style="113" customWidth="1"/>
    <col min="7" max="16384" width="8.8984375" style="113" customWidth="1"/>
  </cols>
  <sheetData>
    <row r="1" spans="1:6" ht="12.75">
      <c r="A1" s="112"/>
      <c r="B1" s="112"/>
      <c r="C1" s="112"/>
      <c r="D1" s="112"/>
      <c r="E1" s="112"/>
      <c r="F1" s="112"/>
    </row>
    <row r="2" spans="1:6" ht="12.75">
      <c r="A2" s="492" t="s">
        <v>160</v>
      </c>
      <c r="B2" s="492"/>
      <c r="C2" s="492"/>
      <c r="D2" s="492"/>
      <c r="E2" s="492"/>
      <c r="F2" s="492"/>
    </row>
    <row r="3" spans="1:6" ht="15" customHeight="1">
      <c r="A3" s="114"/>
      <c r="B3" s="114"/>
      <c r="C3" s="114"/>
      <c r="D3" s="114"/>
      <c r="E3" s="114"/>
      <c r="F3" s="112">
        <f>inputPrYr!C4</f>
        <v>2012</v>
      </c>
    </row>
    <row r="4" spans="1:6" ht="15">
      <c r="A4" s="497" t="str">
        <f>CONCATENATE("To the Clerk of ",inputPrYr!C2,", State of Kansas")</f>
        <v>To the Clerk of LINCOLN COUNTY, State of Kansas</v>
      </c>
      <c r="B4" s="498"/>
      <c r="C4" s="498"/>
      <c r="D4" s="498"/>
      <c r="E4" s="498"/>
      <c r="F4" s="498"/>
    </row>
    <row r="5" spans="1:6" ht="15">
      <c r="A5" s="497" t="s">
        <v>5</v>
      </c>
      <c r="B5" s="499"/>
      <c r="C5" s="499"/>
      <c r="D5" s="499"/>
      <c r="E5" s="499"/>
      <c r="F5" s="499"/>
    </row>
    <row r="6" spans="1:6" ht="15">
      <c r="A6" s="495" t="str">
        <f>(inputPrYr!C2)</f>
        <v>LINCOLN COUNTY</v>
      </c>
      <c r="B6" s="496"/>
      <c r="C6" s="496"/>
      <c r="D6" s="496"/>
      <c r="E6" s="496"/>
      <c r="F6" s="496"/>
    </row>
    <row r="7" spans="1:6" ht="12.75">
      <c r="A7" s="115" t="s">
        <v>56</v>
      </c>
      <c r="B7" s="116"/>
      <c r="C7" s="116"/>
      <c r="D7" s="116"/>
      <c r="E7" s="116"/>
      <c r="F7" s="116"/>
    </row>
    <row r="8" spans="1:6" ht="12.75">
      <c r="A8" s="115" t="s">
        <v>57</v>
      </c>
      <c r="B8" s="116"/>
      <c r="C8" s="116"/>
      <c r="D8" s="116"/>
      <c r="E8" s="116"/>
      <c r="F8" s="116"/>
    </row>
    <row r="9" spans="1:6" ht="12.75">
      <c r="A9" s="115" t="str">
        <f>CONCATENATE("maximum expenditure for the various funds for the year ",F3,"; and")</f>
        <v>maximum expenditure for the various funds for the year 2012; and</v>
      </c>
      <c r="B9" s="116"/>
      <c r="C9" s="116"/>
      <c r="D9" s="116"/>
      <c r="E9" s="116"/>
      <c r="F9" s="116"/>
    </row>
    <row r="10" spans="1:6" ht="12.75">
      <c r="A10" s="115" t="str">
        <f>CONCATENATE("(3) the Amount(s) of ",F3-1," Ad Valorem Tax are within statutory limitations.")</f>
        <v>(3) the Amount(s) of 2011 Ad Valorem Tax are within statutory limitations.</v>
      </c>
      <c r="B10" s="116"/>
      <c r="C10" s="116"/>
      <c r="D10" s="116"/>
      <c r="E10" s="116"/>
      <c r="F10" s="116"/>
    </row>
    <row r="11" spans="1:6" ht="8.25" customHeight="1">
      <c r="A11" s="117"/>
      <c r="B11" s="114"/>
      <c r="C11" s="114"/>
      <c r="D11" s="118"/>
      <c r="E11" s="118"/>
      <c r="F11" s="118"/>
    </row>
    <row r="12" spans="1:6" ht="12.75">
      <c r="A12" s="114"/>
      <c r="B12" s="114"/>
      <c r="C12" s="114"/>
      <c r="D12" s="119" t="str">
        <f>CONCATENATE("",F3," Adopted Budget")</f>
        <v>2012 Adopted Budget</v>
      </c>
      <c r="E12" s="120"/>
      <c r="F12" s="121"/>
    </row>
    <row r="13" spans="1:6" ht="13.5" customHeight="1">
      <c r="A13" s="114"/>
      <c r="B13" s="114"/>
      <c r="C13" s="122" t="s">
        <v>58</v>
      </c>
      <c r="D13" s="407" t="s">
        <v>280</v>
      </c>
      <c r="E13" s="493" t="str">
        <f>CONCATENATE("Amount of ",F3-1,"               Ad Valorem Tax")</f>
        <v>Amount of 2011               Ad Valorem Tax</v>
      </c>
      <c r="F13" s="122" t="s">
        <v>59</v>
      </c>
    </row>
    <row r="14" spans="1:6" ht="12.75" customHeight="1">
      <c r="A14" s="123" t="s">
        <v>60</v>
      </c>
      <c r="B14" s="124"/>
      <c r="C14" s="125" t="s">
        <v>61</v>
      </c>
      <c r="D14" s="406" t="s">
        <v>281</v>
      </c>
      <c r="E14" s="494"/>
      <c r="F14" s="125" t="s">
        <v>63</v>
      </c>
    </row>
    <row r="15" spans="1:6" ht="12.75">
      <c r="A15" s="126" t="str">
        <f>CONCATENATE("Computation to Determine Limit for ",F3,"")</f>
        <v>Computation to Determine Limit for 2012</v>
      </c>
      <c r="B15" s="124"/>
      <c r="C15" s="125">
        <v>2</v>
      </c>
      <c r="D15" s="127"/>
      <c r="E15" s="127"/>
      <c r="F15" s="127"/>
    </row>
    <row r="16" spans="1:6" ht="12.75">
      <c r="A16" s="128" t="s">
        <v>35</v>
      </c>
      <c r="B16" s="129"/>
      <c r="C16" s="125">
        <v>3</v>
      </c>
      <c r="D16" s="127"/>
      <c r="E16" s="127"/>
      <c r="F16" s="127"/>
    </row>
    <row r="17" spans="1:6" ht="12.75">
      <c r="A17" s="130" t="s">
        <v>212</v>
      </c>
      <c r="B17" s="131"/>
      <c r="C17" s="132">
        <v>4</v>
      </c>
      <c r="D17" s="127"/>
      <c r="E17" s="127"/>
      <c r="F17" s="127"/>
    </row>
    <row r="18" spans="1:6" ht="12.75">
      <c r="A18" s="130" t="s">
        <v>64</v>
      </c>
      <c r="B18" s="131"/>
      <c r="C18" s="133">
        <v>5</v>
      </c>
      <c r="D18" s="134"/>
      <c r="E18" s="134"/>
      <c r="F18" s="134"/>
    </row>
    <row r="19" spans="1:6" ht="12.75">
      <c r="A19" s="130" t="s">
        <v>65</v>
      </c>
      <c r="B19" s="131"/>
      <c r="C19" s="135">
        <v>6</v>
      </c>
      <c r="D19" s="134"/>
      <c r="E19" s="134"/>
      <c r="F19" s="134"/>
    </row>
    <row r="20" spans="1:6" ht="12.75">
      <c r="A20" s="136" t="s">
        <v>66</v>
      </c>
      <c r="B20" s="137" t="s">
        <v>67</v>
      </c>
      <c r="C20" s="138"/>
      <c r="D20" s="139"/>
      <c r="E20" s="139"/>
      <c r="F20" s="139"/>
    </row>
    <row r="21" spans="1:6" ht="15.75">
      <c r="A21" s="126" t="str">
        <f>inputPrYr!B16</f>
        <v>General</v>
      </c>
      <c r="B21" s="140" t="str">
        <f>inputPrYr!C16</f>
        <v>79-1946</v>
      </c>
      <c r="C21" s="133">
        <v>7</v>
      </c>
      <c r="D21" s="141">
        <f>IF(general!$E$118&lt;&gt;0,general!$E$118,"  ")</f>
        <v>1933751</v>
      </c>
      <c r="E21" s="456">
        <f>IF(general!$E$125&lt;&gt;0,general!$E$125,0)</f>
        <v>1455023.32</v>
      </c>
      <c r="F21" s="142" t="str">
        <f>IF(AND(general!E125=0,$F$46&gt;=0)," ",IF(AND(E21&gt;0,$F$46=0)," ",IF(AND(E21&gt;0,$F$46&gt;0),ROUND(E21/$F$46*1000,3))))</f>
        <v> </v>
      </c>
    </row>
    <row r="22" spans="1:6" ht="15.75">
      <c r="A22" s="126" t="str">
        <f>inputPrYr!B17</f>
        <v>Debt Service</v>
      </c>
      <c r="B22" s="140" t="str">
        <f>inputPrYr!C17</f>
        <v>10-113</v>
      </c>
      <c r="C22" s="143">
        <f>IF(DebtService!C63&gt;0,DebtService!C63,"")</f>
        <v>8</v>
      </c>
      <c r="D22" s="141" t="str">
        <f>IF(DebtService!$E$54&lt;&gt;0,DebtService!$E$54,"  ")</f>
        <v>  </v>
      </c>
      <c r="E22" s="456">
        <f>IF(DebtService!$E$61&lt;&gt;0,DebtService!$E$61,0)</f>
        <v>0</v>
      </c>
      <c r="F22" s="142" t="str">
        <f>IF(AND(DebtService!E61=0,$F$46&gt;=0)," ",IF(AND(E22&gt;0,$F$46=0)," ",IF(AND(E22&gt;0,$F$46&gt;0),ROUND(E22/$F$46*1000,3))))</f>
        <v> </v>
      </c>
    </row>
    <row r="23" spans="1:6" ht="15.75">
      <c r="A23" s="126" t="str">
        <f>inputPrYr!B18</f>
        <v>Road &amp; Bridge</v>
      </c>
      <c r="B23" s="140" t="str">
        <f>inputPrYr!C18</f>
        <v>79-1946</v>
      </c>
      <c r="C23" s="133">
        <f>road!C53</f>
        <v>9</v>
      </c>
      <c r="D23" s="141">
        <f>IF(road!$E$44&lt;&gt;0,road!$E$44,"  ")</f>
        <v>1805000</v>
      </c>
      <c r="E23" s="456">
        <f>IF(road!$E$51&lt;&gt;0,road!$E$51,0)</f>
        <v>1026927.51</v>
      </c>
      <c r="F23" s="142" t="str">
        <f>IF(AND(road!E51=0,$F$46&gt;=0)," ",IF(AND(E23&gt;0,$F$46=0)," ",IF(AND(E23&gt;0,$F$46&gt;0),ROUND(E23/$F$46*1000,3))))</f>
        <v> </v>
      </c>
    </row>
    <row r="24" spans="1:6" ht="15.75">
      <c r="A24" s="141" t="str">
        <f>IF((inputPrYr!$B19&gt;"  "),(inputPrYr!$B19),"  ")</f>
        <v>Special Bridge</v>
      </c>
      <c r="B24" s="140" t="str">
        <f>IF((inputPrYr!C19&gt;0),(inputPrYr!C19),"  ")</f>
        <v>68-1135</v>
      </c>
      <c r="C24" s="133">
        <f>IF('SpecBrdg-NW'!C79&gt;0,'SpecBrdg-NW'!C79,"  ")</f>
        <v>10</v>
      </c>
      <c r="D24" s="141">
        <f>IF('SpecBrdg-NW'!$E$33&lt;&gt;0,'SpecBrdg-NW'!$E$33,"  ")</f>
        <v>200000</v>
      </c>
      <c r="E24" s="456">
        <f>IF('SpecBrdg-NW'!$E$40&lt;&gt;0,'SpecBrdg-NW'!$E$40,0)</f>
        <v>112579</v>
      </c>
      <c r="F24" s="142" t="str">
        <f>IF(AND('SpecBrdg-NW'!E40=0,$F$46&gt;=0)," ",IF(AND(E24&gt;0,$F$46=0)," ",IF(AND(E24&gt;0,$F$46&gt;0),ROUND(E24/$F$46*1000,3))))</f>
        <v> </v>
      </c>
    </row>
    <row r="25" spans="1:6" ht="15.75">
      <c r="A25" s="141" t="str">
        <f>IF((inputPrYr!$B20&gt;"  "),(inputPrYr!$B20),"  ")</f>
        <v>Noxious Weed</v>
      </c>
      <c r="B25" s="140" t="str">
        <f>IF((inputPrYr!C20&gt;0),(inputPrYr!C20),"  ")</f>
        <v>2-1318</v>
      </c>
      <c r="C25" s="133">
        <f>IF('SpecBrdg-NW'!C79&gt;0,'SpecBrdg-NW'!C79,"  ")</f>
        <v>10</v>
      </c>
      <c r="D25" s="141">
        <f>IF('SpecBrdg-NW'!$E$71&lt;&gt;0,'SpecBrdg-NW'!$E$71,"  ")</f>
        <v>78000</v>
      </c>
      <c r="E25" s="456">
        <f>IF('SpecBrdg-NW'!$E$78&lt;&gt;0,'SpecBrdg-NW'!$E$78,0)</f>
        <v>54517</v>
      </c>
      <c r="F25" s="142" t="str">
        <f>IF(AND('SpecBrdg-NW'!E78=0,$F$46&gt;=0)," ",IF(AND(E25&gt;0,$F$46=0)," ",IF(AND(E25&gt;0,$F$46&gt;0),ROUND(E25/$F$46*1000,3))))</f>
        <v> </v>
      </c>
    </row>
    <row r="26" spans="1:6" ht="15.75">
      <c r="A26" s="141" t="str">
        <f>IF((inputPrYr!$B21&gt;"  "),(inputPrYr!$B21),"  ")</f>
        <v>Law Enforcement</v>
      </c>
      <c r="B26" s="140" t="str">
        <f>IF((inputPrYr!C21&gt;0),(inputPrYr!C21),"  ")</f>
        <v>12-11a01</v>
      </c>
      <c r="C26" s="133">
        <f>IF('LawEnf-CoHealth'!C82&gt;0,'LawEnf-CoHealth'!C82,"  ")</f>
        <v>11</v>
      </c>
      <c r="D26" s="141">
        <f>IF('LawEnf-CoHealth'!$E$35&lt;&gt;0,'LawEnf-CoHealth'!$E$35,"  ")</f>
        <v>37000</v>
      </c>
      <c r="E26" s="456">
        <f>IF('LawEnf-CoHealth'!$E$42&lt;&gt;0,'LawEnf-CoHealth'!$E$42,0)</f>
        <v>35620</v>
      </c>
      <c r="F26" s="142" t="str">
        <f>IF(AND('LawEnf-CoHealth'!E42=0,$F$46&gt;=0)," ",IF(AND(E26&gt;0,$F$46=0)," ",IF(AND(E26&gt;0,$F$46&gt;0),ROUND(E26/$F$46*1000,3))))</f>
        <v> </v>
      </c>
    </row>
    <row r="27" spans="1:6" ht="15.75">
      <c r="A27" s="141" t="str">
        <f>IF((inputPrYr!$B22&gt;"  "),(inputPrYr!$B22),"  ")</f>
        <v>County Health</v>
      </c>
      <c r="B27" s="140" t="str">
        <f>IF((inputPrYr!C22&gt;0),(inputPrYr!C22),"  ")</f>
        <v>65-204</v>
      </c>
      <c r="C27" s="133">
        <f>IF('LawEnf-CoHealth'!C82&gt;0,'LawEnf-CoHealth'!C82,"  ")</f>
        <v>11</v>
      </c>
      <c r="D27" s="141">
        <f>IF('LawEnf-CoHealth'!$E$74&lt;&gt;0,'LawEnf-CoHealth'!$E$74,"  ")</f>
        <v>263383</v>
      </c>
      <c r="E27" s="456">
        <f>IF('LawEnf-CoHealth'!$E$81&lt;&gt;0,'LawEnf-CoHealth'!$E$81,0)</f>
        <v>94731</v>
      </c>
      <c r="F27" s="142" t="str">
        <f>IF(AND('LawEnf-CoHealth'!E81=0,$F$46&gt;=0)," ",IF(AND(E27&gt;0,$F$46=0)," ",IF(AND(E27&gt;0,$F$46&gt;0),ROUND(E27/$F$46*1000,3))))</f>
        <v> </v>
      </c>
    </row>
    <row r="28" spans="1:6" ht="15.75">
      <c r="A28" s="141" t="str">
        <f>IF((inputPrYr!$B23&gt;"  "),(inputPrYr!$B23),"  ")</f>
        <v>Ambulance</v>
      </c>
      <c r="B28" s="140" t="str">
        <f>IF((inputPrYr!C23&gt;0),(inputPrYr!C23),"  ")</f>
        <v>65-6113</v>
      </c>
      <c r="C28" s="133">
        <f>IF('Ambul-EmplBen'!C80&gt;0,'Ambul-EmplBen'!C80,"  ")</f>
        <v>12</v>
      </c>
      <c r="D28" s="141">
        <f>IF('Ambul-EmplBen'!$E$34&lt;&gt;0,'Ambul-EmplBen'!$E$34,"  ")</f>
        <v>230000</v>
      </c>
      <c r="E28" s="456">
        <f>IF('Ambul-EmplBen'!$E$41&lt;&gt;0,'Ambul-EmplBen'!$E$41,0)</f>
        <v>104413</v>
      </c>
      <c r="F28" s="142" t="str">
        <f>IF(AND('Ambul-EmplBen'!E41=0,$F$46&gt;=0)," ",IF(AND(E28&gt;0,$F$46=0)," ",IF(AND(E28&gt;0,$F$46&gt;0),ROUND(E28/$F$46*1000,3))))</f>
        <v> </v>
      </c>
    </row>
    <row r="29" spans="1:6" ht="15.75">
      <c r="A29" s="141" t="str">
        <f>IF((inputPrYr!$B24&gt;"  "),(inputPrYr!$B24),"  ")</f>
        <v>Employee Benefits</v>
      </c>
      <c r="B29" s="140" t="str">
        <f>IF((inputPrYr!C24&gt;0),(inputPrYr!C24),"  ")</f>
        <v>12-16,102</v>
      </c>
      <c r="C29" s="133">
        <f>IF('Ambul-EmplBen'!C80&gt;0,'Ambul-EmplBen'!C80,"  ")</f>
        <v>12</v>
      </c>
      <c r="D29" s="141">
        <f>IF('Ambul-EmplBen'!$E$72&lt;&gt;0,'Ambul-EmplBen'!$E$72,"  ")</f>
        <v>1231000</v>
      </c>
      <c r="E29" s="456">
        <f>IF('Ambul-EmplBen'!$E$79&lt;&gt;0,'Ambul-EmplBen'!$E$79,0)</f>
        <v>1093804</v>
      </c>
      <c r="F29" s="142" t="str">
        <f>IF(AND('Ambul-EmplBen'!E79=0,$F$46&gt;=0)," ",IF(AND(E29&gt;0,$F$46=0)," ",IF(AND(E29&gt;0,$F$46&gt;0),ROUND(E29/$F$46*1000,3))))</f>
        <v> </v>
      </c>
    </row>
    <row r="30" spans="1:6" ht="15.75">
      <c r="A30" s="141" t="str">
        <f>IF((inputPrYr!$B25&gt;"  "),(inputPrYr!$B25),"  ")</f>
        <v>  </v>
      </c>
      <c r="B30" s="140" t="str">
        <f>IF((inputPrYr!C25&gt;0),(inputPrYr!C25),"  ")</f>
        <v>  </v>
      </c>
      <c r="C30" s="133"/>
      <c r="D30" s="141"/>
      <c r="E30" s="456"/>
      <c r="F30" s="142"/>
    </row>
    <row r="31" spans="1:6" ht="15.75">
      <c r="A31" s="141" t="str">
        <f>IF((inputPrYr!$B26&gt;"  "),(inputPrYr!$B26),"  ")</f>
        <v>  </v>
      </c>
      <c r="B31" s="140" t="str">
        <f>IF((inputPrYr!C26&gt;0),(inputPrYr!C26),"  ")</f>
        <v>  </v>
      </c>
      <c r="C31" s="133"/>
      <c r="D31" s="141"/>
      <c r="E31" s="456"/>
      <c r="F31" s="142"/>
    </row>
    <row r="32" spans="1:6" ht="15.75">
      <c r="A32" s="141" t="str">
        <f>IF((inputPrYr!$B27&gt;"  "),(inputPrYr!$B27),"  ")</f>
        <v>  </v>
      </c>
      <c r="B32" s="140" t="str">
        <f>IF((inputPrYr!C27&gt;0),(inputPrYr!C27),"  ")</f>
        <v>  </v>
      </c>
      <c r="C32" s="133"/>
      <c r="D32" s="141"/>
      <c r="E32" s="456"/>
      <c r="F32" s="142"/>
    </row>
    <row r="33" spans="1:6" ht="15.75">
      <c r="A33" s="141" t="str">
        <f>IF((inputPrYr!$B28&gt;"  "),(inputPrYr!$B28),"  ")</f>
        <v>  </v>
      </c>
      <c r="B33" s="140" t="str">
        <f>IF((inputPrYr!C28&gt;0),(inputPrYr!C28),"  ")</f>
        <v>  </v>
      </c>
      <c r="C33" s="133"/>
      <c r="D33" s="141"/>
      <c r="E33" s="456"/>
      <c r="F33" s="142"/>
    </row>
    <row r="34" spans="1:6" ht="12.75">
      <c r="A34" s="141" t="str">
        <f>IF((inputPrYr!$B31&gt;"  "),(inputPrYr!$B31),"  ")</f>
        <v>Emergency 911-Consolidated</v>
      </c>
      <c r="B34" s="144"/>
      <c r="C34" s="133">
        <f>IF('Emgy911consol-E-911'!C66&gt;0,'Emgy911consol-E-911'!C66,"  ")</f>
        <v>13</v>
      </c>
      <c r="D34" s="141">
        <f>IF('Emgy911consol-E-911'!$E$29&lt;&gt;0,'Emgy911consol-E-911'!$E$29,"  ")</f>
        <v>62399</v>
      </c>
      <c r="E34" s="138"/>
      <c r="F34" s="138"/>
    </row>
    <row r="35" spans="1:6" ht="12.75">
      <c r="A35" s="141" t="str">
        <f>IF((inputPrYr!$B32&gt;"  "),(inputPrYr!$B32),"  ")</f>
        <v>E-911</v>
      </c>
      <c r="B35" s="144"/>
      <c r="C35" s="133">
        <f>IF('Emgy911consol-E-911'!C66&gt;0,'Emgy911consol-E-911'!C66,"  ")</f>
        <v>13</v>
      </c>
      <c r="D35" s="141">
        <f>IF('Emgy911consol-E-911'!$E$60&lt;&gt;0,'Emgy911consol-E-911'!$E$60,"  ")</f>
        <v>8517</v>
      </c>
      <c r="E35" s="138"/>
      <c r="F35" s="138"/>
    </row>
    <row r="36" spans="1:6" ht="12.75">
      <c r="A36" s="141" t="str">
        <f>IF((inputPrYr!$B33&gt;"  "),(inputPrYr!$B33),"  ")</f>
        <v>Refuse</v>
      </c>
      <c r="B36" s="144"/>
      <c r="C36" s="133">
        <f>IF(Refuse!C66&gt;0,Refuse!C66,"  ")</f>
        <v>14</v>
      </c>
      <c r="D36" s="141">
        <f>IF(Refuse!$E$29&lt;&gt;0,Refuse!$E$29,"  ")</f>
        <v>257847</v>
      </c>
      <c r="E36" s="138"/>
      <c r="F36" s="138"/>
    </row>
    <row r="37" spans="1:6" ht="12.75">
      <c r="A37" s="141" t="str">
        <f>IF((inputPrYr!$B34&gt;"  "),(inputPrYr!$B34),"  ")</f>
        <v>  </v>
      </c>
      <c r="B37" s="144"/>
      <c r="C37" s="133"/>
      <c r="D37" s="141" t="str">
        <f>IF(Refuse!$E$60&lt;&gt;0,Refuse!$E$60,"  ")</f>
        <v>  </v>
      </c>
      <c r="E37" s="138"/>
      <c r="F37" s="138"/>
    </row>
    <row r="38" spans="1:6" ht="12.75">
      <c r="A38" s="141" t="str">
        <f>IF((inputPrYr!$B35&gt;"  "),(inputPrYr!$B35),"  ")</f>
        <v>  </v>
      </c>
      <c r="B38" s="138"/>
      <c r="C38" s="133"/>
      <c r="D38" s="141"/>
      <c r="E38" s="145"/>
      <c r="F38" s="145"/>
    </row>
    <row r="39" spans="1:6" ht="12.75">
      <c r="A39" s="141" t="str">
        <f>IF((inputPrYr!$B39&gt;"  "),(nonbudA!$A3),"  ")</f>
        <v>Non-Budgeted Funds-A</v>
      </c>
      <c r="B39" s="138"/>
      <c r="C39" s="133">
        <f>IF(nonbudA!$F$33&gt;0,nonbudA!$F$33,"  ")</f>
        <v>15</v>
      </c>
      <c r="D39" s="141"/>
      <c r="E39" s="145"/>
      <c r="F39" s="145"/>
    </row>
    <row r="40" spans="1:6" ht="12.75">
      <c r="A40" s="141" t="str">
        <f>IF((inputPrYr!$B45&gt;"  "),(nonbudB!$A3),"  ")</f>
        <v>Non-Budgeted Funds-B</v>
      </c>
      <c r="B40" s="138"/>
      <c r="C40" s="133">
        <f>IF(nonbudB!$F$33&gt;0,nonbudB!$F$33,"  ")</f>
        <v>16</v>
      </c>
      <c r="D40" s="141"/>
      <c r="E40" s="145"/>
      <c r="F40" s="145"/>
    </row>
    <row r="41" spans="1:6" ht="12.75">
      <c r="A41" s="141" t="str">
        <f>IF((inputPrYr!$B51&gt;"  "),(nonbudC!$A3),"  ")</f>
        <v>Non-Budgeted Funds-C</v>
      </c>
      <c r="B41" s="138"/>
      <c r="C41" s="133">
        <f>IF(nonbudC!$F$33&gt;0,nonbudC!$F$33,"  ")</f>
        <v>17</v>
      </c>
      <c r="D41" s="141"/>
      <c r="E41" s="145"/>
      <c r="F41" s="145"/>
    </row>
    <row r="42" spans="1:6" ht="12.75">
      <c r="A42" s="141" t="str">
        <f>IF((inputPrYr!$B57&gt;"  "),(nonbudD!$A3),"  ")</f>
        <v>Non-Budgeted Funds-D</v>
      </c>
      <c r="B42" s="138"/>
      <c r="C42" s="133">
        <f>IF(nonbudD!$F$33&gt;0,nonbudD!$F$33,"  ")</f>
        <v>18</v>
      </c>
      <c r="D42" s="141"/>
      <c r="E42" s="145"/>
      <c r="F42" s="145"/>
    </row>
    <row r="43" spans="1:6" ht="14.25" customHeight="1" thickBot="1">
      <c r="A43" s="146" t="s">
        <v>79</v>
      </c>
      <c r="B43" s="145"/>
      <c r="C43" s="133" t="s">
        <v>29</v>
      </c>
      <c r="D43" s="147">
        <f>SUM(D21:D42)</f>
        <v>6106897</v>
      </c>
      <c r="E43" s="147">
        <f>SUM(E21:E33)</f>
        <v>3977614.83</v>
      </c>
      <c r="F43" s="148">
        <f>IF(SUM(F21:F33)=0,"",SUM(F21:F33))</f>
      </c>
    </row>
    <row r="44" spans="1:6" ht="14.25" customHeight="1" thickTop="1">
      <c r="A44" s="149" t="s">
        <v>28</v>
      </c>
      <c r="B44" s="150"/>
      <c r="C44" s="133">
        <f>summ!E55</f>
        <v>19</v>
      </c>
      <c r="D44" s="151"/>
      <c r="E44" s="151"/>
      <c r="F44" s="129"/>
    </row>
    <row r="45" spans="1:6" ht="12.75">
      <c r="A45" s="130"/>
      <c r="B45" s="131"/>
      <c r="C45" s="133"/>
      <c r="D45" s="152"/>
      <c r="E45" s="114"/>
      <c r="F45" s="378" t="s">
        <v>232</v>
      </c>
    </row>
    <row r="46" spans="1:6" ht="15.75">
      <c r="A46" s="500"/>
      <c r="B46" s="501"/>
      <c r="C46" s="143"/>
      <c r="D46" s="153" t="s">
        <v>31</v>
      </c>
      <c r="E46" s="154" t="str">
        <f>IF(E43&gt;computation!J35,"Yes","No")</f>
        <v>Yes</v>
      </c>
      <c r="F46" s="155"/>
    </row>
    <row r="47" spans="1:6" ht="14.25" customHeight="1">
      <c r="A47" s="130" t="s">
        <v>30</v>
      </c>
      <c r="B47" s="156"/>
      <c r="C47" s="143" t="e">
        <f>IF(#REF!&gt;0,#REF!,"")</f>
        <v>#REF!</v>
      </c>
      <c r="D47" s="152"/>
      <c r="E47" s="129"/>
      <c r="F47" s="503" t="str">
        <f>CONCATENATE("Nov 1, ",F3-1," Total Assessed Valuation")</f>
        <v>Nov 1, 2011 Total Assessed Valuation</v>
      </c>
    </row>
    <row r="48" spans="1:6" ht="12.75">
      <c r="A48" s="112" t="s">
        <v>69</v>
      </c>
      <c r="B48" s="114"/>
      <c r="C48" s="117"/>
      <c r="D48" s="114"/>
      <c r="E48" s="114"/>
      <c r="F48" s="504"/>
    </row>
    <row r="49" spans="1:6" ht="12.75">
      <c r="A49" s="158" t="s">
        <v>435</v>
      </c>
      <c r="B49" s="114"/>
      <c r="C49" s="114"/>
      <c r="D49" s="114"/>
      <c r="E49" s="341"/>
      <c r="F49" s="341"/>
    </row>
    <row r="50" spans="1:6" ht="12.75">
      <c r="A50" s="160" t="s">
        <v>436</v>
      </c>
      <c r="B50" s="157"/>
      <c r="C50" s="114"/>
      <c r="D50" s="114"/>
      <c r="E50" s="159"/>
      <c r="F50" s="159"/>
    </row>
    <row r="51" spans="1:6" ht="12.75">
      <c r="A51" s="340" t="s">
        <v>233</v>
      </c>
      <c r="B51" s="157"/>
      <c r="C51" s="376"/>
      <c r="D51" s="376"/>
      <c r="E51" s="377"/>
      <c r="F51" s="377"/>
    </row>
    <row r="52" spans="1:6" ht="12.75">
      <c r="A52" s="158" t="s">
        <v>437</v>
      </c>
      <c r="B52" s="114"/>
      <c r="C52" s="124"/>
      <c r="D52" s="124"/>
      <c r="E52" s="161"/>
      <c r="F52" s="161"/>
    </row>
    <row r="53" spans="1:6" ht="12.75">
      <c r="A53" s="160" t="s">
        <v>438</v>
      </c>
      <c r="B53" s="162"/>
      <c r="C53" s="114"/>
      <c r="D53" s="114"/>
      <c r="E53" s="159"/>
      <c r="F53" s="163"/>
    </row>
    <row r="54" spans="1:6" ht="12.75">
      <c r="A54" s="160"/>
      <c r="B54" s="114"/>
      <c r="C54" s="124"/>
      <c r="D54" s="124"/>
      <c r="E54" s="161"/>
      <c r="F54" s="164"/>
    </row>
    <row r="55" spans="1:6" ht="12.75">
      <c r="A55" s="375" t="s">
        <v>6</v>
      </c>
      <c r="B55" s="165">
        <f>F3-1</f>
        <v>2011</v>
      </c>
      <c r="C55" s="114"/>
      <c r="D55" s="114"/>
      <c r="E55" s="115"/>
      <c r="F55" s="114"/>
    </row>
    <row r="56" spans="1:6" ht="12.75">
      <c r="A56" s="374"/>
      <c r="B56" s="114"/>
      <c r="C56" s="124"/>
      <c r="D56" s="124"/>
      <c r="E56" s="124"/>
      <c r="F56" s="124"/>
    </row>
    <row r="57" spans="1:6" ht="15">
      <c r="A57" s="379" t="s">
        <v>71</v>
      </c>
      <c r="B57" s="114"/>
      <c r="C57" s="502" t="s">
        <v>70</v>
      </c>
      <c r="D57" s="499"/>
      <c r="E57" s="499"/>
      <c r="F57" s="499"/>
    </row>
    <row r="58" spans="1:6" ht="12.75">
      <c r="A58" s="491"/>
      <c r="B58" s="491"/>
      <c r="C58" s="491"/>
      <c r="D58" s="491"/>
      <c r="E58" s="491"/>
      <c r="F58" s="491"/>
    </row>
    <row r="59" spans="3:6" ht="12.75">
      <c r="C59" s="166"/>
      <c r="E59" s="166"/>
      <c r="F59" s="166"/>
    </row>
  </sheetData>
  <sheetProtection/>
  <mergeCells count="9">
    <mergeCell ref="A58:F58"/>
    <mergeCell ref="A2:F2"/>
    <mergeCell ref="E13:E14"/>
    <mergeCell ref="A6:F6"/>
    <mergeCell ref="A4:F4"/>
    <mergeCell ref="A5:F5"/>
    <mergeCell ref="A46:B46"/>
    <mergeCell ref="C57:F57"/>
    <mergeCell ref="F47:F48"/>
  </mergeCells>
  <printOptions/>
  <pageMargins left="0.5" right="0.5" top="0" bottom="0.23" header="0" footer="0"/>
  <pageSetup blackAndWhite="1" fitToHeight="1" fitToWidth="1" horizontalDpi="120" verticalDpi="120" orientation="portrait" scale="95" r:id="rId1"/>
  <headerFooter alignWithMargins="0">
    <oddHeader>&amp;RState of Kansas
County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8"/>
  <sheetViews>
    <sheetView view="pageBreakPreview" zoomScale="116" zoomScaleNormal="85" zoomScaleSheetLayoutView="116" zoomScalePageLayoutView="0" workbookViewId="0" topLeftCell="A29">
      <selection activeCell="J42" sqref="J42"/>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35"/>
      <c r="B1" s="35"/>
      <c r="C1" s="174" t="str">
        <f>inputPrYr!C2</f>
        <v>LINCOLN COUNTY</v>
      </c>
      <c r="D1" s="35"/>
      <c r="E1" s="35"/>
      <c r="F1" s="35"/>
      <c r="G1" s="35"/>
      <c r="H1" s="35"/>
      <c r="I1" s="35"/>
      <c r="J1" s="35">
        <f>inputPrYr!C4</f>
        <v>2012</v>
      </c>
    </row>
    <row r="2" spans="1:10" ht="15.75" customHeight="1">
      <c r="A2" s="35"/>
      <c r="B2" s="35"/>
      <c r="C2" s="35"/>
      <c r="D2" s="35"/>
      <c r="E2" s="35"/>
      <c r="F2" s="35"/>
      <c r="G2" s="35"/>
      <c r="H2" s="35"/>
      <c r="I2" s="35"/>
      <c r="J2" s="35"/>
    </row>
    <row r="3" spans="1:10" ht="15.75">
      <c r="A3" s="479" t="str">
        <f>CONCATENATE("Computation to Determine Limit for ",J1,"")</f>
        <v>Computation to Determine Limit for 2012</v>
      </c>
      <c r="B3" s="506"/>
      <c r="C3" s="506"/>
      <c r="D3" s="506"/>
      <c r="E3" s="506"/>
      <c r="F3" s="506"/>
      <c r="G3" s="506"/>
      <c r="H3" s="506"/>
      <c r="I3" s="506"/>
      <c r="J3" s="506"/>
    </row>
    <row r="4" spans="1:10" ht="15.75">
      <c r="A4" s="35"/>
      <c r="B4" s="35"/>
      <c r="C4" s="35"/>
      <c r="D4" s="35"/>
      <c r="E4" s="506"/>
      <c r="F4" s="506"/>
      <c r="G4" s="506"/>
      <c r="H4" s="175"/>
      <c r="I4" s="35"/>
      <c r="J4" s="176" t="s">
        <v>172</v>
      </c>
    </row>
    <row r="5" spans="1:10" ht="15.75">
      <c r="A5" s="177" t="s">
        <v>173</v>
      </c>
      <c r="B5" s="35" t="str">
        <f>CONCATENATE("Total Tax Levy Amount in ",J1-1," Budget")</f>
        <v>Total Tax Levy Amount in 2011 Budget</v>
      </c>
      <c r="C5" s="35"/>
      <c r="D5" s="35"/>
      <c r="E5" s="95"/>
      <c r="F5" s="95"/>
      <c r="G5" s="95"/>
      <c r="H5" s="178" t="s">
        <v>174</v>
      </c>
      <c r="I5" s="95" t="s">
        <v>175</v>
      </c>
      <c r="J5" s="179">
        <f>inputPrYr!E29</f>
        <v>3836421</v>
      </c>
    </row>
    <row r="6" spans="1:10" ht="15.75">
      <c r="A6" s="177" t="s">
        <v>176</v>
      </c>
      <c r="B6" s="35" t="str">
        <f>CONCATENATE("Debt Service Levy in ",J1-1," Budget")</f>
        <v>Debt Service Levy in 2011 Budget</v>
      </c>
      <c r="C6" s="35"/>
      <c r="D6" s="35"/>
      <c r="E6" s="95"/>
      <c r="F6" s="95"/>
      <c r="G6" s="95"/>
      <c r="H6" s="178" t="s">
        <v>177</v>
      </c>
      <c r="I6" s="95" t="s">
        <v>175</v>
      </c>
      <c r="J6" s="101">
        <f>inputPrYr!E17</f>
        <v>0</v>
      </c>
    </row>
    <row r="7" spans="1:10" ht="15.75">
      <c r="A7" s="177" t="s">
        <v>178</v>
      </c>
      <c r="B7" s="102" t="s">
        <v>197</v>
      </c>
      <c r="C7" s="35"/>
      <c r="D7" s="35"/>
      <c r="E7" s="95"/>
      <c r="F7" s="95"/>
      <c r="G7" s="95"/>
      <c r="H7" s="95"/>
      <c r="I7" s="95" t="s">
        <v>175</v>
      </c>
      <c r="J7" s="101">
        <f>J5-J6</f>
        <v>3836421</v>
      </c>
    </row>
    <row r="8" spans="1:10" ht="15.75">
      <c r="A8" s="35"/>
      <c r="B8" s="35"/>
      <c r="C8" s="35"/>
      <c r="D8" s="35"/>
      <c r="E8" s="95"/>
      <c r="F8" s="95"/>
      <c r="G8" s="95"/>
      <c r="H8" s="95"/>
      <c r="I8" s="95"/>
      <c r="J8" s="95"/>
    </row>
    <row r="9" spans="1:10" ht="15.75">
      <c r="A9" s="35"/>
      <c r="B9" s="102" t="str">
        <f>CONCATENATE("",J1-1," Valuation Information for Valuation Adjustments:")</f>
        <v>2011 Valuation Information for Valuation Adjustments:</v>
      </c>
      <c r="C9" s="35"/>
      <c r="D9" s="35"/>
      <c r="E9" s="95"/>
      <c r="F9" s="95"/>
      <c r="G9" s="95"/>
      <c r="H9" s="95"/>
      <c r="I9" s="95"/>
      <c r="J9" s="95"/>
    </row>
    <row r="10" spans="1:10" ht="15.75">
      <c r="A10" s="35"/>
      <c r="B10" s="35"/>
      <c r="C10" s="102"/>
      <c r="D10" s="35"/>
      <c r="E10" s="95"/>
      <c r="F10" s="95"/>
      <c r="G10" s="95"/>
      <c r="H10" s="95"/>
      <c r="I10" s="95"/>
      <c r="J10" s="95"/>
    </row>
    <row r="11" spans="1:10" ht="15.75">
      <c r="A11" s="177" t="s">
        <v>179</v>
      </c>
      <c r="B11" s="102" t="str">
        <f>CONCATENATE("New Improvements for ",J1-1,":")</f>
        <v>New Improvements for 2011:</v>
      </c>
      <c r="C11" s="35"/>
      <c r="D11" s="35"/>
      <c r="E11" s="178"/>
      <c r="F11" s="178" t="s">
        <v>174</v>
      </c>
      <c r="G11" s="179">
        <f>inputOth!E7</f>
        <v>199921</v>
      </c>
      <c r="H11" s="73"/>
      <c r="I11" s="95"/>
      <c r="J11" s="95"/>
    </row>
    <row r="12" spans="1:10" ht="15.75">
      <c r="A12" s="177"/>
      <c r="B12" s="177"/>
      <c r="C12" s="35"/>
      <c r="D12" s="35"/>
      <c r="E12" s="178"/>
      <c r="F12" s="178"/>
      <c r="G12" s="73"/>
      <c r="H12" s="73"/>
      <c r="I12" s="95"/>
      <c r="J12" s="95"/>
    </row>
    <row r="13" spans="1:10" ht="15.75">
      <c r="A13" s="177" t="s">
        <v>180</v>
      </c>
      <c r="B13" s="102" t="str">
        <f>CONCATENATE("Increase in Personal Property for ",J1-1,":")</f>
        <v>Increase in Personal Property for 2011:</v>
      </c>
      <c r="C13" s="35"/>
      <c r="D13" s="35"/>
      <c r="E13" s="178"/>
      <c r="F13" s="178"/>
      <c r="G13" s="73"/>
      <c r="H13" s="73"/>
      <c r="I13" s="95"/>
      <c r="J13" s="95"/>
    </row>
    <row r="14" spans="1:10" ht="15.75">
      <c r="A14" s="35"/>
      <c r="B14" s="35" t="s">
        <v>181</v>
      </c>
      <c r="C14" s="35" t="str">
        <f>CONCATENATE("Personal Property ",J1-1,"")</f>
        <v>Personal Property 2011</v>
      </c>
      <c r="D14" s="177" t="s">
        <v>174</v>
      </c>
      <c r="E14" s="179">
        <f>inputOth!E8</f>
        <v>1161476</v>
      </c>
      <c r="F14" s="178"/>
      <c r="G14" s="95"/>
      <c r="H14" s="95"/>
      <c r="I14" s="73"/>
      <c r="J14" s="95"/>
    </row>
    <row r="15" spans="1:10" ht="15.75">
      <c r="A15" s="177"/>
      <c r="B15" s="35" t="s">
        <v>182</v>
      </c>
      <c r="C15" s="35" t="str">
        <f>CONCATENATE("Personal Property ",J1-2,"")</f>
        <v>Personal Property 2010</v>
      </c>
      <c r="D15" s="177" t="s">
        <v>177</v>
      </c>
      <c r="E15" s="101">
        <f>inputOth!E10</f>
        <v>1248905</v>
      </c>
      <c r="F15" s="178"/>
      <c r="G15" s="73"/>
      <c r="H15" s="73"/>
      <c r="I15" s="95"/>
      <c r="J15" s="95"/>
    </row>
    <row r="16" spans="1:10" ht="15.75">
      <c r="A16" s="177"/>
      <c r="B16" s="35" t="s">
        <v>183</v>
      </c>
      <c r="C16" s="35" t="s">
        <v>199</v>
      </c>
      <c r="D16" s="35"/>
      <c r="E16" s="95"/>
      <c r="F16" s="95" t="s">
        <v>174</v>
      </c>
      <c r="G16" s="179">
        <f>IF(E14&gt;E15,E14-E15,0)</f>
        <v>0</v>
      </c>
      <c r="H16" s="73"/>
      <c r="I16" s="95"/>
      <c r="J16" s="95"/>
    </row>
    <row r="17" spans="1:10" ht="15.75">
      <c r="A17" s="177"/>
      <c r="B17" s="177"/>
      <c r="C17" s="35"/>
      <c r="D17" s="35"/>
      <c r="E17" s="95"/>
      <c r="F17" s="95"/>
      <c r="G17" s="73" t="s">
        <v>189</v>
      </c>
      <c r="H17" s="73"/>
      <c r="I17" s="95"/>
      <c r="J17" s="95"/>
    </row>
    <row r="18" spans="1:10" ht="15.75">
      <c r="A18" s="177"/>
      <c r="B18" s="177"/>
      <c r="C18" s="35"/>
      <c r="D18" s="177"/>
      <c r="E18" s="73"/>
      <c r="F18" s="95"/>
      <c r="G18" s="73"/>
      <c r="H18" s="73"/>
      <c r="I18" s="95"/>
      <c r="J18" s="95"/>
    </row>
    <row r="19" spans="1:10" ht="15.75">
      <c r="A19" s="177" t="s">
        <v>184</v>
      </c>
      <c r="B19" s="102" t="str">
        <f>CONCATENATE("Valuation of Property that has Changed in Use during ",J1-1,":")</f>
        <v>Valuation of Property that has Changed in Use during 2011:</v>
      </c>
      <c r="C19" s="35"/>
      <c r="D19" s="35"/>
      <c r="E19" s="95"/>
      <c r="F19" s="95"/>
      <c r="G19" s="95">
        <f>inputOth!E9</f>
        <v>0</v>
      </c>
      <c r="H19" s="95"/>
      <c r="I19" s="95"/>
      <c r="J19" s="95"/>
    </row>
    <row r="20" spans="1:10" ht="15.75">
      <c r="A20" s="177"/>
      <c r="B20" s="35"/>
      <c r="C20" s="35"/>
      <c r="D20" s="177"/>
      <c r="E20" s="73"/>
      <c r="F20" s="95"/>
      <c r="G20" s="180"/>
      <c r="H20" s="73"/>
      <c r="I20" s="95"/>
      <c r="J20" s="95"/>
    </row>
    <row r="21" spans="1:10" ht="15.75">
      <c r="A21" s="177" t="s">
        <v>193</v>
      </c>
      <c r="B21" s="102" t="s">
        <v>198</v>
      </c>
      <c r="C21" s="35"/>
      <c r="D21" s="35"/>
      <c r="E21" s="95"/>
      <c r="F21" s="95"/>
      <c r="G21" s="179">
        <f>G11+G16+G19</f>
        <v>199921</v>
      </c>
      <c r="H21" s="73"/>
      <c r="I21" s="95"/>
      <c r="J21" s="95"/>
    </row>
    <row r="22" spans="1:10" ht="15.75">
      <c r="A22" s="177"/>
      <c r="B22" s="177"/>
      <c r="C22" s="102"/>
      <c r="D22" s="35"/>
      <c r="E22" s="95"/>
      <c r="F22" s="95"/>
      <c r="G22" s="73"/>
      <c r="H22" s="73"/>
      <c r="I22" s="95"/>
      <c r="J22" s="95"/>
    </row>
    <row r="23" spans="1:10" ht="15.75">
      <c r="A23" s="177" t="s">
        <v>194</v>
      </c>
      <c r="B23" s="35" t="str">
        <f>CONCATENATE("Total Estimated Valuation July 1,",J1-1,"")</f>
        <v>Total Estimated Valuation July 1,2011</v>
      </c>
      <c r="C23" s="35"/>
      <c r="D23" s="35"/>
      <c r="E23" s="179">
        <f>inputOth!E6</f>
        <v>35907396</v>
      </c>
      <c r="F23" s="95"/>
      <c r="G23" s="95"/>
      <c r="H23" s="95"/>
      <c r="I23" s="178"/>
      <c r="J23" s="95"/>
    </row>
    <row r="24" spans="1:10" ht="15.75">
      <c r="A24" s="177"/>
      <c r="B24" s="177"/>
      <c r="C24" s="35"/>
      <c r="D24" s="35"/>
      <c r="E24" s="73"/>
      <c r="F24" s="95"/>
      <c r="G24" s="95"/>
      <c r="H24" s="95"/>
      <c r="I24" s="178"/>
      <c r="J24" s="95"/>
    </row>
    <row r="25" spans="1:10" ht="15.75">
      <c r="A25" s="177" t="s">
        <v>185</v>
      </c>
      <c r="B25" s="102" t="s">
        <v>202</v>
      </c>
      <c r="C25" s="35"/>
      <c r="D25" s="35"/>
      <c r="E25" s="95"/>
      <c r="F25" s="95"/>
      <c r="G25" s="179">
        <f>E23-G21</f>
        <v>35707475</v>
      </c>
      <c r="H25" s="73"/>
      <c r="I25" s="178"/>
      <c r="J25" s="95"/>
    </row>
    <row r="26" spans="1:10" ht="15.75">
      <c r="A26" s="177"/>
      <c r="B26" s="177"/>
      <c r="C26" s="102"/>
      <c r="D26" s="35"/>
      <c r="E26" s="35"/>
      <c r="F26" s="35"/>
      <c r="G26" s="181"/>
      <c r="H26" s="38"/>
      <c r="I26" s="177"/>
      <c r="J26" s="35"/>
    </row>
    <row r="27" spans="1:10" ht="15.75">
      <c r="A27" s="177" t="s">
        <v>186</v>
      </c>
      <c r="B27" s="35" t="s">
        <v>201</v>
      </c>
      <c r="C27" s="35"/>
      <c r="D27" s="35"/>
      <c r="E27" s="35"/>
      <c r="F27" s="35"/>
      <c r="G27" s="182">
        <f>IF(G21&gt;0,G21/G25,0)</f>
        <v>0.00559885570178233</v>
      </c>
      <c r="H27" s="38"/>
      <c r="I27" s="35"/>
      <c r="J27" s="35"/>
    </row>
    <row r="28" spans="1:10" ht="15.75">
      <c r="A28" s="177"/>
      <c r="B28" s="177"/>
      <c r="C28" s="35"/>
      <c r="D28" s="35"/>
      <c r="E28" s="35"/>
      <c r="F28" s="35"/>
      <c r="G28" s="38"/>
      <c r="H28" s="38"/>
      <c r="I28" s="35"/>
      <c r="J28" s="35"/>
    </row>
    <row r="29" spans="1:10" ht="15.75">
      <c r="A29" s="177" t="s">
        <v>187</v>
      </c>
      <c r="B29" s="35" t="s">
        <v>200</v>
      </c>
      <c r="C29" s="35"/>
      <c r="D29" s="35"/>
      <c r="E29" s="35"/>
      <c r="F29" s="35"/>
      <c r="G29" s="38"/>
      <c r="H29" s="183" t="s">
        <v>174</v>
      </c>
      <c r="I29" s="35" t="s">
        <v>175</v>
      </c>
      <c r="J29" s="179">
        <f>ROUND(G27*J7,0)</f>
        <v>21480</v>
      </c>
    </row>
    <row r="30" spans="1:10" ht="15.75">
      <c r="A30" s="177"/>
      <c r="B30" s="177"/>
      <c r="C30" s="35"/>
      <c r="D30" s="35"/>
      <c r="E30" s="35"/>
      <c r="F30" s="35"/>
      <c r="G30" s="38"/>
      <c r="H30" s="183"/>
      <c r="I30" s="35"/>
      <c r="J30" s="73"/>
    </row>
    <row r="31" spans="1:10" ht="16.5" thickBot="1">
      <c r="A31" s="177" t="s">
        <v>188</v>
      </c>
      <c r="B31" s="102" t="s">
        <v>206</v>
      </c>
      <c r="C31" s="35"/>
      <c r="D31" s="35"/>
      <c r="E31" s="35"/>
      <c r="F31" s="35"/>
      <c r="G31" s="35"/>
      <c r="H31" s="35"/>
      <c r="I31" s="35" t="s">
        <v>175</v>
      </c>
      <c r="J31" s="184">
        <f>J7+J29</f>
        <v>3857901</v>
      </c>
    </row>
    <row r="32" spans="1:10" ht="16.5" thickTop="1">
      <c r="A32" s="35"/>
      <c r="B32" s="35"/>
      <c r="C32" s="35"/>
      <c r="D32" s="35"/>
      <c r="E32" s="35"/>
      <c r="F32" s="35"/>
      <c r="G32" s="35"/>
      <c r="H32" s="35"/>
      <c r="I32" s="35"/>
      <c r="J32" s="35"/>
    </row>
    <row r="33" spans="1:10" ht="15.75">
      <c r="A33" s="177" t="s">
        <v>204</v>
      </c>
      <c r="B33" s="102" t="str">
        <f>CONCATENATE("Debt Service Levy in this ",J1," Budget")</f>
        <v>Debt Service Levy in this 2012 Budget</v>
      </c>
      <c r="C33" s="35"/>
      <c r="D33" s="35"/>
      <c r="E33" s="35"/>
      <c r="F33" s="35"/>
      <c r="G33" s="35"/>
      <c r="H33" s="35"/>
      <c r="I33" s="35"/>
      <c r="J33" s="179">
        <f>DebtService!E61</f>
        <v>0</v>
      </c>
    </row>
    <row r="34" spans="1:10" ht="15.75">
      <c r="A34" s="177"/>
      <c r="B34" s="102"/>
      <c r="C34" s="35"/>
      <c r="D34" s="35"/>
      <c r="E34" s="35"/>
      <c r="F34" s="35"/>
      <c r="G34" s="35"/>
      <c r="H34" s="35"/>
      <c r="I34" s="35"/>
      <c r="J34" s="38"/>
    </row>
    <row r="35" spans="1:10" ht="16.5" thickBot="1">
      <c r="A35" s="177" t="s">
        <v>205</v>
      </c>
      <c r="B35" s="102" t="s">
        <v>207</v>
      </c>
      <c r="C35" s="35"/>
      <c r="D35" s="35"/>
      <c r="E35" s="35"/>
      <c r="F35" s="35"/>
      <c r="G35" s="35"/>
      <c r="H35" s="35"/>
      <c r="I35" s="35"/>
      <c r="J35" s="184">
        <f>J31+J33</f>
        <v>3857901</v>
      </c>
    </row>
    <row r="36" spans="1:10" ht="16.5" thickTop="1">
      <c r="A36" s="35"/>
      <c r="B36" s="35"/>
      <c r="C36" s="35"/>
      <c r="D36" s="35"/>
      <c r="E36" s="35"/>
      <c r="F36" s="35"/>
      <c r="G36" s="35"/>
      <c r="H36" s="35"/>
      <c r="I36" s="35"/>
      <c r="J36" s="35"/>
    </row>
    <row r="37" spans="1:10" s="185" customFormat="1" ht="18.75">
      <c r="A37" s="505" t="str">
        <f>CONCATENATE("If the ",J1," budget includes tax levies exceeding the total on line 14, you must")</f>
        <v>If the 2012 budget includes tax levies exceeding the total on line 14, you must</v>
      </c>
      <c r="B37" s="505"/>
      <c r="C37" s="505"/>
      <c r="D37" s="505"/>
      <c r="E37" s="505"/>
      <c r="F37" s="505"/>
      <c r="G37" s="505"/>
      <c r="H37" s="505"/>
      <c r="I37" s="505"/>
      <c r="J37" s="505"/>
    </row>
    <row r="38" spans="1:10" s="185" customFormat="1" ht="18.75">
      <c r="A38" s="505" t="s">
        <v>203</v>
      </c>
      <c r="B38" s="505"/>
      <c r="C38" s="505"/>
      <c r="D38" s="505"/>
      <c r="E38" s="505"/>
      <c r="F38" s="505"/>
      <c r="G38" s="505"/>
      <c r="H38" s="505"/>
      <c r="I38" s="505"/>
      <c r="J38" s="505"/>
    </row>
  </sheetData>
  <sheetProtection sheet="1"/>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5" r:id="rId1"/>
  <headerFooter alignWithMargins="0">
    <oddHeader>&amp;RState of Kansas
County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view="pageBreakPreview" zoomScale="104" zoomScaleSheetLayoutView="104" zoomScalePageLayoutView="0" workbookViewId="0" topLeftCell="A1">
      <selection activeCell="A18" sqref="A18:A29"/>
    </sheetView>
  </sheetViews>
  <sheetFormatPr defaultColWidth="8.796875" defaultRowHeight="15"/>
  <cols>
    <col min="1" max="1" width="18.796875" style="1" customWidth="1"/>
    <col min="2" max="2" width="12.796875" style="1" customWidth="1"/>
    <col min="3" max="3" width="0.203125" style="1" customWidth="1"/>
    <col min="4" max="8" width="11.796875" style="1" customWidth="1"/>
    <col min="9" max="16384" width="8.8984375" style="1" customWidth="1"/>
  </cols>
  <sheetData>
    <row r="1" spans="1:8" ht="15.75">
      <c r="A1" s="11" t="str">
        <f>inputPrYr!C2</f>
        <v>LINCOLN COUNTY</v>
      </c>
      <c r="B1" s="4"/>
      <c r="C1" s="4"/>
      <c r="D1" s="4"/>
      <c r="E1" s="4"/>
      <c r="F1" s="3"/>
      <c r="G1" s="3"/>
      <c r="H1" s="27">
        <f>inputPrYr!C4</f>
        <v>2012</v>
      </c>
    </row>
    <row r="2" spans="1:8" ht="15.75">
      <c r="A2" s="4"/>
      <c r="B2" s="4"/>
      <c r="C2" s="4"/>
      <c r="D2" s="4"/>
      <c r="E2" s="4"/>
      <c r="F2" s="3"/>
      <c r="G2" s="3"/>
      <c r="H2" s="12"/>
    </row>
    <row r="3" spans="1:8" ht="15.75">
      <c r="A3" s="509" t="s">
        <v>42</v>
      </c>
      <c r="B3" s="509"/>
      <c r="C3" s="509"/>
      <c r="D3" s="509"/>
      <c r="E3" s="509"/>
      <c r="F3" s="509"/>
      <c r="G3" s="509"/>
      <c r="H3" s="510"/>
    </row>
    <row r="4" spans="1:8" ht="15.75">
      <c r="A4" s="28"/>
      <c r="B4" s="28"/>
      <c r="C4" s="28"/>
      <c r="D4" s="28"/>
      <c r="E4" s="28"/>
      <c r="F4" s="28"/>
      <c r="G4" s="28"/>
      <c r="H4" s="30"/>
    </row>
    <row r="5" spans="1:8" ht="15.75">
      <c r="A5" s="6"/>
      <c r="B5" s="7"/>
      <c r="C5" s="7"/>
      <c r="D5" s="7"/>
      <c r="E5" s="7"/>
      <c r="F5" s="4"/>
      <c r="G5" s="4"/>
      <c r="H5" s="12"/>
    </row>
    <row r="6" spans="1:8" ht="21.75" customHeight="1">
      <c r="A6" s="14"/>
      <c r="B6" s="507" t="str">
        <f>CONCATENATE("Budget Tax Levy Amount for ",H1-2,"")</f>
        <v>Budget Tax Levy Amount for 2010</v>
      </c>
      <c r="C6" s="507" t="str">
        <f>CONCATENATE("Budget Tax Levy Rate for ",H1-1,"")</f>
        <v>Budget Tax Levy Rate for 2011</v>
      </c>
      <c r="D6" s="511" t="str">
        <f>CONCATENATE("Allocation for Year ",H1,"")</f>
        <v>Allocation for Year 2012</v>
      </c>
      <c r="E6" s="512"/>
      <c r="F6" s="512"/>
      <c r="G6" s="513"/>
      <c r="H6" s="29"/>
    </row>
    <row r="7" spans="1:8" ht="15.75">
      <c r="A7" s="2" t="str">
        <f>CONCATENATE("",H1-1," Budgeted Funds")</f>
        <v>2011 Budgeted Funds</v>
      </c>
      <c r="B7" s="508"/>
      <c r="C7" s="508"/>
      <c r="D7" s="8" t="s">
        <v>78</v>
      </c>
      <c r="E7" s="8" t="s">
        <v>169</v>
      </c>
      <c r="F7" s="8" t="s">
        <v>196</v>
      </c>
      <c r="G7" s="8" t="s">
        <v>246</v>
      </c>
      <c r="H7" s="29"/>
    </row>
    <row r="8" spans="1:8" ht="15.75">
      <c r="A8" s="10" t="str">
        <f>(inputPrYr!B16)</f>
        <v>General</v>
      </c>
      <c r="B8" s="17">
        <f>(inputPrYr!E16)</f>
        <v>1322628</v>
      </c>
      <c r="C8" s="18">
        <f>IF(inputPrYr!F16&gt;0,(inputPrYr!F16),"  ")</f>
        <v>36.948</v>
      </c>
      <c r="D8" s="17">
        <f>IF(inputPrYr!E16&gt;0,D23-SUM(D9:D20),0)</f>
        <v>107355</v>
      </c>
      <c r="E8" s="17">
        <f>IF(inputPrYr!E16=0,0,E25-SUM(E9:E20))</f>
        <v>1703</v>
      </c>
      <c r="F8" s="17">
        <f>IF(inputPrYr!E16=0,0,F27-SUM(F9:F20))</f>
        <v>19372</v>
      </c>
      <c r="G8" s="17">
        <f>IF(inputPrYr!E16=0,0,G29-SUM(G9:G20))</f>
        <v>0</v>
      </c>
      <c r="H8" s="29"/>
    </row>
    <row r="9" spans="1:8" ht="15.75">
      <c r="A9" s="10" t="str">
        <f>(inputPrYr!B17)</f>
        <v>Debt Service</v>
      </c>
      <c r="B9" s="17" t="str">
        <f>IF(inputPrYr!E17&gt;0,inputPrYr!E17," ")</f>
        <v> </v>
      </c>
      <c r="C9" s="18" t="str">
        <f>IF(inputPrYr!F17&gt;0,(inputPrYr!F17),"  ")</f>
        <v>  </v>
      </c>
      <c r="D9" s="17" t="str">
        <f>IF(inputPrYr!$E$17&gt;0,ROUND(+B9*D$31,0)," ")</f>
        <v> </v>
      </c>
      <c r="E9" s="17" t="str">
        <f>IF(inputPrYr!$E$17&gt;0,ROUND(+B9*E$33,0)," ")</f>
        <v> </v>
      </c>
      <c r="F9" s="17" t="str">
        <f>IF(inputPrYr!$E$17&gt;0,ROUND(+B9*F$35,0)," ")</f>
        <v> </v>
      </c>
      <c r="G9" s="17" t="str">
        <f>IF(inputPrYr!$E$17&gt;0,ROUND(+B9*G$37,0)," ")</f>
        <v> </v>
      </c>
      <c r="H9" s="29"/>
    </row>
    <row r="10" spans="1:8" ht="15.75">
      <c r="A10" s="10" t="str">
        <f>(inputPrYr!B18)</f>
        <v>Road &amp; Bridge</v>
      </c>
      <c r="B10" s="17">
        <f>IF(inputPrYr!E18&gt;0,inputPrYr!E18," ")</f>
        <v>1320222</v>
      </c>
      <c r="C10" s="18">
        <f>IF(inputPrYr!F18&gt;0,(inputPrYr!F18),"  ")</f>
        <v>36.881</v>
      </c>
      <c r="D10" s="17">
        <f>IF(inputPrYr!$E$18&gt;0,ROUND(+B10*D$31,0)," ")</f>
        <v>107160</v>
      </c>
      <c r="E10" s="17">
        <f>IF(inputPrYr!$E$18&gt;0,ROUND(+B10*E$33,0)," ")</f>
        <v>1700</v>
      </c>
      <c r="F10" s="17">
        <f>IF(inputPrYr!$E$18&gt;0,ROUND(+B10*F$35,0)," ")</f>
        <v>19338</v>
      </c>
      <c r="G10" s="17">
        <f>IF(inputPrYr!$E$18&gt;0,ROUND(+B10*G$37,0)," ")</f>
        <v>0</v>
      </c>
      <c r="H10" s="29"/>
    </row>
    <row r="11" spans="1:8" ht="15.75">
      <c r="A11" s="10" t="str">
        <f>IF((inputPrYr!$B19&gt;" "),(inputPrYr!$B19),"  ")</f>
        <v>Special Bridge</v>
      </c>
      <c r="B11" s="17">
        <f>IF(inputPrYr!E19&gt;0,inputPrYr!E19,"  ")</f>
        <v>47238</v>
      </c>
      <c r="C11" s="18">
        <f>IF(inputPrYr!F19&gt;0,(inputPrYr!F19),"  ")</f>
        <v>1.32</v>
      </c>
      <c r="D11" s="17">
        <f>IF(inputPrYr!$E$19&gt;0,ROUND(+B11*D$31,0)," ")</f>
        <v>3834</v>
      </c>
      <c r="E11" s="17">
        <f>IF(inputPrYr!$E$19&gt;0,ROUND(+B11*E$33,0)," ")</f>
        <v>61</v>
      </c>
      <c r="F11" s="17">
        <f>IF(inputPrYr!$E$19&gt;0,ROUND(+B11*F$35,0)," ")</f>
        <v>692</v>
      </c>
      <c r="G11" s="17">
        <f>IF(inputPrYr!$E$19&gt;0,ROUND(+B11*G$37,0)," ")</f>
        <v>0</v>
      </c>
      <c r="H11" s="29"/>
    </row>
    <row r="12" spans="1:8" ht="15.75">
      <c r="A12" s="10" t="str">
        <f>IF((inputPrYr!$B20&gt;" "),(inputPrYr!$B20),"  ")</f>
        <v>Noxious Weed</v>
      </c>
      <c r="B12" s="17">
        <f>IF(inputPrYr!E20&gt;0,inputPrYr!E20,"  ")</f>
        <v>40181</v>
      </c>
      <c r="C12" s="18">
        <f>IF(inputPrYr!F20&gt;0,(inputPrYr!F20),"  ")</f>
        <v>1.123</v>
      </c>
      <c r="D12" s="17">
        <f>IF(inputPrYr!E20&gt;0,ROUND(+B12*D$31,0),"  ")</f>
        <v>3261</v>
      </c>
      <c r="E12" s="17">
        <f>IF(inputPrYr!E20&gt;0,ROUND(+B12*E$33,0),"  ")</f>
        <v>52</v>
      </c>
      <c r="F12" s="17">
        <f>IF(inputPrYr!E20&gt;0,ROUND(+B12*F$35,0),"  ")</f>
        <v>589</v>
      </c>
      <c r="G12" s="17">
        <f>IF(inputPrYr!$E$20&gt;0,ROUND(+B12*G$37,0)," ")</f>
        <v>0</v>
      </c>
      <c r="H12" s="29"/>
    </row>
    <row r="13" spans="1:8" ht="15.75">
      <c r="A13" s="10" t="str">
        <f>IF((inputPrYr!$B21&gt;" "),(inputPrYr!$B21),"  ")</f>
        <v>Law Enforcement</v>
      </c>
      <c r="B13" s="17">
        <f>IF(inputPrYr!E21&gt;0,inputPrYr!E21,"  ")</f>
        <v>18167</v>
      </c>
      <c r="C13" s="18">
        <f>IF(inputPrYr!F21&gt;0,(inputPrYr!F21),"  ")</f>
        <v>0.508</v>
      </c>
      <c r="D13" s="17">
        <f>IF(inputPrYr!E21&gt;0,ROUND(+B13*D$31,0),"  ")</f>
        <v>1475</v>
      </c>
      <c r="E13" s="17">
        <f>IF(inputPrYr!E21&gt;0,ROUND(+B13*E$33,0),"  ")</f>
        <v>23</v>
      </c>
      <c r="F13" s="17">
        <f>IF(inputPrYr!E21&gt;0,ROUND(+B13*F$35,0),"  ")</f>
        <v>266</v>
      </c>
      <c r="G13" s="17">
        <f>IF(inputPrYr!$E$21&gt;0,ROUND(+B13*G$37,0)," ")</f>
        <v>0</v>
      </c>
      <c r="H13" s="29"/>
    </row>
    <row r="14" spans="1:8" ht="15.75">
      <c r="A14" s="10" t="str">
        <f>IF((inputPrYr!$B22&gt;" "),(inputPrYr!$B22),"  ")</f>
        <v>County Health</v>
      </c>
      <c r="B14" s="17">
        <f>IF(inputPrYr!E22&gt;0,inputPrYr!E22,"  ")</f>
        <v>94731</v>
      </c>
      <c r="C14" s="18">
        <f>IF(inputPrYr!F22&gt;0,(inputPrYr!F22),"  ")</f>
        <v>2.647</v>
      </c>
      <c r="D14" s="17">
        <f>IF(inputPrYr!E22&gt;0,ROUND(+B14*D$31,0),"  ")</f>
        <v>7689</v>
      </c>
      <c r="E14" s="17">
        <f>IF(inputPrYr!E22&gt;0,ROUND(+B14*E$33,0),"  ")</f>
        <v>122</v>
      </c>
      <c r="F14" s="17">
        <f>IF(inputPrYr!E22&gt;0,ROUND(+B14*F$35,0),"  ")</f>
        <v>1388</v>
      </c>
      <c r="G14" s="17">
        <f>IF(inputPrYr!$E$22&gt;0,ROUND(+B14*G$37,0)," ")</f>
        <v>0</v>
      </c>
      <c r="H14" s="29"/>
    </row>
    <row r="15" spans="1:8" ht="15.75">
      <c r="A15" s="10" t="str">
        <f>IF((inputPrYr!$B23&gt;" "),(inputPrYr!$B23),"  ")</f>
        <v>Ambulance</v>
      </c>
      <c r="B15" s="17">
        <f>IF(inputPrYr!E23&gt;0,inputPrYr!E23,"  ")</f>
        <v>118768</v>
      </c>
      <c r="C15" s="18">
        <f>IF(inputPrYr!F23&gt;0,(inputPrYr!F23),"  ")</f>
        <v>3.318</v>
      </c>
      <c r="D15" s="17">
        <f>IF(inputPrYr!E23&gt;0,ROUND(+B15*D$31,0),"  ")</f>
        <v>9640</v>
      </c>
      <c r="E15" s="17">
        <f>IF(inputPrYr!E23&gt;0,ROUND(+B15*E$33,0),"  ")</f>
        <v>153</v>
      </c>
      <c r="F15" s="17">
        <f>IF(inputPrYr!E23&gt;0,ROUND(+B15*F$35,0),"  ")</f>
        <v>1740</v>
      </c>
      <c r="G15" s="17">
        <f>IF(inputPrYr!$E$23&gt;0,ROUND(+B15*G$37,0)," ")</f>
        <v>0</v>
      </c>
      <c r="H15" s="29"/>
    </row>
    <row r="16" spans="1:8" ht="15.75">
      <c r="A16" s="10" t="str">
        <f>IF((inputPrYr!$B24&gt;" "),(inputPrYr!$B24),"  ")</f>
        <v>Employee Benefits</v>
      </c>
      <c r="B16" s="17">
        <f>IF(inputPrYr!E24&gt;0,inputPrYr!E24,"  ")</f>
        <v>874486</v>
      </c>
      <c r="C16" s="18">
        <f>IF(inputPrYr!F24&gt;0,(inputPrYr!F24),"  ")</f>
        <v>24.429</v>
      </c>
      <c r="D16" s="17">
        <f>IF(inputPrYr!E24&gt;0,ROUND(+B16*D$31,0),"  ")</f>
        <v>70980</v>
      </c>
      <c r="E16" s="17">
        <f>IF(inputPrYr!E24&gt;0,ROUND(+B16*E$33,0),"  ")</f>
        <v>1126</v>
      </c>
      <c r="F16" s="17">
        <f>IF(inputPrYr!E24&gt;0,ROUND(+B16*F$35,0),"  ")</f>
        <v>12809</v>
      </c>
      <c r="G16" s="17">
        <f>IF(inputPrYr!$E$24&gt;0,ROUND(+B16*G$37,0)," ")</f>
        <v>0</v>
      </c>
      <c r="H16" s="29"/>
    </row>
    <row r="17" spans="1:8" ht="15.75">
      <c r="A17" s="10" t="str">
        <f>IF((inputPrYr!$B25&gt;" "),(inputPrYr!$B25),"  ")</f>
        <v>  </v>
      </c>
      <c r="B17" s="17" t="str">
        <f>IF(inputPrYr!E25&gt;0,inputPrYr!E25,"  ")</f>
        <v>  </v>
      </c>
      <c r="C17" s="18" t="str">
        <f>IF(inputPrYr!F25&gt;0,(inputPrYr!F25),"  ")</f>
        <v>  </v>
      </c>
      <c r="D17" s="17" t="str">
        <f>IF(inputPrYr!E25&gt;0,ROUND(+B17*D$31,0),"  ")</f>
        <v>  </v>
      </c>
      <c r="E17" s="17" t="str">
        <f>IF(inputPrYr!E25&gt;0,ROUND(+B17*E$33,0),"  ")</f>
        <v>  </v>
      </c>
      <c r="F17" s="17" t="str">
        <f>IF(inputPrYr!E25&gt;0,ROUND(+B17*F$35,0),"  ")</f>
        <v>  </v>
      </c>
      <c r="G17" s="17" t="str">
        <f>IF(inputPrYr!$E$25&gt;0,ROUND(+B17*G$37,0)," ")</f>
        <v> </v>
      </c>
      <c r="H17" s="29"/>
    </row>
    <row r="18" spans="1:8" ht="15.75">
      <c r="A18" s="10" t="str">
        <f>IF((inputPrYr!$B26&gt;" "),(inputPrYr!$B26),"  ")</f>
        <v>  </v>
      </c>
      <c r="B18" s="17" t="str">
        <f>IF(inputPrYr!E26&gt;0,inputPrYr!E26,"  ")</f>
        <v>  </v>
      </c>
      <c r="C18" s="18" t="str">
        <f>IF(inputPrYr!F26&gt;0,(inputPrYr!F26),"  ")</f>
        <v>  </v>
      </c>
      <c r="D18" s="17" t="str">
        <f>IF(inputPrYr!E26&gt;0,ROUND(+B18*D$31,0),"  ")</f>
        <v>  </v>
      </c>
      <c r="E18" s="17" t="str">
        <f>IF(inputPrYr!E26&gt;0,ROUND(+B18*E$33,0),"  ")</f>
        <v>  </v>
      </c>
      <c r="F18" s="17" t="str">
        <f>IF(inputPrYr!E26&gt;0,ROUND(+B18*F$35,0),"  ")</f>
        <v>  </v>
      </c>
      <c r="G18" s="17" t="str">
        <f>IF(inputPrYr!$E$26&gt;0,ROUND(+B18*G$37,0)," ")</f>
        <v> </v>
      </c>
      <c r="H18" s="29"/>
    </row>
    <row r="19" spans="1:8" ht="15.75">
      <c r="A19" s="10" t="str">
        <f>IF((inputPrYr!$B27&gt;" "),(inputPrYr!$B27),"  ")</f>
        <v>  </v>
      </c>
      <c r="B19" s="17" t="str">
        <f>IF(inputPrYr!E27&gt;0,inputPrYr!E27,"  ")</f>
        <v>  </v>
      </c>
      <c r="C19" s="18" t="str">
        <f>IF(inputPrYr!F27&gt;0,(inputPrYr!F27),"  ")</f>
        <v>  </v>
      </c>
      <c r="D19" s="17" t="str">
        <f>IF(inputPrYr!E27&gt;0,ROUND(+B19*D$31,0),"  ")</f>
        <v>  </v>
      </c>
      <c r="E19" s="17" t="str">
        <f>IF(inputPrYr!E27&gt;0,ROUND(+B19*E$33,0),"  ")</f>
        <v>  </v>
      </c>
      <c r="F19" s="17" t="str">
        <f>IF(inputPrYr!E27&gt;0,ROUND(+B19*F$35,0),"  ")</f>
        <v>  </v>
      </c>
      <c r="G19" s="17" t="str">
        <f>IF(inputPrYr!$E$27&gt;0,ROUND(+B19*G$37,0)," ")</f>
        <v> </v>
      </c>
      <c r="H19" s="29"/>
    </row>
    <row r="20" spans="1:8" ht="15.75">
      <c r="A20" s="10" t="str">
        <f>IF((inputPrYr!$B28&gt;" "),(inputPrYr!$B28),"  ")</f>
        <v>  </v>
      </c>
      <c r="B20" s="17" t="str">
        <f>IF(inputPrYr!E28&gt;0,inputPrYr!E28,"  ")</f>
        <v>  </v>
      </c>
      <c r="C20" s="18" t="str">
        <f>IF(inputPrYr!F28&gt;0,(inputPrYr!F28),"  ")</f>
        <v>  </v>
      </c>
      <c r="D20" s="17" t="str">
        <f>IF(inputPrYr!E28&gt;0,ROUND(+B20*D$31,0),"  ")</f>
        <v>  </v>
      </c>
      <c r="E20" s="17" t="str">
        <f>IF(inputPrYr!E28&gt;0,ROUND(+B20*E$33,0),"  ")</f>
        <v>  </v>
      </c>
      <c r="F20" s="17" t="str">
        <f>IF(inputPrYr!E28&gt;0,ROUND(+B20*F$35,0),"  ")</f>
        <v>  </v>
      </c>
      <c r="G20" s="17" t="str">
        <f>IF(inputPrYr!$E$28&gt;0,ROUND(+B20*G$37,0)," ")</f>
        <v> </v>
      </c>
      <c r="H20" s="29"/>
    </row>
    <row r="21" spans="1:8" ht="16.5" thickBot="1">
      <c r="A21" s="9" t="s">
        <v>74</v>
      </c>
      <c r="B21" s="19">
        <f aca="true" t="shared" si="0" ref="B21:G21">SUM(B8:B20)</f>
        <v>3836421</v>
      </c>
      <c r="C21" s="20">
        <f t="shared" si="0"/>
        <v>107.174</v>
      </c>
      <c r="D21" s="19">
        <f t="shared" si="0"/>
        <v>311394</v>
      </c>
      <c r="E21" s="19">
        <f t="shared" si="0"/>
        <v>4940</v>
      </c>
      <c r="F21" s="19">
        <f t="shared" si="0"/>
        <v>56194</v>
      </c>
      <c r="G21" s="19">
        <f t="shared" si="0"/>
        <v>0</v>
      </c>
      <c r="H21" s="29"/>
    </row>
    <row r="22" spans="1:8" ht="16.5" thickTop="1">
      <c r="A22" s="15"/>
      <c r="B22" s="23"/>
      <c r="C22" s="31"/>
      <c r="D22" s="23"/>
      <c r="E22" s="23"/>
      <c r="F22" s="23"/>
      <c r="G22" s="23"/>
      <c r="H22" s="29"/>
    </row>
    <row r="23" spans="1:8" ht="15.75">
      <c r="A23" s="5" t="s">
        <v>75</v>
      </c>
      <c r="B23" s="21"/>
      <c r="C23" s="21"/>
      <c r="D23" s="22">
        <f>(inputOth!E15)</f>
        <v>311394</v>
      </c>
      <c r="E23" s="21"/>
      <c r="F23" s="13"/>
      <c r="G23" s="13"/>
      <c r="H23" s="16"/>
    </row>
    <row r="24" spans="1:8" ht="15.75">
      <c r="A24" s="5"/>
      <c r="B24" s="21"/>
      <c r="C24" s="21"/>
      <c r="D24" s="23"/>
      <c r="E24" s="21"/>
      <c r="F24" s="13"/>
      <c r="G24" s="13"/>
      <c r="H24" s="16"/>
    </row>
    <row r="25" spans="1:8" ht="15.75">
      <c r="A25" s="5" t="s">
        <v>76</v>
      </c>
      <c r="B25" s="13"/>
      <c r="C25" s="13"/>
      <c r="D25" s="13"/>
      <c r="E25" s="22">
        <f>(inputOth!E16)</f>
        <v>4940</v>
      </c>
      <c r="F25" s="13"/>
      <c r="G25" s="13"/>
      <c r="H25" s="16"/>
    </row>
    <row r="26" spans="1:8" ht="15.75">
      <c r="A26" s="5"/>
      <c r="B26" s="13"/>
      <c r="C26" s="13"/>
      <c r="D26" s="13"/>
      <c r="E26" s="23"/>
      <c r="F26" s="13"/>
      <c r="G26" s="13"/>
      <c r="H26" s="16"/>
    </row>
    <row r="27" spans="1:8" ht="15.75">
      <c r="A27" s="5" t="s">
        <v>170</v>
      </c>
      <c r="B27" s="13"/>
      <c r="C27" s="13"/>
      <c r="D27" s="13"/>
      <c r="E27" s="13"/>
      <c r="F27" s="22">
        <f>inputOth!E17</f>
        <v>56194</v>
      </c>
      <c r="G27" s="23"/>
      <c r="H27" s="16"/>
    </row>
    <row r="28" spans="1:8" ht="15.75">
      <c r="A28" s="4"/>
      <c r="B28" s="13"/>
      <c r="C28" s="13"/>
      <c r="D28" s="13"/>
      <c r="E28" s="13"/>
      <c r="F28" s="13"/>
      <c r="G28" s="13"/>
      <c r="H28" s="16"/>
    </row>
    <row r="29" spans="1:8" ht="15.75">
      <c r="A29" s="4" t="s">
        <v>36</v>
      </c>
      <c r="B29" s="13"/>
      <c r="C29" s="13"/>
      <c r="D29" s="13"/>
      <c r="E29" s="13"/>
      <c r="F29" s="13"/>
      <c r="G29" s="26">
        <f>inputOth!E20</f>
        <v>0</v>
      </c>
      <c r="H29" s="16"/>
    </row>
    <row r="30" spans="1:8" ht="15.75">
      <c r="A30" s="4"/>
      <c r="B30" s="13"/>
      <c r="C30" s="13"/>
      <c r="D30" s="13"/>
      <c r="E30" s="13"/>
      <c r="F30" s="13"/>
      <c r="G30" s="13"/>
      <c r="H30" s="16"/>
    </row>
    <row r="31" spans="1:8" ht="15.75">
      <c r="A31" s="5" t="s">
        <v>77</v>
      </c>
      <c r="B31" s="13"/>
      <c r="C31" s="13"/>
      <c r="D31" s="24">
        <f>IF(B21=0,0,D23/B21)</f>
        <v>0.08116783846194148</v>
      </c>
      <c r="E31" s="13"/>
      <c r="F31" s="13"/>
      <c r="G31" s="13"/>
      <c r="H31" s="16"/>
    </row>
    <row r="32" spans="1:8" ht="15.75">
      <c r="A32" s="5"/>
      <c r="B32" s="13"/>
      <c r="C32" s="13"/>
      <c r="D32" s="25"/>
      <c r="E32" s="13"/>
      <c r="F32" s="13"/>
      <c r="G32" s="13"/>
      <c r="H32" s="16"/>
    </row>
    <row r="33" spans="1:8" ht="15.75">
      <c r="A33" s="5" t="s">
        <v>224</v>
      </c>
      <c r="B33" s="13"/>
      <c r="C33" s="13"/>
      <c r="D33" s="13"/>
      <c r="E33" s="24">
        <f>IF(B21=0,0,E25/B21)</f>
        <v>0.0012876584712678823</v>
      </c>
      <c r="F33" s="13"/>
      <c r="G33" s="13"/>
      <c r="H33" s="16"/>
    </row>
    <row r="34" spans="1:8" ht="15.75">
      <c r="A34" s="5"/>
      <c r="B34" s="13"/>
      <c r="C34" s="13"/>
      <c r="D34" s="13"/>
      <c r="E34" s="25"/>
      <c r="F34" s="13"/>
      <c r="G34" s="13"/>
      <c r="H34" s="16"/>
    </row>
    <row r="35" spans="1:8" ht="15.75">
      <c r="A35" s="5" t="s">
        <v>223</v>
      </c>
      <c r="B35" s="13"/>
      <c r="C35" s="13"/>
      <c r="D35" s="13"/>
      <c r="E35" s="13"/>
      <c r="F35" s="24">
        <f>IF(B21=0,0,F27/B21)</f>
        <v>0.014647506100086513</v>
      </c>
      <c r="G35" s="25"/>
      <c r="H35" s="16"/>
    </row>
    <row r="36" spans="1:8" ht="15.75">
      <c r="A36" s="12"/>
      <c r="B36" s="16"/>
      <c r="C36" s="16"/>
      <c r="D36" s="16"/>
      <c r="E36" s="16"/>
      <c r="F36" s="16"/>
      <c r="G36" s="16"/>
      <c r="H36" s="16"/>
    </row>
    <row r="37" spans="1:8" ht="15.75">
      <c r="A37" s="12"/>
      <c r="B37" s="16"/>
      <c r="C37" s="16"/>
      <c r="D37" s="16"/>
      <c r="E37" s="16" t="s">
        <v>37</v>
      </c>
      <c r="F37" s="16"/>
      <c r="G37" s="24">
        <f>IF(B21=0,0,G29/B21)</f>
        <v>0</v>
      </c>
      <c r="H37" s="16"/>
    </row>
    <row r="38" spans="1:8" ht="15.75">
      <c r="A38" s="12"/>
      <c r="B38" s="16"/>
      <c r="C38" s="16"/>
      <c r="D38" s="16"/>
      <c r="E38" s="16"/>
      <c r="F38" s="16"/>
      <c r="G38" s="16"/>
      <c r="H38" s="16"/>
    </row>
  </sheetData>
  <sheetProtection/>
  <mergeCells count="4">
    <mergeCell ref="B6:B7"/>
    <mergeCell ref="C6:C7"/>
    <mergeCell ref="A3:H3"/>
    <mergeCell ref="D6:G6"/>
  </mergeCells>
  <printOptions/>
  <pageMargins left="1.5" right="0.75" top="0.25" bottom="0.18" header="0" footer="0"/>
  <pageSetup blackAndWhite="1" firstPageNumber="3" useFirstPageNumber="1" fitToHeight="1" fitToWidth="1" horizontalDpi="600" verticalDpi="600" orientation="landscape" scale="97" r:id="rId1"/>
  <headerFooter alignWithMargins="0">
    <oddHeader>&amp;RState of Kansas
County</oddHeader>
    <oddFooter>&amp;CPage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view="pageBreakPreview" zoomScale="96" zoomScaleSheetLayoutView="96" zoomScalePageLayoutView="0" workbookViewId="0" topLeftCell="A9">
      <selection activeCell="E17" sqref="E17"/>
    </sheetView>
  </sheetViews>
  <sheetFormatPr defaultColWidth="8.796875" defaultRowHeight="15"/>
  <cols>
    <col min="1" max="1" width="21.69921875" style="93" customWidth="1"/>
    <col min="2" max="2" width="17.796875" style="93" customWidth="1"/>
    <col min="3" max="5" width="12.796875" style="93" customWidth="1"/>
    <col min="6" max="6" width="15.296875" style="93" customWidth="1"/>
    <col min="7" max="16384" width="8.8984375" style="93" customWidth="1"/>
  </cols>
  <sheetData>
    <row r="1" spans="1:6" ht="15.75">
      <c r="A1" s="174"/>
      <c r="B1" s="35"/>
      <c r="C1" s="35"/>
      <c r="D1" s="35"/>
      <c r="E1" s="186"/>
      <c r="F1" s="35"/>
    </row>
    <row r="2" spans="1:6" ht="15.75">
      <c r="A2" s="94" t="str">
        <f>inputPrYr!C2</f>
        <v>LINCOLN COUNTY</v>
      </c>
      <c r="B2" s="94"/>
      <c r="C2" s="35"/>
      <c r="D2" s="35"/>
      <c r="E2" s="186"/>
      <c r="F2" s="35">
        <f>inputPrYr!C4</f>
        <v>2012</v>
      </c>
    </row>
    <row r="3" spans="1:6" ht="15.75">
      <c r="A3" s="174"/>
      <c r="B3" s="94"/>
      <c r="C3" s="35"/>
      <c r="D3" s="35"/>
      <c r="E3" s="186"/>
      <c r="F3" s="35"/>
    </row>
    <row r="4" spans="1:6" ht="15.75">
      <c r="A4" s="174"/>
      <c r="B4" s="35"/>
      <c r="C4" s="35"/>
      <c r="D4" s="35"/>
      <c r="E4" s="186"/>
      <c r="F4" s="35"/>
    </row>
    <row r="5" spans="1:6" ht="15" customHeight="1">
      <c r="A5" s="506" t="s">
        <v>212</v>
      </c>
      <c r="B5" s="506"/>
      <c r="C5" s="506"/>
      <c r="D5" s="506"/>
      <c r="E5" s="506"/>
      <c r="F5" s="506"/>
    </row>
    <row r="6" spans="1:6" ht="14.25" customHeight="1">
      <c r="A6" s="175"/>
      <c r="B6" s="187"/>
      <c r="C6" s="187"/>
      <c r="D6" s="187"/>
      <c r="E6" s="187"/>
      <c r="F6" s="187"/>
    </row>
    <row r="7" spans="1:6" ht="15" customHeight="1">
      <c r="A7" s="188" t="s">
        <v>274</v>
      </c>
      <c r="B7" s="188" t="s">
        <v>275</v>
      </c>
      <c r="C7" s="189" t="s">
        <v>120</v>
      </c>
      <c r="D7" s="189" t="s">
        <v>225</v>
      </c>
      <c r="E7" s="189" t="s">
        <v>226</v>
      </c>
      <c r="F7" s="189" t="s">
        <v>253</v>
      </c>
    </row>
    <row r="8" spans="1:6" ht="15" customHeight="1">
      <c r="A8" s="190" t="s">
        <v>276</v>
      </c>
      <c r="B8" s="190" t="s">
        <v>277</v>
      </c>
      <c r="C8" s="191" t="s">
        <v>252</v>
      </c>
      <c r="D8" s="191" t="s">
        <v>252</v>
      </c>
      <c r="E8" s="191" t="s">
        <v>252</v>
      </c>
      <c r="F8" s="191" t="s">
        <v>254</v>
      </c>
    </row>
    <row r="9" spans="1:6" s="173" customFormat="1" ht="15" customHeight="1" thickBot="1">
      <c r="A9" s="192" t="s">
        <v>250</v>
      </c>
      <c r="B9" s="193" t="s">
        <v>251</v>
      </c>
      <c r="C9" s="194">
        <f>F2-2</f>
        <v>2010</v>
      </c>
      <c r="D9" s="194">
        <f>F2-1</f>
        <v>2011</v>
      </c>
      <c r="E9" s="194">
        <f>F2</f>
        <v>2012</v>
      </c>
      <c r="F9" s="193" t="s">
        <v>51</v>
      </c>
    </row>
    <row r="10" spans="1:6" ht="15" customHeight="1" thickTop="1">
      <c r="A10" s="195" t="s">
        <v>423</v>
      </c>
      <c r="B10" s="195" t="s">
        <v>425</v>
      </c>
      <c r="C10" s="196">
        <v>23423</v>
      </c>
      <c r="D10" s="196">
        <v>25405</v>
      </c>
      <c r="E10" s="196">
        <v>23000</v>
      </c>
      <c r="F10" s="195" t="s">
        <v>424</v>
      </c>
    </row>
    <row r="11" spans="1:6" ht="15" customHeight="1">
      <c r="A11" s="61" t="s">
        <v>314</v>
      </c>
      <c r="B11" s="195" t="s">
        <v>425</v>
      </c>
      <c r="C11" s="197">
        <v>10000</v>
      </c>
      <c r="D11" s="197"/>
      <c r="E11" s="197"/>
      <c r="F11" s="61" t="s">
        <v>30</v>
      </c>
    </row>
    <row r="12" spans="1:6" ht="15" customHeight="1">
      <c r="A12" s="195" t="s">
        <v>425</v>
      </c>
      <c r="B12" s="61" t="s">
        <v>426</v>
      </c>
      <c r="C12" s="197">
        <v>100000</v>
      </c>
      <c r="D12" s="197"/>
      <c r="E12" s="197"/>
      <c r="F12" s="61" t="s">
        <v>427</v>
      </c>
    </row>
    <row r="13" spans="1:6" ht="15" customHeight="1">
      <c r="A13" s="61" t="s">
        <v>313</v>
      </c>
      <c r="B13" s="61" t="s">
        <v>298</v>
      </c>
      <c r="C13" s="197">
        <v>10000</v>
      </c>
      <c r="D13" s="197"/>
      <c r="E13" s="197"/>
      <c r="F13" s="61" t="s">
        <v>30</v>
      </c>
    </row>
    <row r="14" spans="1:6" ht="15" customHeight="1">
      <c r="A14" s="61" t="s">
        <v>323</v>
      </c>
      <c r="B14" s="61" t="s">
        <v>299</v>
      </c>
      <c r="C14" s="197">
        <v>15000</v>
      </c>
      <c r="D14" s="197">
        <v>15000</v>
      </c>
      <c r="E14" s="197">
        <v>15000</v>
      </c>
      <c r="F14" s="61" t="s">
        <v>30</v>
      </c>
    </row>
    <row r="15" spans="1:6" ht="15" customHeight="1">
      <c r="A15" s="61" t="s">
        <v>311</v>
      </c>
      <c r="B15" s="61" t="s">
        <v>299</v>
      </c>
      <c r="C15" s="197">
        <v>30000</v>
      </c>
      <c r="D15" s="197"/>
      <c r="E15" s="197"/>
      <c r="F15" s="61" t="s">
        <v>30</v>
      </c>
    </row>
    <row r="16" spans="1:6" ht="15" customHeight="1">
      <c r="A16" s="61" t="s">
        <v>104</v>
      </c>
      <c r="B16" s="61" t="s">
        <v>309</v>
      </c>
      <c r="C16" s="197">
        <v>17500</v>
      </c>
      <c r="D16" s="197">
        <v>10000</v>
      </c>
      <c r="E16" s="197">
        <v>10000</v>
      </c>
      <c r="F16" s="61" t="s">
        <v>428</v>
      </c>
    </row>
    <row r="17" spans="1:6" ht="15" customHeight="1">
      <c r="A17" s="61"/>
      <c r="B17" s="61"/>
      <c r="C17" s="197"/>
      <c r="D17" s="197"/>
      <c r="E17" s="197"/>
      <c r="F17" s="61"/>
    </row>
    <row r="18" spans="1:6" ht="15" customHeight="1">
      <c r="A18" s="61"/>
      <c r="B18" s="61"/>
      <c r="C18" s="197"/>
      <c r="D18" s="197"/>
      <c r="E18" s="197"/>
      <c r="F18" s="61"/>
    </row>
    <row r="19" spans="1:6" ht="15" customHeight="1">
      <c r="A19" s="61"/>
      <c r="B19" s="198"/>
      <c r="C19" s="197"/>
      <c r="D19" s="197"/>
      <c r="E19" s="197"/>
      <c r="F19" s="61"/>
    </row>
    <row r="20" spans="1:6" ht="15" customHeight="1">
      <c r="A20" s="61"/>
      <c r="B20" s="61"/>
      <c r="C20" s="197"/>
      <c r="D20" s="197"/>
      <c r="E20" s="197"/>
      <c r="F20" s="61"/>
    </row>
    <row r="21" spans="1:6" ht="15" customHeight="1">
      <c r="A21" s="61"/>
      <c r="B21" s="61"/>
      <c r="C21" s="197"/>
      <c r="D21" s="197"/>
      <c r="E21" s="197"/>
      <c r="F21" s="61"/>
    </row>
    <row r="22" spans="1:6" ht="15" customHeight="1">
      <c r="A22" s="61"/>
      <c r="B22" s="61"/>
      <c r="C22" s="197"/>
      <c r="D22" s="197"/>
      <c r="E22" s="197"/>
      <c r="F22" s="61"/>
    </row>
    <row r="23" spans="1:6" ht="15" customHeight="1">
      <c r="A23" s="61"/>
      <c r="B23" s="61"/>
      <c r="C23" s="197"/>
      <c r="D23" s="197"/>
      <c r="E23" s="197"/>
      <c r="F23" s="61"/>
    </row>
    <row r="24" spans="1:6" ht="15" customHeight="1">
      <c r="A24" s="61"/>
      <c r="B24" s="61"/>
      <c r="C24" s="197"/>
      <c r="D24" s="197"/>
      <c r="E24" s="197"/>
      <c r="F24" s="61"/>
    </row>
    <row r="25" spans="1:6" ht="15" customHeight="1">
      <c r="A25" s="61"/>
      <c r="B25" s="61"/>
      <c r="C25" s="197"/>
      <c r="D25" s="197"/>
      <c r="E25" s="197"/>
      <c r="F25" s="61"/>
    </row>
    <row r="26" spans="1:6" ht="15" customHeight="1">
      <c r="A26" s="61"/>
      <c r="B26" s="61"/>
      <c r="C26" s="197"/>
      <c r="D26" s="197"/>
      <c r="E26" s="197"/>
      <c r="F26" s="61"/>
    </row>
    <row r="27" spans="1:6" ht="15.75">
      <c r="A27" s="87"/>
      <c r="B27" s="199" t="s">
        <v>53</v>
      </c>
      <c r="C27" s="70">
        <f>SUM(C10:C26)</f>
        <v>205923</v>
      </c>
      <c r="D27" s="70">
        <f>SUM(D10:D26)</f>
        <v>50405</v>
      </c>
      <c r="E27" s="70">
        <f>SUM(E10:E26)</f>
        <v>48000</v>
      </c>
      <c r="F27" s="87"/>
    </row>
    <row r="28" spans="1:6" ht="15.75">
      <c r="A28" s="87"/>
      <c r="B28" s="200" t="s">
        <v>272</v>
      </c>
      <c r="C28" s="54"/>
      <c r="D28" s="55"/>
      <c r="E28" s="55"/>
      <c r="F28" s="87"/>
    </row>
    <row r="29" spans="1:6" ht="15.75">
      <c r="A29" s="87"/>
      <c r="B29" s="199" t="s">
        <v>255</v>
      </c>
      <c r="C29" s="70">
        <f>C27</f>
        <v>205923</v>
      </c>
      <c r="D29" s="70">
        <f>SUM(D27-D28)</f>
        <v>50405</v>
      </c>
      <c r="E29" s="70">
        <f>SUM(E27-E28)</f>
        <v>48000</v>
      </c>
      <c r="F29" s="87"/>
    </row>
    <row r="30" spans="1:6" ht="15.75">
      <c r="A30" s="87"/>
      <c r="B30" s="87"/>
      <c r="C30" s="87"/>
      <c r="D30" s="87"/>
      <c r="E30" s="87"/>
      <c r="F30" s="87"/>
    </row>
    <row r="31" spans="1:6" ht="15.75">
      <c r="A31" s="87"/>
      <c r="B31" s="87"/>
      <c r="C31" s="87"/>
      <c r="D31" s="87"/>
      <c r="E31" s="87"/>
      <c r="F31" s="87"/>
    </row>
    <row r="32" spans="1:6" ht="15.75">
      <c r="A32" s="352" t="s">
        <v>273</v>
      </c>
      <c r="B32" s="353" t="str">
        <f>CONCATENATE("Adjustments are required only if the transfer is being made in ",D9," and/or ",E9," from a non-budgeted fund.")</f>
        <v>Adjustments are required only if the transfer is being made in 2011 and/or 2012 from a non-budgeted fund.</v>
      </c>
      <c r="C32" s="87"/>
      <c r="D32" s="87"/>
      <c r="E32" s="87"/>
      <c r="F32" s="87"/>
    </row>
  </sheetData>
  <sheetProtection/>
  <mergeCells count="1">
    <mergeCell ref="A5:F5"/>
  </mergeCells>
  <printOptions/>
  <pageMargins left="0.5" right="0.5" top="0.72" bottom="0.23" header="0.5" footer="0"/>
  <pageSetup blackAndWhite="1" fitToHeight="1" fitToWidth="1" horizontalDpi="120" verticalDpi="120" orientation="portrait" scale="86" r:id="rId1"/>
  <headerFooter alignWithMargins="0">
    <oddHeader>&amp;RState of Kansas
County
</oddHeader>
    <oddFooter>&amp;CPage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2"/>
  <sheetViews>
    <sheetView view="pageBreakPreview" zoomScale="99" zoomScaleNormal="75" zoomScaleSheetLayoutView="99" zoomScalePageLayoutView="0" workbookViewId="0" topLeftCell="B1">
      <selection activeCell="B1" sqref="B1"/>
    </sheetView>
  </sheetViews>
  <sheetFormatPr defaultColWidth="8.796875" defaultRowHeight="15"/>
  <cols>
    <col min="1" max="1" width="20.796875" style="93" customWidth="1"/>
    <col min="2" max="2" width="9.3984375" style="93" customWidth="1"/>
    <col min="3" max="3" width="9.796875" style="93" customWidth="1"/>
    <col min="4" max="4" width="8.796875" style="93" customWidth="1"/>
    <col min="5" max="5" width="12.796875" style="93" customWidth="1"/>
    <col min="6" max="6" width="14" style="93" customWidth="1"/>
    <col min="7" max="12" width="9.796875" style="93" customWidth="1"/>
    <col min="13" max="16384" width="8.8984375" style="93" customWidth="1"/>
  </cols>
  <sheetData>
    <row r="1" spans="1:12" ht="15.75">
      <c r="A1" s="174" t="str">
        <f>inputPrYr!$C$2</f>
        <v>LINCOLN COUNTY</v>
      </c>
      <c r="B1" s="35"/>
      <c r="C1" s="35"/>
      <c r="D1" s="35"/>
      <c r="E1" s="35"/>
      <c r="F1" s="35"/>
      <c r="G1" s="35"/>
      <c r="H1" s="35"/>
      <c r="I1" s="35"/>
      <c r="J1" s="35"/>
      <c r="K1" s="35"/>
      <c r="L1" s="201">
        <f>inputPrYr!$C$4</f>
        <v>2012</v>
      </c>
    </row>
    <row r="2" spans="1:12" ht="15.75">
      <c r="A2" s="174"/>
      <c r="B2" s="35"/>
      <c r="C2" s="35"/>
      <c r="D2" s="35"/>
      <c r="E2" s="35"/>
      <c r="F2" s="35"/>
      <c r="G2" s="35"/>
      <c r="H2" s="35"/>
      <c r="I2" s="35"/>
      <c r="J2" s="35"/>
      <c r="K2" s="35"/>
      <c r="L2" s="186"/>
    </row>
    <row r="3" spans="1:12" ht="15.75">
      <c r="A3" s="202" t="s">
        <v>168</v>
      </c>
      <c r="B3" s="43"/>
      <c r="C3" s="43"/>
      <c r="D3" s="43"/>
      <c r="E3" s="43"/>
      <c r="F3" s="43"/>
      <c r="G3" s="43"/>
      <c r="H3" s="43"/>
      <c r="I3" s="43"/>
      <c r="J3" s="43"/>
      <c r="K3" s="43"/>
      <c r="L3" s="43"/>
    </row>
    <row r="4" spans="1:12" ht="15.75">
      <c r="A4" s="35"/>
      <c r="B4" s="203"/>
      <c r="C4" s="203"/>
      <c r="D4" s="203"/>
      <c r="E4" s="203"/>
      <c r="F4" s="203"/>
      <c r="G4" s="203"/>
      <c r="H4" s="203"/>
      <c r="I4" s="203"/>
      <c r="J4" s="203"/>
      <c r="K4" s="203"/>
      <c r="L4" s="203"/>
    </row>
    <row r="5" spans="1:12" ht="15.75">
      <c r="A5" s="35"/>
      <c r="B5" s="204" t="s">
        <v>135</v>
      </c>
      <c r="C5" s="204" t="s">
        <v>135</v>
      </c>
      <c r="D5" s="204" t="s">
        <v>150</v>
      </c>
      <c r="E5" s="204"/>
      <c r="F5" s="204" t="s">
        <v>256</v>
      </c>
      <c r="G5" s="35"/>
      <c r="H5" s="35"/>
      <c r="I5" s="205" t="s">
        <v>136</v>
      </c>
      <c r="J5" s="206"/>
      <c r="K5" s="205" t="s">
        <v>136</v>
      </c>
      <c r="L5" s="206"/>
    </row>
    <row r="6" spans="1:12" ht="15.75">
      <c r="A6" s="35"/>
      <c r="B6" s="207" t="s">
        <v>137</v>
      </c>
      <c r="C6" s="207" t="s">
        <v>257</v>
      </c>
      <c r="D6" s="207" t="s">
        <v>138</v>
      </c>
      <c r="E6" s="207" t="s">
        <v>72</v>
      </c>
      <c r="F6" s="207" t="s">
        <v>213</v>
      </c>
      <c r="G6" s="514" t="s">
        <v>139</v>
      </c>
      <c r="H6" s="515"/>
      <c r="I6" s="516">
        <f>L1-1</f>
        <v>2011</v>
      </c>
      <c r="J6" s="517"/>
      <c r="K6" s="516">
        <f>L1</f>
        <v>2012</v>
      </c>
      <c r="L6" s="517"/>
    </row>
    <row r="7" spans="1:12" ht="15.75">
      <c r="A7" s="209" t="s">
        <v>140</v>
      </c>
      <c r="B7" s="210" t="s">
        <v>141</v>
      </c>
      <c r="C7" s="210" t="s">
        <v>258</v>
      </c>
      <c r="D7" s="210" t="s">
        <v>98</v>
      </c>
      <c r="E7" s="210" t="s">
        <v>142</v>
      </c>
      <c r="F7" s="208" t="str">
        <f>CONCATENATE("Jan 1,",L1-1,"")</f>
        <v>Jan 1,2011</v>
      </c>
      <c r="G7" s="199" t="s">
        <v>150</v>
      </c>
      <c r="H7" s="199" t="s">
        <v>151</v>
      </c>
      <c r="I7" s="199" t="s">
        <v>150</v>
      </c>
      <c r="J7" s="199" t="s">
        <v>151</v>
      </c>
      <c r="K7" s="199" t="s">
        <v>150</v>
      </c>
      <c r="L7" s="199" t="s">
        <v>151</v>
      </c>
    </row>
    <row r="8" spans="1:12" ht="15.75">
      <c r="A8" s="209" t="s">
        <v>143</v>
      </c>
      <c r="B8" s="58"/>
      <c r="C8" s="58"/>
      <c r="D8" s="211"/>
      <c r="E8" s="212"/>
      <c r="F8" s="212"/>
      <c r="G8" s="58"/>
      <c r="H8" s="58"/>
      <c r="I8" s="212"/>
      <c r="J8" s="212"/>
      <c r="K8" s="212"/>
      <c r="L8" s="212"/>
    </row>
    <row r="9" spans="1:12" ht="15.75">
      <c r="A9" s="213"/>
      <c r="B9" s="357"/>
      <c r="C9" s="357"/>
      <c r="D9" s="214"/>
      <c r="E9" s="215"/>
      <c r="F9" s="216"/>
      <c r="G9" s="217"/>
      <c r="H9" s="217"/>
      <c r="I9" s="216"/>
      <c r="J9" s="216"/>
      <c r="K9" s="216"/>
      <c r="L9" s="216"/>
    </row>
    <row r="10" spans="1:12" ht="15.75">
      <c r="A10" s="213"/>
      <c r="B10" s="357"/>
      <c r="C10" s="357"/>
      <c r="D10" s="214"/>
      <c r="E10" s="215"/>
      <c r="F10" s="216"/>
      <c r="G10" s="217"/>
      <c r="H10" s="217"/>
      <c r="I10" s="216"/>
      <c r="J10" s="216"/>
      <c r="K10" s="216"/>
      <c r="L10" s="216"/>
    </row>
    <row r="11" spans="1:12" ht="15.75">
      <c r="A11" s="213"/>
      <c r="B11" s="357"/>
      <c r="C11" s="357"/>
      <c r="D11" s="214"/>
      <c r="E11" s="215"/>
      <c r="F11" s="216"/>
      <c r="G11" s="217"/>
      <c r="H11" s="217"/>
      <c r="I11" s="216"/>
      <c r="J11" s="216"/>
      <c r="K11" s="216"/>
      <c r="L11" s="216"/>
    </row>
    <row r="12" spans="1:12" ht="15.75">
      <c r="A12" s="213"/>
      <c r="B12" s="357"/>
      <c r="C12" s="357"/>
      <c r="D12" s="214"/>
      <c r="E12" s="215"/>
      <c r="F12" s="216"/>
      <c r="G12" s="217"/>
      <c r="H12" s="217"/>
      <c r="I12" s="216"/>
      <c r="J12" s="216"/>
      <c r="K12" s="216"/>
      <c r="L12" s="216"/>
    </row>
    <row r="13" spans="1:12" ht="15.75">
      <c r="A13" s="213"/>
      <c r="B13" s="357"/>
      <c r="C13" s="357"/>
      <c r="D13" s="214"/>
      <c r="E13" s="215"/>
      <c r="F13" s="216"/>
      <c r="G13" s="217"/>
      <c r="H13" s="217"/>
      <c r="I13" s="216"/>
      <c r="J13" s="216"/>
      <c r="K13" s="216"/>
      <c r="L13" s="216"/>
    </row>
    <row r="14" spans="1:12" ht="15.75">
      <c r="A14" s="213"/>
      <c r="B14" s="357"/>
      <c r="C14" s="357"/>
      <c r="D14" s="214"/>
      <c r="E14" s="215"/>
      <c r="F14" s="216"/>
      <c r="G14" s="217"/>
      <c r="H14" s="217"/>
      <c r="I14" s="216"/>
      <c r="J14" s="216"/>
      <c r="K14" s="216"/>
      <c r="L14" s="216"/>
    </row>
    <row r="15" spans="1:12" ht="15.75">
      <c r="A15" s="213"/>
      <c r="B15" s="357"/>
      <c r="C15" s="357"/>
      <c r="D15" s="214"/>
      <c r="E15" s="215"/>
      <c r="F15" s="216"/>
      <c r="G15" s="217"/>
      <c r="H15" s="217"/>
      <c r="I15" s="216"/>
      <c r="J15" s="216"/>
      <c r="K15" s="216"/>
      <c r="L15" s="216"/>
    </row>
    <row r="16" spans="1:12" ht="15.75">
      <c r="A16" s="213"/>
      <c r="B16" s="357"/>
      <c r="C16" s="357"/>
      <c r="D16" s="214"/>
      <c r="E16" s="215"/>
      <c r="F16" s="216"/>
      <c r="G16" s="217"/>
      <c r="H16" s="217"/>
      <c r="I16" s="216"/>
      <c r="J16" s="216"/>
      <c r="K16" s="216"/>
      <c r="L16" s="216"/>
    </row>
    <row r="17" spans="1:12" ht="15.75">
      <c r="A17" s="213"/>
      <c r="B17" s="357"/>
      <c r="C17" s="357"/>
      <c r="D17" s="214"/>
      <c r="E17" s="215"/>
      <c r="F17" s="216"/>
      <c r="G17" s="217"/>
      <c r="H17" s="217"/>
      <c r="I17" s="216"/>
      <c r="J17" s="216"/>
      <c r="K17" s="216"/>
      <c r="L17" s="216"/>
    </row>
    <row r="18" spans="1:12" ht="15.75">
      <c r="A18" s="213"/>
      <c r="B18" s="357"/>
      <c r="C18" s="357"/>
      <c r="D18" s="214"/>
      <c r="E18" s="215"/>
      <c r="F18" s="216"/>
      <c r="G18" s="217"/>
      <c r="H18" s="217"/>
      <c r="I18" s="216"/>
      <c r="J18" s="216"/>
      <c r="K18" s="216"/>
      <c r="L18" s="216"/>
    </row>
    <row r="19" spans="1:12" ht="15.75">
      <c r="A19" s="218" t="s">
        <v>144</v>
      </c>
      <c r="B19" s="219"/>
      <c r="C19" s="219"/>
      <c r="D19" s="220"/>
      <c r="E19" s="221"/>
      <c r="F19" s="222">
        <f>SUM(F9:F18)</f>
        <v>0</v>
      </c>
      <c r="G19" s="223"/>
      <c r="H19" s="223"/>
      <c r="I19" s="222">
        <f>SUM(I9:I18)</f>
        <v>0</v>
      </c>
      <c r="J19" s="222">
        <f>SUM(J9:J18)</f>
        <v>0</v>
      </c>
      <c r="K19" s="222">
        <f>SUM(K9:K18)</f>
        <v>0</v>
      </c>
      <c r="L19" s="222">
        <f>SUM(L9:L18)</f>
        <v>0</v>
      </c>
    </row>
    <row r="20" spans="1:12" ht="15.75">
      <c r="A20" s="199" t="s">
        <v>145</v>
      </c>
      <c r="B20" s="224"/>
      <c r="C20" s="224"/>
      <c r="D20" s="225"/>
      <c r="E20" s="226"/>
      <c r="F20" s="226"/>
      <c r="G20" s="227"/>
      <c r="H20" s="227"/>
      <c r="I20" s="226"/>
      <c r="J20" s="226"/>
      <c r="K20" s="226"/>
      <c r="L20" s="226"/>
    </row>
    <row r="21" spans="1:12" ht="15.75">
      <c r="A21" s="213"/>
      <c r="B21" s="357"/>
      <c r="C21" s="357"/>
      <c r="D21" s="214"/>
      <c r="E21" s="215"/>
      <c r="F21" s="216"/>
      <c r="G21" s="217"/>
      <c r="H21" s="217"/>
      <c r="I21" s="216"/>
      <c r="J21" s="216"/>
      <c r="K21" s="216"/>
      <c r="L21" s="216"/>
    </row>
    <row r="22" spans="1:12" ht="15.75">
      <c r="A22" s="213"/>
      <c r="B22" s="357"/>
      <c r="C22" s="357"/>
      <c r="D22" s="214"/>
      <c r="E22" s="215"/>
      <c r="F22" s="216"/>
      <c r="G22" s="217"/>
      <c r="H22" s="217"/>
      <c r="I22" s="216"/>
      <c r="J22" s="216"/>
      <c r="K22" s="216"/>
      <c r="L22" s="216"/>
    </row>
    <row r="23" spans="1:12" ht="15.75">
      <c r="A23" s="213"/>
      <c r="B23" s="357"/>
      <c r="C23" s="357"/>
      <c r="D23" s="214"/>
      <c r="E23" s="215"/>
      <c r="F23" s="216"/>
      <c r="G23" s="217"/>
      <c r="H23" s="217"/>
      <c r="I23" s="216"/>
      <c r="J23" s="216"/>
      <c r="K23" s="216"/>
      <c r="L23" s="216"/>
    </row>
    <row r="24" spans="1:12" ht="15.75">
      <c r="A24" s="213"/>
      <c r="B24" s="357"/>
      <c r="C24" s="357"/>
      <c r="D24" s="214"/>
      <c r="E24" s="215"/>
      <c r="F24" s="216"/>
      <c r="G24" s="217"/>
      <c r="H24" s="217"/>
      <c r="I24" s="216"/>
      <c r="J24" s="216"/>
      <c r="K24" s="216"/>
      <c r="L24" s="216"/>
    </row>
    <row r="25" spans="1:12" ht="15.75">
      <c r="A25" s="213"/>
      <c r="B25" s="357"/>
      <c r="C25" s="357"/>
      <c r="D25" s="214"/>
      <c r="E25" s="215"/>
      <c r="F25" s="216"/>
      <c r="G25" s="217"/>
      <c r="H25" s="217"/>
      <c r="I25" s="216"/>
      <c r="J25" s="216"/>
      <c r="K25" s="216"/>
      <c r="L25" s="216"/>
    </row>
    <row r="26" spans="1:12" ht="15.75">
      <c r="A26" s="213"/>
      <c r="B26" s="357"/>
      <c r="C26" s="357"/>
      <c r="D26" s="214"/>
      <c r="E26" s="215"/>
      <c r="F26" s="216"/>
      <c r="G26" s="217"/>
      <c r="H26" s="217"/>
      <c r="I26" s="216"/>
      <c r="J26" s="216"/>
      <c r="K26" s="216"/>
      <c r="L26" s="216"/>
    </row>
    <row r="27" spans="1:12" ht="15.75">
      <c r="A27" s="218" t="s">
        <v>146</v>
      </c>
      <c r="B27" s="219"/>
      <c r="C27" s="219"/>
      <c r="D27" s="228"/>
      <c r="E27" s="221"/>
      <c r="F27" s="229">
        <f>SUM(F21:F26)</f>
        <v>0</v>
      </c>
      <c r="G27" s="223"/>
      <c r="H27" s="223"/>
      <c r="I27" s="229">
        <f>SUM(I21:I26)</f>
        <v>0</v>
      </c>
      <c r="J27" s="229">
        <f>SUM(J21:J26)</f>
        <v>0</v>
      </c>
      <c r="K27" s="222">
        <f>SUM(K21:K26)</f>
        <v>0</v>
      </c>
      <c r="L27" s="229">
        <f>SUM(L21:L26)</f>
        <v>0</v>
      </c>
    </row>
    <row r="28" spans="1:12" ht="15.75">
      <c r="A28" s="199" t="s">
        <v>147</v>
      </c>
      <c r="B28" s="224"/>
      <c r="C28" s="224"/>
      <c r="D28" s="225"/>
      <c r="E28" s="226"/>
      <c r="F28" s="230"/>
      <c r="G28" s="227"/>
      <c r="H28" s="227"/>
      <c r="I28" s="226"/>
      <c r="J28" s="226"/>
      <c r="K28" s="226"/>
      <c r="L28" s="226"/>
    </row>
    <row r="29" spans="1:12" ht="15.75">
      <c r="A29" s="213"/>
      <c r="B29" s="357"/>
      <c r="C29" s="357"/>
      <c r="D29" s="214"/>
      <c r="E29" s="215"/>
      <c r="F29" s="216"/>
      <c r="G29" s="217"/>
      <c r="H29" s="217"/>
      <c r="I29" s="216"/>
      <c r="J29" s="216"/>
      <c r="K29" s="216"/>
      <c r="L29" s="216"/>
    </row>
    <row r="30" spans="1:12" ht="15.75">
      <c r="A30" s="213"/>
      <c r="B30" s="357"/>
      <c r="C30" s="357"/>
      <c r="D30" s="214"/>
      <c r="E30" s="215"/>
      <c r="F30" s="216"/>
      <c r="G30" s="217"/>
      <c r="H30" s="217"/>
      <c r="I30" s="216"/>
      <c r="J30" s="216"/>
      <c r="K30" s="216"/>
      <c r="L30" s="216"/>
    </row>
    <row r="31" spans="1:12" ht="15.75">
      <c r="A31" s="213"/>
      <c r="B31" s="357"/>
      <c r="C31" s="357"/>
      <c r="D31" s="214"/>
      <c r="E31" s="215"/>
      <c r="F31" s="216"/>
      <c r="G31" s="217"/>
      <c r="H31" s="217"/>
      <c r="I31" s="216"/>
      <c r="J31" s="216"/>
      <c r="K31" s="216"/>
      <c r="L31" s="216"/>
    </row>
    <row r="32" spans="1:12" ht="15.75">
      <c r="A32" s="213"/>
      <c r="B32" s="357"/>
      <c r="C32" s="357"/>
      <c r="D32" s="214"/>
      <c r="E32" s="215"/>
      <c r="F32" s="216"/>
      <c r="G32" s="217"/>
      <c r="H32" s="217"/>
      <c r="I32" s="216"/>
      <c r="J32" s="216"/>
      <c r="K32" s="216"/>
      <c r="L32" s="216"/>
    </row>
    <row r="33" spans="1:12" ht="15.75">
      <c r="A33" s="213"/>
      <c r="B33" s="357"/>
      <c r="C33" s="357"/>
      <c r="D33" s="214"/>
      <c r="E33" s="215"/>
      <c r="F33" s="216"/>
      <c r="G33" s="217"/>
      <c r="H33" s="217"/>
      <c r="I33" s="216"/>
      <c r="J33" s="216"/>
      <c r="K33" s="216"/>
      <c r="L33" s="216"/>
    </row>
    <row r="34" spans="1:12" ht="15.75">
      <c r="A34" s="213"/>
      <c r="B34" s="357"/>
      <c r="C34" s="357"/>
      <c r="D34" s="214"/>
      <c r="E34" s="215"/>
      <c r="F34" s="216"/>
      <c r="G34" s="217"/>
      <c r="H34" s="217"/>
      <c r="I34" s="216"/>
      <c r="J34" s="216"/>
      <c r="K34" s="216"/>
      <c r="L34" s="216"/>
    </row>
    <row r="35" spans="1:28" ht="15.75">
      <c r="A35" s="213"/>
      <c r="B35" s="357"/>
      <c r="C35" s="357"/>
      <c r="D35" s="214"/>
      <c r="E35" s="215"/>
      <c r="F35" s="216"/>
      <c r="G35" s="217"/>
      <c r="H35" s="217"/>
      <c r="I35" s="216"/>
      <c r="J35" s="216"/>
      <c r="K35" s="216"/>
      <c r="L35" s="216"/>
      <c r="M35" s="32"/>
      <c r="N35" s="32"/>
      <c r="O35" s="32"/>
      <c r="P35" s="32"/>
      <c r="Q35" s="32"/>
      <c r="R35" s="32"/>
      <c r="S35" s="32"/>
      <c r="T35" s="32"/>
      <c r="U35" s="32"/>
      <c r="V35" s="32"/>
      <c r="W35" s="32"/>
      <c r="X35" s="32"/>
      <c r="Y35" s="32"/>
      <c r="Z35" s="32"/>
      <c r="AA35" s="32"/>
      <c r="AB35" s="32"/>
    </row>
    <row r="36" spans="1:12" ht="15.75">
      <c r="A36" s="218" t="s">
        <v>259</v>
      </c>
      <c r="B36" s="218"/>
      <c r="C36" s="218"/>
      <c r="D36" s="228"/>
      <c r="E36" s="221"/>
      <c r="F36" s="229">
        <f>SUM(F29:F35)</f>
        <v>0</v>
      </c>
      <c r="G36" s="221"/>
      <c r="H36" s="221"/>
      <c r="I36" s="229">
        <f>SUM(I29:I35)</f>
        <v>0</v>
      </c>
      <c r="J36" s="229">
        <f>SUM(J29:J35)</f>
        <v>0</v>
      </c>
      <c r="K36" s="229">
        <f>SUM(K29:K35)</f>
        <v>0</v>
      </c>
      <c r="L36" s="229">
        <f>SUM(L29:L35)</f>
        <v>0</v>
      </c>
    </row>
    <row r="37" spans="1:12" ht="15.75">
      <c r="A37" s="218" t="s">
        <v>148</v>
      </c>
      <c r="B37" s="218"/>
      <c r="C37" s="218"/>
      <c r="D37" s="218"/>
      <c r="E37" s="221"/>
      <c r="F37" s="229">
        <f>SUM(F19+F27+F36)</f>
        <v>0</v>
      </c>
      <c r="G37" s="221"/>
      <c r="H37" s="221"/>
      <c r="I37" s="229">
        <f>SUM(I19+I27+I36)</f>
        <v>0</v>
      </c>
      <c r="J37" s="229">
        <f>SUM(J19+J27+J36)</f>
        <v>0</v>
      </c>
      <c r="K37" s="229">
        <f>SUM(K19+K27+K36)</f>
        <v>0</v>
      </c>
      <c r="L37" s="229">
        <f>SUM(L19+L27+L36)</f>
        <v>0</v>
      </c>
    </row>
    <row r="38" spans="1:12" ht="15.75">
      <c r="A38" s="32"/>
      <c r="B38" s="32"/>
      <c r="C38" s="32"/>
      <c r="D38" s="32"/>
      <c r="E38" s="32"/>
      <c r="F38" s="32"/>
      <c r="G38" s="32"/>
      <c r="H38" s="32"/>
      <c r="I38" s="32"/>
      <c r="J38" s="32"/>
      <c r="K38" s="32"/>
      <c r="L38" s="32"/>
    </row>
    <row r="39" spans="5:12" ht="15.75">
      <c r="E39" s="231"/>
      <c r="F39" s="231"/>
      <c r="I39" s="231"/>
      <c r="J39" s="231"/>
      <c r="K39" s="231"/>
      <c r="L39" s="231"/>
    </row>
    <row r="40" spans="5:13" ht="15.75">
      <c r="E40" s="32"/>
      <c r="G40" s="232"/>
      <c r="M40" s="32"/>
    </row>
    <row r="41" spans="1:12" ht="15.75">
      <c r="A41" s="32"/>
      <c r="B41" s="32"/>
      <c r="C41" s="32"/>
      <c r="D41" s="32"/>
      <c r="E41" s="32"/>
      <c r="F41" s="32"/>
      <c r="G41" s="32"/>
      <c r="H41" s="32"/>
      <c r="I41" s="32"/>
      <c r="J41" s="32"/>
      <c r="K41" s="32"/>
      <c r="L41" s="32"/>
    </row>
    <row r="42" spans="1:12" ht="15.75">
      <c r="A42" s="32"/>
      <c r="B42" s="32"/>
      <c r="C42" s="32"/>
      <c r="D42" s="32"/>
      <c r="E42" s="32"/>
      <c r="F42" s="32"/>
      <c r="G42" s="32"/>
      <c r="H42" s="32"/>
      <c r="I42" s="32"/>
      <c r="J42" s="32"/>
      <c r="K42" s="32"/>
      <c r="L42" s="32"/>
    </row>
  </sheetData>
  <sheetProtection sheet="1"/>
  <mergeCells count="3">
    <mergeCell ref="G6:H6"/>
    <mergeCell ref="I6:J6"/>
    <mergeCell ref="K6:L6"/>
  </mergeCells>
  <printOptions/>
  <pageMargins left="1" right="0.5" top="0.78" bottom="0.4" header="0.5" footer="0"/>
  <pageSetup blackAndWhite="1" fitToHeight="1" fitToWidth="1" horizontalDpi="120" verticalDpi="120" orientation="landscape" scale="75" r:id="rId1"/>
  <headerFooter alignWithMargins="0">
    <oddHeader>&amp;RState of Kansas
County
</oddHeader>
    <oddFooter>&amp;CPage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48"/>
  <sheetViews>
    <sheetView view="pageBreakPreview" zoomScale="99" zoomScaleNormal="75" zoomScaleSheetLayoutView="99" zoomScalePageLayoutView="0" workbookViewId="0" topLeftCell="A1">
      <selection activeCell="A16" sqref="A16"/>
    </sheetView>
  </sheetViews>
  <sheetFormatPr defaultColWidth="8.796875" defaultRowHeight="15"/>
  <cols>
    <col min="1" max="1" width="25.796875" style="32" customWidth="1"/>
    <col min="2" max="4" width="9.796875" style="32" customWidth="1"/>
    <col min="5" max="5" width="17.09765625" style="32" customWidth="1"/>
    <col min="6" max="8" width="15.796875" style="32" customWidth="1"/>
    <col min="9" max="16384" width="8.8984375" style="32" customWidth="1"/>
  </cols>
  <sheetData>
    <row r="1" spans="1:8" ht="15.75">
      <c r="A1" s="174" t="str">
        <f>inputPrYr!$C$2</f>
        <v>LINCOLN COUNTY</v>
      </c>
      <c r="B1" s="35"/>
      <c r="C1" s="35"/>
      <c r="D1" s="35"/>
      <c r="E1" s="35"/>
      <c r="F1" s="35"/>
      <c r="G1" s="35"/>
      <c r="H1" s="233">
        <f>inputPrYr!C4</f>
        <v>2012</v>
      </c>
    </row>
    <row r="2" spans="1:8" ht="15.75">
      <c r="A2" s="35"/>
      <c r="B2" s="35"/>
      <c r="C2" s="35"/>
      <c r="D2" s="35"/>
      <c r="E2" s="35"/>
      <c r="F2" s="35"/>
      <c r="G2" s="35"/>
      <c r="H2" s="186"/>
    </row>
    <row r="3" spans="1:8" ht="15.75">
      <c r="A3" s="35"/>
      <c r="B3" s="43"/>
      <c r="C3" s="43"/>
      <c r="D3" s="43"/>
      <c r="E3" s="43"/>
      <c r="F3" s="43"/>
      <c r="G3" s="43"/>
      <c r="H3" s="234"/>
    </row>
    <row r="4" spans="1:8" ht="15.75">
      <c r="A4" s="202" t="s">
        <v>161</v>
      </c>
      <c r="B4" s="43"/>
      <c r="C4" s="43"/>
      <c r="D4" s="43"/>
      <c r="E4" s="43"/>
      <c r="F4" s="43"/>
      <c r="G4" s="43"/>
      <c r="H4" s="43"/>
    </row>
    <row r="5" spans="1:8" ht="15.75">
      <c r="A5" s="64"/>
      <c r="B5" s="203"/>
      <c r="C5" s="203"/>
      <c r="D5" s="203"/>
      <c r="E5" s="203"/>
      <c r="F5" s="203"/>
      <c r="G5" s="203"/>
      <c r="H5" s="203"/>
    </row>
    <row r="6" spans="1:8" ht="15.75">
      <c r="A6" s="235"/>
      <c r="B6" s="236"/>
      <c r="C6" s="236"/>
      <c r="D6" s="236"/>
      <c r="E6" s="204" t="s">
        <v>53</v>
      </c>
      <c r="F6" s="236"/>
      <c r="G6" s="236"/>
      <c r="H6" s="236"/>
    </row>
    <row r="7" spans="1:8" ht="15.75">
      <c r="A7" s="235"/>
      <c r="B7" s="207"/>
      <c r="C7" s="207" t="s">
        <v>149</v>
      </c>
      <c r="D7" s="207" t="s">
        <v>150</v>
      </c>
      <c r="E7" s="207" t="s">
        <v>72</v>
      </c>
      <c r="F7" s="207" t="s">
        <v>151</v>
      </c>
      <c r="G7" s="207" t="s">
        <v>152</v>
      </c>
      <c r="H7" s="207" t="s">
        <v>152</v>
      </c>
    </row>
    <row r="8" spans="1:8" ht="15.75">
      <c r="A8" s="235"/>
      <c r="B8" s="207" t="s">
        <v>153</v>
      </c>
      <c r="C8" s="207" t="s">
        <v>154</v>
      </c>
      <c r="D8" s="207" t="s">
        <v>138</v>
      </c>
      <c r="E8" s="207" t="s">
        <v>155</v>
      </c>
      <c r="F8" s="207" t="s">
        <v>195</v>
      </c>
      <c r="G8" s="207" t="s">
        <v>156</v>
      </c>
      <c r="H8" s="207" t="s">
        <v>156</v>
      </c>
    </row>
    <row r="9" spans="1:8" ht="15.75">
      <c r="A9" s="237" t="s">
        <v>157</v>
      </c>
      <c r="B9" s="210" t="s">
        <v>135</v>
      </c>
      <c r="C9" s="238" t="s">
        <v>158</v>
      </c>
      <c r="D9" s="210" t="s">
        <v>98</v>
      </c>
      <c r="E9" s="238" t="s">
        <v>214</v>
      </c>
      <c r="F9" s="239" t="str">
        <f>CONCATENATE("Jan 1,",H1-1,"")</f>
        <v>Jan 1,2011</v>
      </c>
      <c r="G9" s="210">
        <f>H1-1</f>
        <v>2011</v>
      </c>
      <c r="H9" s="210">
        <f>H1</f>
        <v>2012</v>
      </c>
    </row>
    <row r="10" spans="1:8" ht="15.75">
      <c r="A10" s="240" t="s">
        <v>327</v>
      </c>
      <c r="B10" s="356">
        <v>38531</v>
      </c>
      <c r="C10" s="241">
        <v>72</v>
      </c>
      <c r="D10" s="242">
        <v>2.9</v>
      </c>
      <c r="E10" s="62">
        <v>19708</v>
      </c>
      <c r="F10" s="62">
        <v>2369</v>
      </c>
      <c r="G10" s="62">
        <v>2401</v>
      </c>
      <c r="H10" s="62"/>
    </row>
    <row r="11" spans="1:8" ht="15.75">
      <c r="A11" s="240"/>
      <c r="B11" s="356"/>
      <c r="C11" s="241"/>
      <c r="D11" s="242"/>
      <c r="E11" s="62"/>
      <c r="F11" s="62"/>
      <c r="G11" s="62"/>
      <c r="H11" s="62"/>
    </row>
    <row r="12" spans="1:8" ht="15.75">
      <c r="A12" s="240" t="s">
        <v>328</v>
      </c>
      <c r="B12" s="356">
        <v>39905</v>
      </c>
      <c r="C12" s="241">
        <v>60</v>
      </c>
      <c r="D12" s="242">
        <v>4.75</v>
      </c>
      <c r="E12" s="62">
        <v>50000</v>
      </c>
      <c r="F12" s="62">
        <v>40601</v>
      </c>
      <c r="G12" s="62">
        <v>11384</v>
      </c>
      <c r="H12" s="62">
        <v>11384</v>
      </c>
    </row>
    <row r="13" spans="1:8" ht="15.75">
      <c r="A13" s="240" t="s">
        <v>329</v>
      </c>
      <c r="B13" s="356">
        <v>39797</v>
      </c>
      <c r="C13" s="241">
        <v>314</v>
      </c>
      <c r="D13" s="461" t="s">
        <v>330</v>
      </c>
      <c r="E13" s="62">
        <v>6300000</v>
      </c>
      <c r="F13" s="62">
        <v>6300000</v>
      </c>
      <c r="G13" s="62">
        <v>317528</v>
      </c>
      <c r="H13" s="62">
        <v>454028</v>
      </c>
    </row>
    <row r="14" spans="1:8" ht="15.75">
      <c r="A14" s="240" t="s">
        <v>431</v>
      </c>
      <c r="B14" s="356">
        <v>40381</v>
      </c>
      <c r="C14" s="241">
        <v>36</v>
      </c>
      <c r="D14" s="474">
        <v>4.375</v>
      </c>
      <c r="E14" s="62">
        <v>89822</v>
      </c>
      <c r="F14" s="62">
        <v>89822</v>
      </c>
      <c r="G14" s="62">
        <v>32862</v>
      </c>
      <c r="H14" s="62">
        <v>32862</v>
      </c>
    </row>
    <row r="15" spans="1:8" ht="15.75">
      <c r="A15" s="240" t="s">
        <v>439</v>
      </c>
      <c r="B15" s="356">
        <v>40575</v>
      </c>
      <c r="C15" s="241">
        <v>60</v>
      </c>
      <c r="D15" s="242">
        <v>3.1</v>
      </c>
      <c r="E15" s="62">
        <v>371200</v>
      </c>
      <c r="F15" s="62">
        <v>0</v>
      </c>
      <c r="G15" s="62">
        <v>0</v>
      </c>
      <c r="H15" s="62">
        <v>81210</v>
      </c>
    </row>
    <row r="16" spans="1:8" ht="15.75">
      <c r="A16" s="240"/>
      <c r="B16" s="240"/>
      <c r="C16" s="241"/>
      <c r="D16" s="242"/>
      <c r="E16" s="62"/>
      <c r="F16" s="62"/>
      <c r="G16" s="62"/>
      <c r="H16" s="62"/>
    </row>
    <row r="17" spans="1:8" ht="15.75">
      <c r="A17" s="240"/>
      <c r="B17" s="240"/>
      <c r="C17" s="241"/>
      <c r="D17" s="242"/>
      <c r="E17" s="62"/>
      <c r="F17" s="62"/>
      <c r="G17" s="62"/>
      <c r="H17" s="62"/>
    </row>
    <row r="18" spans="1:8" ht="15.75">
      <c r="A18" s="240"/>
      <c r="B18" s="240"/>
      <c r="C18" s="241"/>
      <c r="D18" s="242"/>
      <c r="E18" s="62"/>
      <c r="F18" s="62"/>
      <c r="G18" s="62"/>
      <c r="H18" s="62"/>
    </row>
    <row r="19" spans="1:8" ht="15.75">
      <c r="A19" s="240"/>
      <c r="B19" s="240"/>
      <c r="C19" s="241"/>
      <c r="D19" s="242"/>
      <c r="E19" s="62"/>
      <c r="F19" s="62"/>
      <c r="G19" s="62"/>
      <c r="H19" s="62"/>
    </row>
    <row r="20" spans="1:8" ht="15.75">
      <c r="A20" s="240"/>
      <c r="B20" s="240"/>
      <c r="C20" s="241"/>
      <c r="D20" s="242"/>
      <c r="E20" s="62"/>
      <c r="F20" s="62"/>
      <c r="G20" s="62"/>
      <c r="H20" s="62"/>
    </row>
    <row r="21" spans="1:8" ht="15.75">
      <c r="A21" s="240"/>
      <c r="B21" s="240"/>
      <c r="C21" s="241"/>
      <c r="D21" s="242"/>
      <c r="E21" s="62"/>
      <c r="F21" s="62"/>
      <c r="G21" s="62"/>
      <c r="H21" s="62"/>
    </row>
    <row r="22" spans="1:8" ht="15.75">
      <c r="A22" s="240"/>
      <c r="B22" s="240"/>
      <c r="C22" s="241"/>
      <c r="D22" s="242"/>
      <c r="E22" s="62"/>
      <c r="F22" s="62"/>
      <c r="G22" s="62"/>
      <c r="H22" s="62"/>
    </row>
    <row r="23" spans="1:8" ht="15.75">
      <c r="A23" s="240"/>
      <c r="B23" s="240"/>
      <c r="C23" s="241"/>
      <c r="D23" s="242"/>
      <c r="E23" s="62"/>
      <c r="F23" s="62"/>
      <c r="G23" s="62"/>
      <c r="H23" s="62"/>
    </row>
    <row r="24" spans="1:8" ht="15.75">
      <c r="A24" s="240"/>
      <c r="B24" s="240"/>
      <c r="C24" s="241"/>
      <c r="D24" s="242"/>
      <c r="E24" s="62"/>
      <c r="F24" s="62"/>
      <c r="G24" s="62"/>
      <c r="H24" s="62"/>
    </row>
    <row r="25" spans="1:8" ht="15.75">
      <c r="A25" s="240"/>
      <c r="B25" s="240"/>
      <c r="C25" s="241"/>
      <c r="D25" s="242"/>
      <c r="E25" s="62"/>
      <c r="F25" s="62"/>
      <c r="G25" s="62"/>
      <c r="H25" s="62"/>
    </row>
    <row r="26" spans="1:8" ht="15.75">
      <c r="A26" s="240"/>
      <c r="B26" s="240"/>
      <c r="C26" s="241"/>
      <c r="D26" s="242"/>
      <c r="E26" s="62"/>
      <c r="F26" s="62"/>
      <c r="G26" s="62"/>
      <c r="H26" s="62"/>
    </row>
    <row r="27" spans="1:8" ht="15.75">
      <c r="A27" s="240"/>
      <c r="B27" s="240"/>
      <c r="C27" s="241"/>
      <c r="D27" s="242"/>
      <c r="E27" s="62"/>
      <c r="F27" s="62"/>
      <c r="G27" s="62"/>
      <c r="H27" s="62"/>
    </row>
    <row r="28" spans="1:8" ht="15.75">
      <c r="A28" s="240"/>
      <c r="B28" s="240"/>
      <c r="C28" s="241"/>
      <c r="D28" s="242"/>
      <c r="E28" s="62"/>
      <c r="F28" s="62"/>
      <c r="G28" s="62"/>
      <c r="H28" s="62"/>
    </row>
    <row r="29" spans="1:8" ht="15.75">
      <c r="A29" s="240"/>
      <c r="B29" s="240"/>
      <c r="C29" s="241"/>
      <c r="D29" s="242"/>
      <c r="E29" s="62"/>
      <c r="F29" s="62"/>
      <c r="G29" s="62"/>
      <c r="H29" s="62"/>
    </row>
    <row r="30" spans="1:8" ht="15.75">
      <c r="A30" s="240"/>
      <c r="B30" s="240"/>
      <c r="C30" s="241"/>
      <c r="D30" s="242"/>
      <c r="E30" s="62"/>
      <c r="F30" s="62"/>
      <c r="G30" s="62"/>
      <c r="H30" s="62"/>
    </row>
    <row r="31" spans="1:8" ht="15.75">
      <c r="A31" s="240"/>
      <c r="B31" s="240"/>
      <c r="C31" s="241"/>
      <c r="D31" s="242"/>
      <c r="E31" s="62"/>
      <c r="F31" s="62"/>
      <c r="G31" s="62"/>
      <c r="H31" s="62"/>
    </row>
    <row r="32" spans="1:8" ht="15.75">
      <c r="A32" s="240"/>
      <c r="B32" s="240"/>
      <c r="C32" s="241"/>
      <c r="D32" s="242"/>
      <c r="E32" s="62"/>
      <c r="F32" s="62"/>
      <c r="G32" s="62"/>
      <c r="H32" s="62"/>
    </row>
    <row r="33" spans="1:8" ht="15.75">
      <c r="A33" s="240"/>
      <c r="B33" s="240"/>
      <c r="C33" s="241"/>
      <c r="D33" s="242"/>
      <c r="E33" s="62"/>
      <c r="F33" s="62"/>
      <c r="G33" s="62"/>
      <c r="H33" s="62"/>
    </row>
    <row r="34" spans="1:8" ht="15.75">
      <c r="A34" s="240"/>
      <c r="B34" s="240"/>
      <c r="C34" s="241"/>
      <c r="D34" s="242"/>
      <c r="E34" s="62"/>
      <c r="F34" s="62"/>
      <c r="G34" s="62"/>
      <c r="H34" s="62"/>
    </row>
    <row r="35" spans="1:8" ht="15.75">
      <c r="A35" s="240"/>
      <c r="B35" s="240"/>
      <c r="C35" s="241"/>
      <c r="D35" s="242"/>
      <c r="E35" s="62"/>
      <c r="F35" s="62"/>
      <c r="G35" s="62"/>
      <c r="H35" s="62"/>
    </row>
    <row r="36" spans="1:8" ht="15.75">
      <c r="A36" s="240"/>
      <c r="B36" s="240"/>
      <c r="C36" s="241"/>
      <c r="D36" s="242"/>
      <c r="E36" s="62"/>
      <c r="F36" s="62"/>
      <c r="G36" s="62"/>
      <c r="H36" s="62"/>
    </row>
    <row r="37" spans="1:9" ht="16.5" thickBot="1">
      <c r="A37" s="209" t="s">
        <v>79</v>
      </c>
      <c r="B37" s="35"/>
      <c r="C37" s="35"/>
      <c r="D37" s="35"/>
      <c r="E37" s="35"/>
      <c r="F37" s="243">
        <f>SUM(F10:F36)</f>
        <v>6432792</v>
      </c>
      <c r="G37" s="243">
        <f>SUM(G10:G36)</f>
        <v>364175</v>
      </c>
      <c r="H37" s="243">
        <f>SUM(H10:H36)</f>
        <v>579484</v>
      </c>
      <c r="I37" s="244"/>
    </row>
    <row r="38" spans="1:8" ht="16.5" thickTop="1">
      <c r="A38" s="35"/>
      <c r="B38" s="35"/>
      <c r="C38" s="35"/>
      <c r="D38" s="35"/>
      <c r="E38" s="35"/>
      <c r="F38" s="35"/>
      <c r="G38" s="174"/>
      <c r="H38" s="174"/>
    </row>
    <row r="39" spans="1:8" ht="15.75">
      <c r="A39" s="245" t="s">
        <v>48</v>
      </c>
      <c r="B39" s="246"/>
      <c r="C39" s="246"/>
      <c r="D39" s="246"/>
      <c r="E39" s="246"/>
      <c r="F39" s="246"/>
      <c r="G39" s="174"/>
      <c r="H39" s="174"/>
    </row>
    <row r="40" spans="1:8" ht="15.75">
      <c r="A40" s="93"/>
      <c r="B40" s="93"/>
      <c r="C40" s="232"/>
      <c r="D40" s="93"/>
      <c r="E40" s="93"/>
      <c r="F40" s="93"/>
      <c r="G40" s="231"/>
      <c r="H40" s="231"/>
    </row>
    <row r="41" spans="1:8" ht="15.75">
      <c r="A41" s="93"/>
      <c r="B41" s="93"/>
      <c r="C41" s="93"/>
      <c r="D41" s="93"/>
      <c r="E41" s="93"/>
      <c r="F41" s="93"/>
      <c r="G41" s="93"/>
      <c r="H41" s="93"/>
    </row>
    <row r="42" spans="1:8" ht="15.75">
      <c r="A42" s="93"/>
      <c r="B42" s="93"/>
      <c r="C42" s="93"/>
      <c r="D42" s="93"/>
      <c r="E42" s="93"/>
      <c r="F42" s="93"/>
      <c r="G42" s="93"/>
      <c r="H42" s="93"/>
    </row>
    <row r="43" spans="1:8" ht="15.75">
      <c r="A43" s="93"/>
      <c r="B43" s="93"/>
      <c r="C43" s="93"/>
      <c r="D43" s="93"/>
      <c r="E43" s="93"/>
      <c r="F43" s="93"/>
      <c r="G43" s="93"/>
      <c r="H43" s="93"/>
    </row>
    <row r="44" spans="1:8" ht="15.75">
      <c r="A44" s="93"/>
      <c r="B44" s="93"/>
      <c r="C44" s="93"/>
      <c r="D44" s="93"/>
      <c r="E44" s="93"/>
      <c r="F44" s="93"/>
      <c r="G44" s="93"/>
      <c r="H44" s="93"/>
    </row>
    <row r="45" spans="1:8" ht="15.75">
      <c r="A45" s="93"/>
      <c r="B45" s="93"/>
      <c r="C45" s="93"/>
      <c r="D45" s="93"/>
      <c r="E45" s="93"/>
      <c r="F45" s="93"/>
      <c r="G45" s="93"/>
      <c r="H45" s="93"/>
    </row>
    <row r="46" spans="1:8" ht="15.75">
      <c r="A46" s="93"/>
      <c r="B46" s="93"/>
      <c r="C46" s="93"/>
      <c r="D46" s="93"/>
      <c r="E46" s="93"/>
      <c r="F46" s="93"/>
      <c r="G46" s="93"/>
      <c r="H46" s="93"/>
    </row>
    <row r="47" spans="1:8" ht="15.75">
      <c r="A47" s="93"/>
      <c r="B47" s="93"/>
      <c r="C47" s="93"/>
      <c r="D47" s="93"/>
      <c r="E47" s="93"/>
      <c r="F47" s="93"/>
      <c r="G47" s="93"/>
      <c r="H47" s="93"/>
    </row>
    <row r="48" spans="1:8" ht="15.75">
      <c r="A48" s="93"/>
      <c r="B48" s="93"/>
      <c r="C48" s="93"/>
      <c r="D48" s="93"/>
      <c r="E48" s="93"/>
      <c r="F48" s="93"/>
      <c r="G48" s="93"/>
      <c r="H48" s="93"/>
    </row>
  </sheetData>
  <sheetProtection/>
  <printOptions/>
  <pageMargins left="1" right="0.5" top="0.78" bottom="0.4" header="0.5" footer="0"/>
  <pageSetup blackAndWhite="1" fitToHeight="1" fitToWidth="1" horizontalDpi="120" verticalDpi="120" orientation="landscape" scale="84" r:id="rId1"/>
  <headerFooter alignWithMargins="0">
    <oddHeader>&amp;RState of Kansas
County
</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2011-08-12T20:34:45Z</cp:lastPrinted>
  <dcterms:created xsi:type="dcterms:W3CDTF">1998-08-26T13:26:11Z</dcterms:created>
  <dcterms:modified xsi:type="dcterms:W3CDTF">2014-01-19T22:41:51Z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245180480</vt:i4>
  </property>
  <property fmtid="{D5CDD505-2E9C-101B-9397-08002B2CF9AE}" pid="3" name="_NewReviewCycle">
    <vt:lpwstr/>
  </property>
  <property fmtid="{D5CDD505-2E9C-101B-9397-08002B2CF9AE}" pid="4" name="_EmailSubject">
    <vt:lpwstr>Lincoln County Budgets #1</vt:lpwstr>
  </property>
  <property fmtid="{D5CDD505-2E9C-101B-9397-08002B2CF9AE}" pid="5" name="_AuthorEmail">
    <vt:lpwstr>lcclerk@lincolncoks.org</vt:lpwstr>
  </property>
  <property fmtid="{D5CDD505-2E9C-101B-9397-08002B2CF9AE}" pid="6" name="_AuthorEmailDisplayName">
    <vt:lpwstr>Dawn Harlow</vt:lpwstr>
  </property>
  <property fmtid="{D5CDD505-2E9C-101B-9397-08002B2CF9AE}" pid="7" name="_ReviewingToolsShownOnce">
    <vt:lpwstr/>
  </property>
</Properties>
</file>