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activeTab="3"/>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road" sheetId="12" r:id="rId12"/>
    <sheet name="NoxWeed EmpBenefits" sheetId="13" r:id="rId13"/>
    <sheet name="Health HospMaint" sheetId="14" r:id="rId14"/>
    <sheet name="SpDrug SpParks" sheetId="15" r:id="rId15"/>
    <sheet name="NoxWeedCO 911TeleTax" sheetId="16" r:id="rId16"/>
    <sheet name="911Wireless SpMotorVeh" sheetId="17" r:id="rId17"/>
    <sheet name="RiskManagement" sheetId="18" r:id="rId18"/>
    <sheet name="nonbudA" sheetId="19" r:id="rId19"/>
    <sheet name="nonbudB" sheetId="20" r:id="rId20"/>
    <sheet name="nonbudC" sheetId="21" r:id="rId21"/>
    <sheet name="summ" sheetId="22" r:id="rId22"/>
    <sheet name="Nhood" sheetId="23" r:id="rId23"/>
    <sheet name="Resolution" sheetId="24" r:id="rId24"/>
  </sheets>
  <definedNames>
    <definedName name="_xlnm.Print_Area" localSheetId="10">'gen-detail'!$A$1:$E$317</definedName>
    <definedName name="_xlnm.Print_Area" localSheetId="9">'general'!$A$1:$E$124</definedName>
    <definedName name="_xlnm.Print_Area" localSheetId="0">'inputPrYr'!$A$1:$F$125</definedName>
    <definedName name="_xlnm.Print_Area" localSheetId="11">'road'!$B$1:$E$111</definedName>
    <definedName name="_xlnm.Print_Area" localSheetId="21">'summ'!$A$1:$H$77</definedName>
  </definedNames>
  <calcPr fullCalcOnLoad="1"/>
</workbook>
</file>

<file path=xl/sharedStrings.xml><?xml version="1.0" encoding="utf-8"?>
<sst xmlns="http://schemas.openxmlformats.org/spreadsheetml/2006/main" count="1245" uniqueCount="433">
  <si>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</si>
  <si>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</si>
  <si>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</si>
  <si>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</si>
  <si>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</si>
  <si>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</si>
  <si>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</si>
  <si>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County Equalization</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</si>
  <si>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</si>
  <si>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</si>
  <si>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</si>
  <si>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</si>
  <si>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</si>
  <si>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</si>
  <si>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</si>
  <si>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</si>
  <si>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</si>
  <si>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</si>
  <si>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</si>
  <si>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</si>
  <si>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</si>
  <si>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</si>
  <si>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</si>
  <si>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</si>
  <si>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</si>
  <si>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</si>
  <si>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</si>
  <si>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</si>
  <si>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Resolution</t>
  </si>
  <si>
    <t>Is a Resolution required?</t>
  </si>
  <si>
    <t>Note:  All amounts are to be entered in as whole numbers only.</t>
  </si>
  <si>
    <t>**</t>
  </si>
  <si>
    <t>**Note: These two block figures should agree.</t>
  </si>
  <si>
    <t>Allocation Veh Taxes, Slider &amp; Neigh Revital</t>
  </si>
  <si>
    <t>County Treasurers Slider Estimate</t>
  </si>
  <si>
    <t>Slider Factor</t>
  </si>
  <si>
    <t>xxxxxxxxxxxxxxxxxxxx</t>
  </si>
  <si>
    <t>Funds</t>
  </si>
  <si>
    <t xml:space="preserve">expenditure amounts should reflect the amended </t>
  </si>
  <si>
    <t>expenditure amounts.</t>
  </si>
  <si>
    <t xml:space="preserve">Tax Levy Rate </t>
  </si>
  <si>
    <t>Allocation of Motor, Recreational, 16/20M Vehicle Taxes &amp; Slider</t>
  </si>
  <si>
    <t>Miscellaneous</t>
  </si>
  <si>
    <t>Neighborhood Revitalization Rebate</t>
  </si>
  <si>
    <t>Cash Balance Jan 1</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</si>
  <si>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</si>
  <si>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</si>
  <si>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</si>
  <si>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</si>
  <si>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</si>
  <si>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</si>
  <si>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</si>
  <si>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</si>
  <si>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</si>
  <si>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</si>
  <si>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</si>
  <si>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</si>
  <si>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</si>
  <si>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</si>
  <si>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</si>
  <si>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</si>
  <si>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</si>
  <si>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</si>
  <si>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</si>
  <si>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</si>
  <si>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</si>
  <si>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</si>
  <si>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</si>
  <si>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</si>
  <si>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</si>
  <si>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</si>
  <si>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</si>
  <si>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</si>
  <si>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</si>
  <si>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</si>
  <si>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</si>
  <si>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</si>
  <si>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</si>
  <si>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</si>
  <si>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</si>
  <si>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</si>
  <si>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</si>
  <si>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</si>
  <si>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</si>
  <si>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</si>
  <si>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</si>
  <si>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</si>
  <si>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</si>
  <si>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</si>
  <si>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</si>
  <si>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</si>
  <si>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</si>
  <si>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</si>
  <si>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</si>
  <si>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</si>
  <si>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</si>
  <si>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</si>
  <si>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</si>
  <si>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</si>
  <si>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Appraisal</t>
  </si>
  <si>
    <t>County Treasurer</t>
  </si>
  <si>
    <t>Debt Service</t>
  </si>
  <si>
    <t>Economic Development</t>
  </si>
  <si>
    <t>Election</t>
  </si>
  <si>
    <t>Employee Benefits</t>
  </si>
  <si>
    <t xml:space="preserve">  Social Security</t>
  </si>
  <si>
    <t>Extension Council</t>
  </si>
  <si>
    <t>Mental Retardation</t>
  </si>
  <si>
    <t>Register of Deeds</t>
  </si>
  <si>
    <t>Road &amp; Bridge</t>
  </si>
  <si>
    <t>Soil Conservation</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</si>
  <si>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</si>
  <si>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</si>
  <si>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</si>
  <si>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</si>
  <si>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</si>
  <si>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</si>
  <si>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</si>
  <si>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</si>
  <si>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</si>
  <si>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</si>
  <si>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</si>
  <si>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</si>
  <si>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</si>
  <si>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</si>
  <si>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</si>
  <si>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</si>
  <si>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</si>
  <si>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</si>
  <si>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</si>
  <si>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</si>
  <si>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</si>
  <si>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</si>
  <si>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</si>
  <si>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</si>
  <si>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</si>
  <si>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</si>
  <si>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</si>
  <si>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</si>
  <si>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</si>
  <si>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</si>
  <si>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</si>
  <si>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</si>
  <si>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</si>
  <si>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</si>
  <si>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</si>
  <si>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</si>
  <si>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</si>
  <si>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</si>
  <si>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</si>
  <si>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</si>
  <si>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</si>
  <si>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</si>
  <si>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</si>
  <si>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</si>
  <si>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</si>
  <si>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</si>
  <si>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</si>
  <si>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</si>
  <si>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</si>
  <si>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</si>
  <si>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</si>
  <si>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</si>
  <si>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</si>
  <si>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</si>
  <si>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</si>
  <si>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</si>
  <si>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</si>
  <si>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</si>
  <si>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</si>
  <si>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</si>
  <si>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</si>
  <si>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</si>
  <si>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</si>
  <si>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</si>
  <si>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</si>
  <si>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</si>
  <si>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</si>
  <si>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</si>
  <si>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</si>
  <si>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</si>
  <si>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</si>
  <si>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</si>
  <si>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</si>
  <si>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</si>
  <si>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</si>
  <si>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</si>
  <si>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</si>
  <si>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</si>
  <si>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</si>
  <si>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</si>
  <si>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</si>
  <si>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</si>
  <si>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</si>
  <si>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</si>
  <si>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</si>
  <si>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</si>
  <si>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</si>
  <si>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</si>
  <si>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</si>
  <si>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</si>
  <si>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</si>
  <si>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</si>
  <si>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</si>
  <si>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</si>
  <si>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</si>
  <si>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</si>
  <si>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</si>
  <si>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</si>
  <si>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</si>
  <si>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</si>
  <si>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</si>
  <si>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</si>
  <si>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</si>
  <si>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</si>
  <si>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</si>
  <si>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</si>
  <si>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</si>
  <si>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</si>
  <si>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</si>
  <si>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</si>
  <si>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</si>
  <si>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</si>
  <si>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</si>
  <si>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</si>
  <si>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</si>
  <si>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</si>
  <si>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</si>
  <si>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</si>
  <si>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</si>
  <si>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</si>
  <si>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</si>
  <si>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</si>
  <si>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</si>
  <si>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</si>
  <si>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</si>
  <si>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</si>
  <si>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</si>
  <si>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</si>
  <si>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</si>
  <si>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County Clerk's Use Only</t>
  </si>
  <si>
    <t>Address:</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</si>
  <si>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</si>
  <si>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</si>
  <si>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</si>
  <si>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</si>
  <si>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</si>
  <si>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</si>
  <si>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</si>
  <si>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</si>
  <si>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Current Year Estimate</t>
  </si>
  <si>
    <t>Proposed Budget Year</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</si>
  <si>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</si>
  <si>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</si>
  <si>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</si>
  <si>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</si>
  <si>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</si>
  <si>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</si>
  <si>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</si>
  <si>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</si>
  <si>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</si>
  <si>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</si>
  <si>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</si>
  <si>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</si>
  <si>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</si>
  <si>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</si>
  <si>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</si>
  <si>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</si>
  <si>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</si>
  <si>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</si>
  <si>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</si>
  <si>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</si>
  <si>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</si>
  <si>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</si>
  <si>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</si>
  <si>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</si>
  <si>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</si>
  <si>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</si>
  <si>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</si>
  <si>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</si>
  <si>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</si>
  <si>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</si>
  <si>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</si>
  <si>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</si>
  <si>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</si>
  <si>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</si>
  <si>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</si>
  <si>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</si>
  <si>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</si>
  <si>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</si>
  <si>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</si>
  <si>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</si>
  <si>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</si>
  <si>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</si>
  <si>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</si>
  <si>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</si>
  <si>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Does miscellaneous exceed 10% of Total Exp</t>
  </si>
  <si>
    <t>Does miscellaneous exceed 10% of Total Rec</t>
  </si>
  <si>
    <t>General Fund - Detail Expenditures</t>
  </si>
  <si>
    <t>Non-Appropriated Balance</t>
  </si>
  <si>
    <t>Total Expenditure/Non-Appr Balance</t>
  </si>
  <si>
    <t>Delinquent Comp Rate:</t>
  </si>
  <si>
    <t>The estimated value of one mill would be:</t>
  </si>
  <si>
    <t>Change in Ad Valorem Tax Revenue:</t>
  </si>
  <si>
    <t>What Mill Rate Would Be Desired?</t>
  </si>
  <si>
    <t>and hearing held.</t>
  </si>
  <si>
    <t xml:space="preserve">Must be at least 10 days between date published </t>
  </si>
  <si>
    <t>Edwards County</t>
  </si>
  <si>
    <t>Noxious Weed</t>
  </si>
  <si>
    <t>County Health</t>
  </si>
  <si>
    <t>Hospital Maintenance</t>
  </si>
  <si>
    <t>2-1318</t>
  </si>
  <si>
    <t>12-16,102</t>
  </si>
  <si>
    <t>65-204</t>
  </si>
  <si>
    <t>19-4606</t>
  </si>
  <si>
    <t>Special Drug and Alcohol</t>
  </si>
  <si>
    <t>Special Parks and Recreation</t>
  </si>
  <si>
    <t>Noxious Weed Capital Outlay</t>
  </si>
  <si>
    <t>911 Emergency Telephone Tax</t>
  </si>
  <si>
    <t>911 Wireless Phone Tax</t>
  </si>
  <si>
    <t>Special Motor Vehicle</t>
  </si>
  <si>
    <t>Risk Management Reserve</t>
  </si>
  <si>
    <t>Special Law Enforcement Trust</t>
  </si>
  <si>
    <t>Micro-Loan</t>
  </si>
  <si>
    <t>Special Highway Improvement</t>
  </si>
  <si>
    <t>Special Machinery</t>
  </si>
  <si>
    <t>Capital Improvement Reserve</t>
  </si>
  <si>
    <t>Equipment Reserve</t>
  </si>
  <si>
    <t>Retainage Contracts</t>
  </si>
  <si>
    <t>Deeds Technology</t>
  </si>
  <si>
    <t>Concealed Carry Handgun</t>
  </si>
  <si>
    <t>Bioterrorism Grant</t>
  </si>
  <si>
    <t>Emergency Preparedness</t>
  </si>
  <si>
    <t>FEMA</t>
  </si>
  <si>
    <t>Offender Registration</t>
  </si>
  <si>
    <t>Prosecuting Training</t>
  </si>
  <si>
    <t>Capital Improvement</t>
  </si>
  <si>
    <t>19-119</t>
  </si>
  <si>
    <t>19-120</t>
  </si>
  <si>
    <t>Road and Bridge</t>
  </si>
  <si>
    <t>68-590</t>
  </si>
  <si>
    <t>68-141g</t>
  </si>
  <si>
    <t>8-145</t>
  </si>
  <si>
    <t>None</t>
  </si>
  <si>
    <t>Hamm HD13VV Compactor</t>
  </si>
  <si>
    <t>Other Local Tax</t>
  </si>
  <si>
    <t>Interest on Delinquent Tax</t>
  </si>
  <si>
    <t>Motor Vehicle Excise Tax</t>
  </si>
  <si>
    <t>Shared Revenue:</t>
  </si>
  <si>
    <t xml:space="preserve">  Grants</t>
  </si>
  <si>
    <t xml:space="preserve">  Local Sales Tax</t>
  </si>
  <si>
    <t xml:space="preserve">  Mineral Production Tax</t>
  </si>
  <si>
    <t xml:space="preserve">  Local Alcohol Tax</t>
  </si>
  <si>
    <t>Licenses, Permits and Fees:</t>
  </si>
  <si>
    <t xml:space="preserve">  Mortgage Registration Fees</t>
  </si>
  <si>
    <t xml:space="preserve">  County Officer Fee</t>
  </si>
  <si>
    <t xml:space="preserve">  Other Fees</t>
  </si>
  <si>
    <t>Charges for Services:</t>
  </si>
  <si>
    <t xml:space="preserve">  Prisoner Care</t>
  </si>
  <si>
    <t xml:space="preserve">  Dispatcher Contract</t>
  </si>
  <si>
    <t xml:space="preserve">  Sheriff Contract with City</t>
  </si>
  <si>
    <t xml:space="preserve">  Diversion Fees</t>
  </si>
  <si>
    <t>Transfer from Special Motor Vehicle</t>
  </si>
  <si>
    <t>County Commissioners</t>
  </si>
  <si>
    <t>County Attorney</t>
  </si>
  <si>
    <t>Courthouse General</t>
  </si>
  <si>
    <t>Extension Office</t>
  </si>
  <si>
    <t>Zoning</t>
  </si>
  <si>
    <t>Insurance Cost</t>
  </si>
  <si>
    <t>Sheriff</t>
  </si>
  <si>
    <t>County Fair</t>
  </si>
  <si>
    <t>Carnival Heritage</t>
  </si>
  <si>
    <t>Transfer to Equipment Reserve</t>
  </si>
  <si>
    <t>Transfer to Multi-Year Capital Improvement</t>
  </si>
  <si>
    <t>Transfer to Economic Development</t>
  </si>
  <si>
    <t>Historical Society</t>
  </si>
  <si>
    <t xml:space="preserve">  Reimbursed Expenditures</t>
  </si>
  <si>
    <t xml:space="preserve">  Subsidies</t>
  </si>
  <si>
    <t xml:space="preserve">  Appropriation</t>
  </si>
  <si>
    <t xml:space="preserve">  Subsidy</t>
  </si>
  <si>
    <t xml:space="preserve">  Operating Transfer</t>
  </si>
  <si>
    <t xml:space="preserve">  Transfer to Component Unit</t>
  </si>
  <si>
    <t>In Lieu of Tax</t>
  </si>
  <si>
    <t>Other Tax</t>
  </si>
  <si>
    <t>Special City and County Highway</t>
  </si>
  <si>
    <t>Licenses, Permits and Fees</t>
  </si>
  <si>
    <t>Charges for Services</t>
  </si>
  <si>
    <t>Highways, Streets and Bridges:</t>
  </si>
  <si>
    <t>Transfer to Special Highway Improvement</t>
  </si>
  <si>
    <t>Transfer to Special Machinery</t>
  </si>
  <si>
    <t>Highways, Streets, and Bridges:</t>
  </si>
  <si>
    <t>Transfer to Noxious Weed Capital Outlay</t>
  </si>
  <si>
    <t>General Government:</t>
  </si>
  <si>
    <t xml:space="preserve">  KPERS</t>
  </si>
  <si>
    <t xml:space="preserve">  Vision and Life Insurance</t>
  </si>
  <si>
    <t xml:space="preserve">  Health Insurance Premiums</t>
  </si>
  <si>
    <t xml:space="preserve">  Dental Insurance Premiums</t>
  </si>
  <si>
    <t xml:space="preserve">  Kansas Unemployment Tax</t>
  </si>
  <si>
    <t xml:space="preserve">  Workers' Compensation Insurance</t>
  </si>
  <si>
    <t xml:space="preserve">  Short-Term Disability</t>
  </si>
  <si>
    <t xml:space="preserve">  Reimbursements</t>
  </si>
  <si>
    <t>Federal and State Aid</t>
  </si>
  <si>
    <t>Health and Welfare:</t>
  </si>
  <si>
    <t>Transfer to Capital Improvement</t>
  </si>
  <si>
    <t>Transfer to Component Unit</t>
  </si>
  <si>
    <t>Local Alcohol and Liquor Tax</t>
  </si>
  <si>
    <t>Culture and Recreation:</t>
  </si>
  <si>
    <t>Transfer from Noxious Weed</t>
  </si>
  <si>
    <t>Public Safety:</t>
  </si>
  <si>
    <t xml:space="preserve">  Contractual Services</t>
  </si>
  <si>
    <t>Personal Services</t>
  </si>
  <si>
    <t>Commodities</t>
  </si>
  <si>
    <t>Contractual</t>
  </si>
  <si>
    <t>Capital Outlay</t>
  </si>
  <si>
    <t>Transfer to General</t>
  </si>
  <si>
    <t>Grants</t>
  </si>
  <si>
    <t>Licenses, Permits</t>
  </si>
  <si>
    <t xml:space="preserve">  and Fees</t>
  </si>
  <si>
    <t>Transfer from:</t>
  </si>
  <si>
    <t>Salaries</t>
  </si>
  <si>
    <t>Transfer to:</t>
  </si>
  <si>
    <t xml:space="preserve">  General</t>
  </si>
  <si>
    <t xml:space="preserve">  Road and Bridge</t>
  </si>
  <si>
    <t xml:space="preserve">  County Health</t>
  </si>
  <si>
    <t>Kennedy McKee &amp; Company LLP</t>
  </si>
  <si>
    <t>PO Box 1477</t>
  </si>
  <si>
    <t>Dodge City, KS  67801-1477</t>
  </si>
  <si>
    <t>Edwards County Courthouse</t>
  </si>
  <si>
    <t>Edwards County Clerk's Office</t>
  </si>
  <si>
    <t>.</t>
  </si>
  <si>
    <t>Transfer Station</t>
  </si>
  <si>
    <t>August 29, 2011</t>
  </si>
  <si>
    <t>10:00 a.m.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</si>
</sst>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7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u val="single"/>
      <sz val="12"/>
      <color indexed="12"/>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s>
  <cellStyleXfs count="4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28">
    <xf numFmtId="0" fontId="0" fillId="0" borderId="0" xfId="0" applyAlignment="1">
      <alignment/>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37" fontId="4" fillId="34" borderId="10"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11" xfId="0" applyNumberFormat="1" applyFont="1" applyFill="1" applyBorder="1" applyAlignment="1" applyProtection="1">
      <alignment horizontal="center"/>
      <protection/>
    </xf>
    <xf numFmtId="37" fontId="4" fillId="34" borderId="12" xfId="0" applyNumberFormat="1" applyFont="1" applyFill="1" applyBorder="1" applyAlignment="1" applyProtection="1">
      <alignment horizontal="left"/>
      <protection/>
    </xf>
    <xf numFmtId="37" fontId="4" fillId="34" borderId="12" xfId="0" applyNumberFormat="1" applyFont="1" applyFill="1" applyBorder="1" applyAlignment="1" applyProtection="1">
      <alignment/>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0" xfId="0" applyFont="1" applyFill="1" applyAlignment="1" applyProtection="1">
      <alignment horizontal="center"/>
      <protection/>
    </xf>
    <xf numFmtId="0" fontId="4" fillId="34" borderId="13" xfId="0" applyFont="1" applyFill="1" applyBorder="1" applyAlignment="1">
      <alignment/>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2" applyAlignment="1">
      <alignment vertical="top"/>
      <protection/>
    </xf>
    <xf numFmtId="0" fontId="12" fillId="0" borderId="0" xfId="402">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2"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2" applyFont="1">
      <alignment/>
      <protection/>
    </xf>
    <xf numFmtId="0" fontId="4" fillId="0" borderId="0" xfId="0" applyFont="1" applyAlignment="1">
      <alignment horizontal="right"/>
    </xf>
    <xf numFmtId="37" fontId="4" fillId="34" borderId="12" xfId="0" applyNumberFormat="1" applyFont="1" applyFill="1" applyBorder="1" applyAlignment="1" applyProtection="1">
      <alignment horizontal="center"/>
      <protection/>
    </xf>
    <xf numFmtId="177" fontId="4" fillId="34" borderId="12" xfId="0" applyNumberFormat="1" applyFont="1" applyFill="1" applyBorder="1" applyAlignment="1" applyProtection="1">
      <alignment horizontal="center"/>
      <protection/>
    </xf>
    <xf numFmtId="37" fontId="4" fillId="35" borderId="14" xfId="0" applyNumberFormat="1" applyFont="1" applyFill="1" applyBorder="1" applyAlignment="1" applyProtection="1">
      <alignment horizontal="center"/>
      <protection/>
    </xf>
    <xf numFmtId="177" fontId="4" fillId="35" borderId="14" xfId="0" applyNumberFormat="1" applyFont="1" applyFill="1" applyBorder="1" applyAlignment="1" applyProtection="1">
      <alignment horizontal="center"/>
      <protection/>
    </xf>
    <xf numFmtId="166" fontId="4" fillId="34" borderId="0" xfId="0" applyNumberFormat="1" applyFont="1" applyFill="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5"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3" fontId="4" fillId="34" borderId="15"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4" fillId="0" borderId="0" xfId="0" applyFont="1" applyAlignment="1">
      <alignment vertical="center"/>
    </xf>
    <xf numFmtId="0" fontId="4" fillId="0" borderId="0" xfId="0" applyFont="1" applyAlignment="1">
      <alignment vertical="center" wrapText="1"/>
    </xf>
    <xf numFmtId="0" fontId="4" fillId="36" borderId="0" xfId="0" applyFont="1" applyFill="1" applyAlignment="1">
      <alignment vertical="center"/>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5" xfId="0" applyFont="1" applyFill="1" applyBorder="1" applyAlignment="1" applyProtection="1">
      <alignment vertical="center"/>
      <protection/>
    </xf>
    <xf numFmtId="37" fontId="4" fillId="33" borderId="15"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7" borderId="13" xfId="0" applyFont="1" applyFill="1" applyBorder="1" applyAlignment="1" applyProtection="1">
      <alignment horizontal="center" vertical="center"/>
      <protection/>
    </xf>
    <xf numFmtId="37" fontId="4" fillId="37" borderId="13" xfId="0" applyNumberFormat="1" applyFont="1" applyFill="1" applyBorder="1" applyAlignment="1" applyProtection="1">
      <alignment horizontal="center" vertical="center"/>
      <protection/>
    </xf>
    <xf numFmtId="0" fontId="4" fillId="37" borderId="13"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7" borderId="11"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wrapText="1"/>
      <protection locked="0"/>
    </xf>
    <xf numFmtId="164"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7" fontId="4" fillId="34" borderId="15"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0" applyFont="1" applyFill="1" applyBorder="1" applyAlignment="1" applyProtection="1">
      <alignment vertical="center"/>
      <protection/>
    </xf>
    <xf numFmtId="3" fontId="4" fillId="35" borderId="16" xfId="0" applyNumberFormat="1" applyFont="1" applyFill="1" applyBorder="1" applyAlignment="1" applyProtection="1">
      <alignment vertical="center"/>
      <protection/>
    </xf>
    <xf numFmtId="164" fontId="4" fillId="35" borderId="12" xfId="0" applyNumberFormat="1" applyFont="1" applyFill="1" applyBorder="1" applyAlignment="1" applyProtection="1">
      <alignment vertical="center"/>
      <protection/>
    </xf>
    <xf numFmtId="164" fontId="4" fillId="34" borderId="15" xfId="0" applyNumberFormat="1"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2" xfId="0" applyNumberFormat="1" applyFont="1" applyFill="1" applyBorder="1" applyAlignment="1" applyProtection="1">
      <alignment vertical="center"/>
      <protection/>
    </xf>
    <xf numFmtId="37" fontId="4" fillId="37" borderId="15" xfId="0" applyNumberFormat="1" applyFont="1" applyFill="1" applyBorder="1" applyAlignment="1" applyProtection="1">
      <alignment horizontal="left" vertical="center"/>
      <protection/>
    </xf>
    <xf numFmtId="0" fontId="4" fillId="37" borderId="15" xfId="0" applyFont="1" applyFill="1" applyBorder="1" applyAlignment="1" applyProtection="1">
      <alignment vertical="center"/>
      <protection/>
    </xf>
    <xf numFmtId="37" fontId="4" fillId="37" borderId="18" xfId="0" applyNumberFormat="1" applyFont="1" applyFill="1" applyBorder="1" applyAlignment="1" applyProtection="1">
      <alignment horizontal="left" vertical="center"/>
      <protection/>
    </xf>
    <xf numFmtId="0" fontId="4" fillId="37" borderId="18"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7"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5"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locked="0"/>
    </xf>
    <xf numFmtId="0" fontId="4" fillId="38" borderId="15"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8"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8" xfId="0" applyNumberFormat="1" applyFont="1" applyFill="1" applyBorder="1" applyAlignment="1" applyProtection="1">
      <alignment horizontal="left" vertical="center"/>
      <protection/>
    </xf>
    <xf numFmtId="37" fontId="4" fillId="33" borderId="12" xfId="0" applyNumberFormat="1" applyFont="1" applyFill="1" applyBorder="1" applyAlignment="1" applyProtection="1">
      <alignment vertical="center"/>
      <protection locked="0"/>
    </xf>
    <xf numFmtId="37" fontId="4" fillId="34" borderId="19"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5" xfId="0" applyNumberFormat="1" applyFont="1" applyFill="1" applyBorder="1" applyAlignment="1" applyProtection="1">
      <alignment vertical="center"/>
      <protection/>
    </xf>
    <xf numFmtId="0" fontId="0" fillId="34" borderId="0" xfId="0" applyFill="1" applyAlignment="1">
      <alignment vertical="center"/>
    </xf>
    <xf numFmtId="0" fontId="4" fillId="37" borderId="13" xfId="0" applyFont="1" applyFill="1" applyBorder="1" applyAlignment="1">
      <alignment horizontal="center" vertical="center"/>
    </xf>
    <xf numFmtId="0" fontId="4" fillId="37" borderId="10" xfId="0" applyFont="1" applyFill="1" applyBorder="1" applyAlignment="1">
      <alignment horizontal="center" vertical="center"/>
    </xf>
    <xf numFmtId="0" fontId="24" fillId="34" borderId="0" xfId="0" applyFont="1" applyFill="1" applyAlignment="1">
      <alignment vertical="center"/>
    </xf>
    <xf numFmtId="0" fontId="29" fillId="34" borderId="0" xfId="0" applyFont="1" applyFill="1" applyAlignment="1">
      <alignment vertical="center"/>
    </xf>
    <xf numFmtId="0" fontId="4" fillId="37" borderId="11" xfId="0" applyFont="1" applyFill="1" applyBorder="1" applyAlignment="1">
      <alignment horizontal="center" vertical="center"/>
    </xf>
    <xf numFmtId="37" fontId="4" fillId="34" borderId="11" xfId="0" applyNumberFormat="1" applyFont="1" applyFill="1" applyBorder="1" applyAlignment="1">
      <alignment vertical="center"/>
    </xf>
    <xf numFmtId="3" fontId="4" fillId="33" borderId="11"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9" xfId="0" applyNumberFormat="1" applyFont="1" applyFill="1" applyBorder="1" applyAlignment="1" applyProtection="1">
      <alignment horizontal="centerContinuous" vertical="center"/>
      <protection/>
    </xf>
    <xf numFmtId="0" fontId="18" fillId="34" borderId="18" xfId="0" applyFont="1" applyFill="1" applyBorder="1" applyAlignment="1" applyProtection="1">
      <alignment horizontal="centerContinuous" vertical="center"/>
      <protection/>
    </xf>
    <xf numFmtId="0" fontId="18" fillId="34" borderId="16" xfId="0" applyFont="1" applyFill="1" applyBorder="1" applyAlignment="1" applyProtection="1">
      <alignment horizontal="centerContinuous" vertical="center"/>
      <protection/>
    </xf>
    <xf numFmtId="37" fontId="18" fillId="34" borderId="13" xfId="0" applyNumberFormat="1" applyFont="1" applyFill="1" applyBorder="1" applyAlignment="1" applyProtection="1">
      <alignment horizontal="center" vertical="center"/>
      <protection/>
    </xf>
    <xf numFmtId="37" fontId="19" fillId="34" borderId="15" xfId="0" applyNumberFormat="1" applyFont="1" applyFill="1" applyBorder="1" applyAlignment="1" applyProtection="1">
      <alignment horizontal="left" vertical="center"/>
      <protection/>
    </xf>
    <xf numFmtId="0" fontId="18" fillId="34" borderId="15" xfId="0" applyFont="1" applyFill="1" applyBorder="1" applyAlignment="1" applyProtection="1">
      <alignment vertical="center"/>
      <protection/>
    </xf>
    <xf numFmtId="37" fontId="18" fillId="34" borderId="11" xfId="0" applyNumberFormat="1" applyFont="1" applyFill="1" applyBorder="1" applyAlignment="1" applyProtection="1">
      <alignment horizontal="center" vertical="center"/>
      <protection/>
    </xf>
    <xf numFmtId="37" fontId="18" fillId="34" borderId="12" xfId="0" applyNumberFormat="1" applyFont="1" applyFill="1" applyBorder="1" applyAlignment="1" applyProtection="1">
      <alignment horizontal="left" vertical="center"/>
      <protection/>
    </xf>
    <xf numFmtId="37" fontId="18" fillId="34" borderId="10" xfId="0" applyNumberFormat="1" applyFont="1" applyFill="1" applyBorder="1" applyAlignment="1" applyProtection="1">
      <alignment horizontal="center" vertical="center"/>
      <protection/>
    </xf>
    <xf numFmtId="37" fontId="18" fillId="34" borderId="13" xfId="0" applyNumberFormat="1" applyFont="1" applyFill="1" applyBorder="1" applyAlignment="1" applyProtection="1">
      <alignment horizontal="left" vertical="center"/>
      <protection/>
    </xf>
    <xf numFmtId="0" fontId="18" fillId="34" borderId="0" xfId="0" applyFont="1" applyFill="1" applyBorder="1" applyAlignment="1" applyProtection="1">
      <alignment vertical="center"/>
      <protection/>
    </xf>
    <xf numFmtId="37" fontId="18" fillId="34" borderId="19" xfId="0" applyNumberFormat="1" applyFont="1" applyFill="1" applyBorder="1" applyAlignment="1" applyProtection="1">
      <alignment horizontal="left" vertical="center"/>
      <protection/>
    </xf>
    <xf numFmtId="0" fontId="18" fillId="34" borderId="16"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2"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37" fontId="18" fillId="34" borderId="16" xfId="0" applyNumberFormat="1" applyFont="1" applyFill="1" applyBorder="1" applyAlignment="1" applyProtection="1">
      <alignment horizontal="center" vertical="center"/>
      <protection/>
    </xf>
    <xf numFmtId="37" fontId="28" fillId="34" borderId="11" xfId="0" applyNumberFormat="1" applyFont="1" applyFill="1" applyBorder="1" applyAlignment="1" applyProtection="1">
      <alignment horizontal="left" vertical="center"/>
      <protection/>
    </xf>
    <xf numFmtId="37" fontId="28" fillId="34" borderId="11" xfId="0" applyNumberFormat="1" applyFont="1" applyFill="1" applyBorder="1" applyAlignment="1" applyProtection="1">
      <alignment horizontal="center" vertical="center"/>
      <protection/>
    </xf>
    <xf numFmtId="0" fontId="18" fillId="34" borderId="12" xfId="0" applyFont="1" applyFill="1" applyBorder="1" applyAlignment="1" applyProtection="1">
      <alignment vertical="center"/>
      <protection/>
    </xf>
    <xf numFmtId="0" fontId="18" fillId="34" borderId="11" xfId="0" applyFont="1" applyFill="1" applyBorder="1" applyAlignment="1" applyProtection="1">
      <alignment vertical="center"/>
      <protection/>
    </xf>
    <xf numFmtId="37" fontId="18" fillId="34" borderId="19" xfId="0" applyNumberFormat="1" applyFont="1" applyFill="1" applyBorder="1" applyAlignment="1" applyProtection="1">
      <alignment horizontal="center" vertical="center"/>
      <protection/>
    </xf>
    <xf numFmtId="37" fontId="18" fillId="34" borderId="12"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0" fontId="18" fillId="34" borderId="12" xfId="0" applyFont="1" applyFill="1" applyBorder="1" applyAlignment="1" applyProtection="1">
      <alignment horizontal="center" vertical="center"/>
      <protection/>
    </xf>
    <xf numFmtId="0" fontId="18" fillId="34" borderId="13" xfId="0" applyFont="1" applyFill="1" applyBorder="1" applyAlignment="1" applyProtection="1">
      <alignment vertical="center"/>
      <protection/>
    </xf>
    <xf numFmtId="37" fontId="19" fillId="34" borderId="13" xfId="0" applyNumberFormat="1" applyFont="1" applyFill="1" applyBorder="1" applyAlignment="1" applyProtection="1">
      <alignment horizontal="left" vertical="center"/>
      <protection/>
    </xf>
    <xf numFmtId="37" fontId="18" fillId="34" borderId="14" xfId="0" applyNumberFormat="1" applyFont="1" applyFill="1" applyBorder="1" applyAlignment="1" applyProtection="1">
      <alignment vertical="center"/>
      <protection/>
    </xf>
    <xf numFmtId="183" fontId="18" fillId="34" borderId="14" xfId="0" applyNumberFormat="1" applyFont="1" applyFill="1" applyBorder="1" applyAlignment="1" applyProtection="1">
      <alignment vertical="center"/>
      <protection/>
    </xf>
    <xf numFmtId="37" fontId="18" fillId="34" borderId="20" xfId="0" applyNumberFormat="1" applyFont="1" applyFill="1" applyBorder="1" applyAlignment="1" applyProtection="1">
      <alignment horizontal="left" vertical="center"/>
      <protection/>
    </xf>
    <xf numFmtId="0" fontId="18" fillId="34" borderId="21"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2" xfId="0" applyFont="1" applyFill="1" applyBorder="1" applyAlignment="1">
      <alignment horizontal="center" vertical="center" shrinkToFit="1"/>
    </xf>
    <xf numFmtId="0" fontId="24" fillId="39" borderId="16" xfId="0" applyFont="1" applyFill="1" applyBorder="1" applyAlignment="1" applyProtection="1">
      <alignment horizontal="center" vertical="center"/>
      <protection/>
    </xf>
    <xf numFmtId="3" fontId="18" fillId="33" borderId="12" xfId="0" applyNumberFormat="1" applyFont="1" applyFill="1" applyBorder="1" applyAlignment="1" applyProtection="1">
      <alignment vertical="center"/>
      <protection locked="0"/>
    </xf>
    <xf numFmtId="37" fontId="18" fillId="34" borderId="16"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5" xfId="0" applyFont="1" applyFill="1" applyBorder="1" applyAlignment="1" applyProtection="1">
      <alignment vertical="center"/>
      <protection locked="0"/>
    </xf>
    <xf numFmtId="0" fontId="18" fillId="34" borderId="0" xfId="0" applyFont="1" applyFill="1" applyAlignment="1" applyProtection="1">
      <alignment vertical="center"/>
      <protection locked="0"/>
    </xf>
    <xf numFmtId="0" fontId="18" fillId="33" borderId="18" xfId="0" applyFont="1" applyFill="1" applyBorder="1" applyAlignment="1" applyProtection="1">
      <alignment vertical="center"/>
      <protection locked="0"/>
    </xf>
    <xf numFmtId="37" fontId="18" fillId="34" borderId="15" xfId="0" applyNumberFormat="1" applyFont="1" applyFill="1" applyBorder="1" applyAlignment="1" applyProtection="1">
      <alignment horizontal="fill"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centerContinuous" vertical="center"/>
      <protection locked="0"/>
    </xf>
    <xf numFmtId="0" fontId="18" fillId="34" borderId="15" xfId="0" applyFont="1" applyFill="1" applyBorder="1" applyAlignment="1" applyProtection="1">
      <alignment vertical="center"/>
      <protection locked="0"/>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9" xfId="0" applyNumberFormat="1" applyFont="1" applyFill="1" applyBorder="1" applyAlignment="1" applyProtection="1">
      <alignment horizontal="centerContinuous" vertical="center"/>
      <protection/>
    </xf>
    <xf numFmtId="0" fontId="4" fillId="34" borderId="18" xfId="0" applyFont="1" applyFill="1" applyBorder="1" applyAlignment="1" applyProtection="1">
      <alignment horizontal="centerContinuous" vertical="center"/>
      <protection/>
    </xf>
    <xf numFmtId="0" fontId="4" fillId="34" borderId="16" xfId="0" applyFont="1" applyFill="1" applyBorder="1" applyAlignment="1" applyProtection="1">
      <alignment horizontal="centerContinuous" vertical="center"/>
      <protection/>
    </xf>
    <xf numFmtId="37" fontId="4" fillId="34" borderId="13"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fill" vertical="center"/>
      <protection/>
    </xf>
    <xf numFmtId="0" fontId="4" fillId="0" borderId="0" xfId="0" applyFont="1" applyAlignment="1" applyProtection="1">
      <alignment horizontal="center"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5"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5"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5"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1" applyFont="1" applyFill="1" applyAlignment="1" applyProtection="1">
      <alignment horizontal="centerContinuous" vertical="center"/>
      <protection/>
    </xf>
    <xf numFmtId="0" fontId="4" fillId="34" borderId="15" xfId="0" applyFont="1" applyFill="1" applyBorder="1" applyAlignment="1" applyProtection="1">
      <alignment horizontal="fill"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2" fontId="4" fillId="34"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horizontal="center" vertical="center"/>
      <protection locked="0"/>
    </xf>
    <xf numFmtId="2" fontId="4" fillId="33" borderId="12"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locked="0"/>
    </xf>
    <xf numFmtId="173" fontId="4" fillId="33" borderId="12" xfId="0" applyNumberFormat="1"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xf>
    <xf numFmtId="172"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5" fillId="35" borderId="12" xfId="0" applyNumberFormat="1" applyFont="1" applyFill="1" applyBorder="1" applyAlignment="1" applyProtection="1">
      <alignment horizontal="center" vertical="center"/>
      <protection/>
    </xf>
    <xf numFmtId="173" fontId="5" fillId="34" borderId="12" xfId="0" applyNumberFormat="1" applyFont="1" applyFill="1" applyBorder="1" applyAlignment="1" applyProtection="1">
      <alignment horizontal="center" vertical="center"/>
      <protection/>
    </xf>
    <xf numFmtId="172"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173" fontId="4" fillId="34"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3"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1" xfId="0" applyFont="1" applyFill="1" applyBorder="1" applyAlignment="1" applyProtection="1">
      <alignment horizontal="center" vertical="center"/>
      <protection/>
    </xf>
    <xf numFmtId="14" fontId="4" fillId="34" borderId="11" xfId="0" applyNumberFormat="1" applyFont="1" applyFill="1" applyBorder="1" applyAlignment="1" applyProtection="1" quotePrefix="1">
      <alignment horizontal="center" vertical="center"/>
      <protection/>
    </xf>
    <xf numFmtId="0" fontId="4" fillId="33" borderId="12" xfId="0" applyFont="1" applyFill="1" applyBorder="1" applyAlignment="1" applyProtection="1">
      <alignment vertical="center"/>
      <protection locked="0"/>
    </xf>
    <xf numFmtId="1"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3" fontId="5" fillId="35" borderId="14" xfId="0" applyNumberFormat="1" applyFont="1" applyFill="1" applyBorder="1" applyAlignment="1" applyProtection="1">
      <alignment vertical="center"/>
      <protection/>
    </xf>
    <xf numFmtId="0" fontId="4" fillId="0" borderId="0" xfId="0" applyFont="1" applyBorder="1" applyAlignment="1">
      <alignment vertical="center"/>
    </xf>
    <xf numFmtId="0" fontId="4" fillId="36" borderId="0" xfId="400"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1" xfId="0" applyNumberFormat="1" applyFont="1" applyFill="1" applyBorder="1" applyAlignment="1" applyProtection="1">
      <alignment horizontal="center" vertical="center"/>
      <protection/>
    </xf>
    <xf numFmtId="0" fontId="4" fillId="34" borderId="19" xfId="0" applyFont="1" applyFill="1" applyBorder="1" applyAlignment="1" applyProtection="1">
      <alignment horizontal="left" vertical="center"/>
      <protection/>
    </xf>
    <xf numFmtId="3" fontId="4" fillId="33" borderId="16" xfId="0" applyNumberFormat="1" applyFont="1" applyFill="1" applyBorder="1" applyAlignment="1" applyProtection="1">
      <alignment vertical="center"/>
      <protection locked="0"/>
    </xf>
    <xf numFmtId="37" fontId="4" fillId="34" borderId="19" xfId="0" applyNumberFormat="1" applyFont="1" applyFill="1" applyBorder="1" applyAlignment="1" applyProtection="1">
      <alignment vertical="center"/>
      <protection/>
    </xf>
    <xf numFmtId="37" fontId="4" fillId="33" borderId="12" xfId="0" applyNumberFormat="1" applyFont="1" applyFill="1" applyBorder="1" applyAlignment="1" applyProtection="1">
      <alignment vertical="center"/>
      <protection locked="0"/>
    </xf>
    <xf numFmtId="37" fontId="4" fillId="33" borderId="19" xfId="0" applyNumberFormat="1" applyFont="1" applyFill="1" applyBorder="1" applyAlignment="1" applyProtection="1">
      <alignment vertical="center"/>
      <protection locked="0"/>
    </xf>
    <xf numFmtId="0" fontId="4" fillId="33" borderId="19" xfId="0" applyFont="1" applyFill="1" applyBorder="1" applyAlignment="1" applyProtection="1">
      <alignment horizontal="left" vertical="center"/>
      <protection locked="0"/>
    </xf>
    <xf numFmtId="0" fontId="4" fillId="34" borderId="19" xfId="0" applyFont="1" applyFill="1" applyBorder="1" applyAlignment="1" applyProtection="1">
      <alignment vertical="center"/>
      <protection/>
    </xf>
    <xf numFmtId="3" fontId="24" fillId="40"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locked="0"/>
    </xf>
    <xf numFmtId="37" fontId="4" fillId="35" borderId="12"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3"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locked="0"/>
    </xf>
    <xf numFmtId="37" fontId="4" fillId="35" borderId="13"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14" xfId="0" applyNumberFormat="1" applyFont="1" applyFill="1" applyBorder="1" applyAlignment="1" applyProtection="1">
      <alignment vertical="center"/>
      <protection/>
    </xf>
    <xf numFmtId="0" fontId="24" fillId="36" borderId="0" xfId="0" applyFont="1" applyFill="1" applyAlignment="1">
      <alignment vertical="center"/>
    </xf>
    <xf numFmtId="37" fontId="4" fillId="36"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24" fillId="40"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9" xfId="0" applyFont="1" applyFill="1" applyBorder="1" applyAlignment="1" applyProtection="1">
      <alignment horizontal="left" vertical="center"/>
      <protection/>
    </xf>
    <xf numFmtId="0" fontId="4" fillId="33" borderId="19" xfId="0" applyFont="1" applyFill="1" applyBorder="1" applyAlignment="1">
      <alignment vertical="center"/>
    </xf>
    <xf numFmtId="3" fontId="5" fillId="35" borderId="12"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9"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0" fillId="34" borderId="0" xfId="0" applyFont="1" applyFill="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vertical="center"/>
    </xf>
    <xf numFmtId="0" fontId="22" fillId="34" borderId="13" xfId="0" applyFont="1" applyFill="1" applyBorder="1" applyAlignment="1">
      <alignment vertical="center"/>
    </xf>
    <xf numFmtId="0" fontId="22" fillId="34" borderId="16" xfId="0" applyFont="1" applyFill="1" applyBorder="1" applyAlignment="1">
      <alignment horizontal="center" vertical="center"/>
    </xf>
    <xf numFmtId="0" fontId="22" fillId="34" borderId="21" xfId="0" applyFont="1" applyFill="1" applyBorder="1" applyAlignment="1">
      <alignment vertical="center"/>
    </xf>
    <xf numFmtId="0" fontId="22" fillId="34" borderId="12" xfId="0" applyFont="1" applyFill="1" applyBorder="1" applyAlignment="1">
      <alignment horizontal="center" vertical="center"/>
    </xf>
    <xf numFmtId="0" fontId="4" fillId="34" borderId="16" xfId="0" applyFont="1" applyFill="1" applyBorder="1" applyAlignment="1">
      <alignment vertical="center"/>
    </xf>
    <xf numFmtId="0" fontId="4" fillId="34" borderId="12" xfId="0" applyFont="1" applyFill="1" applyBorder="1" applyAlignment="1">
      <alignment horizontal="center" vertical="center"/>
    </xf>
    <xf numFmtId="0" fontId="22" fillId="34" borderId="27" xfId="0" applyFont="1" applyFill="1" applyBorder="1" applyAlignment="1">
      <alignment vertical="center"/>
    </xf>
    <xf numFmtId="0" fontId="22" fillId="34" borderId="15" xfId="0" applyFont="1" applyFill="1" applyBorder="1" applyAlignment="1">
      <alignment vertical="center"/>
    </xf>
    <xf numFmtId="0" fontId="22" fillId="34" borderId="0" xfId="0" applyFont="1" applyFill="1" applyAlignment="1">
      <alignment vertical="center"/>
    </xf>
    <xf numFmtId="0" fontId="22" fillId="33" borderId="12" xfId="0" applyFont="1" applyFill="1" applyBorder="1" applyAlignment="1" applyProtection="1">
      <alignment vertical="center"/>
      <protection locked="0"/>
    </xf>
    <xf numFmtId="0" fontId="22" fillId="33" borderId="16" xfId="0" applyFont="1" applyFill="1" applyBorder="1" applyAlignment="1" applyProtection="1">
      <alignment vertical="center"/>
      <protection locked="0"/>
    </xf>
    <xf numFmtId="0" fontId="22" fillId="33" borderId="11" xfId="0" applyFont="1" applyFill="1" applyBorder="1" applyAlignment="1" applyProtection="1">
      <alignment vertical="center"/>
      <protection locked="0"/>
    </xf>
    <xf numFmtId="3" fontId="27" fillId="39" borderId="12"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3" xfId="0" applyFont="1" applyFill="1" applyBorder="1" applyAlignment="1" applyProtection="1">
      <alignment horizontal="centerContinuous" vertical="center"/>
      <protection/>
    </xf>
    <xf numFmtId="1" fontId="4" fillId="34" borderId="19" xfId="0" applyNumberFormat="1" applyFont="1" applyFill="1" applyBorder="1" applyAlignment="1" applyProtection="1">
      <alignment horizontal="centerContinuous" vertical="center"/>
      <protection/>
    </xf>
    <xf numFmtId="164"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14"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3"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protection locked="0"/>
    </xf>
    <xf numFmtId="184" fontId="4" fillId="34"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locked="0"/>
    </xf>
    <xf numFmtId="3" fontId="4" fillId="34" borderId="14" xfId="0" applyNumberFormat="1" applyFont="1" applyFill="1" applyBorder="1" applyAlignment="1" applyProtection="1">
      <alignment horizontal="center" vertical="center"/>
      <protection/>
    </xf>
    <xf numFmtId="184" fontId="4" fillId="34" borderId="14" xfId="0" applyNumberFormat="1"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184" fontId="4" fillId="34" borderId="15"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5"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5"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3" fontId="32" fillId="39" borderId="0" xfId="0" applyNumberFormat="1" applyFont="1" applyFill="1" applyAlignment="1">
      <alignment horizontal="center" vertical="center"/>
    </xf>
    <xf numFmtId="37" fontId="18" fillId="34" borderId="0" xfId="0" applyNumberFormat="1" applyFont="1" applyFill="1" applyBorder="1" applyAlignment="1" applyProtection="1">
      <alignment horizontal="left" vertical="center"/>
      <protection/>
    </xf>
    <xf numFmtId="37" fontId="18" fillId="34" borderId="0" xfId="0" applyNumberFormat="1" applyFont="1" applyFill="1" applyBorder="1" applyAlignment="1" applyProtection="1">
      <alignment horizontal="fill" vertical="center"/>
      <protection/>
    </xf>
    <xf numFmtId="0" fontId="12" fillId="0" borderId="0" xfId="380" applyFont="1">
      <alignment/>
      <protection/>
    </xf>
    <xf numFmtId="0" fontId="12" fillId="0" borderId="0" xfId="380" applyNumberFormat="1" applyFont="1" applyAlignment="1">
      <alignment horizontal="left" vertical="center"/>
      <protection/>
    </xf>
    <xf numFmtId="0" fontId="4" fillId="0" borderId="0" xfId="380" applyFont="1" applyAlignment="1">
      <alignment horizontal="left" vertical="center"/>
      <protection/>
    </xf>
    <xf numFmtId="49" fontId="4" fillId="33" borderId="0" xfId="380" applyNumberFormat="1" applyFont="1" applyFill="1" applyAlignment="1" applyProtection="1">
      <alignment horizontal="left" vertical="center"/>
      <protection locked="0"/>
    </xf>
    <xf numFmtId="185" fontId="22" fillId="0" borderId="0" xfId="380" applyNumberFormat="1" applyFont="1" applyAlignment="1">
      <alignment horizontal="left" vertical="center"/>
      <protection/>
    </xf>
    <xf numFmtId="49" fontId="4" fillId="0" borderId="0" xfId="380" applyNumberFormat="1" applyFont="1" applyAlignment="1">
      <alignment horizontal="left" vertical="center"/>
      <protection/>
    </xf>
    <xf numFmtId="0" fontId="22" fillId="0" borderId="0" xfId="380" applyFont="1" applyAlignment="1">
      <alignment horizontal="left" vertical="center"/>
      <protection/>
    </xf>
    <xf numFmtId="186" fontId="22" fillId="0" borderId="0" xfId="380" applyNumberFormat="1" applyFont="1" applyAlignment="1">
      <alignment horizontal="left" vertical="center"/>
      <protection/>
    </xf>
    <xf numFmtId="0" fontId="4" fillId="33" borderId="0" xfId="380" applyFont="1" applyFill="1" applyAlignment="1" applyProtection="1">
      <alignment horizontal="left" vertical="center"/>
      <protection locked="0"/>
    </xf>
    <xf numFmtId="0" fontId="12" fillId="33" borderId="0" xfId="380" applyFont="1" applyFill="1" applyAlignment="1" applyProtection="1">
      <alignment horizontal="left" vertical="center"/>
      <protection locked="0"/>
    </xf>
    <xf numFmtId="0" fontId="6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0" fontId="4" fillId="33" borderId="15" xfId="0" applyFont="1" applyFill="1" applyBorder="1" applyAlignment="1" applyProtection="1">
      <alignment vertical="center"/>
      <protection locked="0"/>
    </xf>
    <xf numFmtId="14" fontId="4" fillId="33" borderId="12" xfId="0" applyNumberFormat="1" applyFont="1" applyFill="1" applyBorder="1" applyAlignment="1" applyProtection="1">
      <alignment vertical="center"/>
      <protection locked="0"/>
    </xf>
    <xf numFmtId="14" fontId="4" fillId="33" borderId="12" xfId="0" applyNumberFormat="1" applyFont="1" applyFill="1" applyBorder="1" applyAlignment="1" applyProtection="1">
      <alignment horizontal="center" vertical="center"/>
      <protection locked="0"/>
    </xf>
    <xf numFmtId="37" fontId="4" fillId="41" borderId="12"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24" fillId="40" borderId="19" xfId="0" applyNumberFormat="1" applyFont="1" applyFill="1" applyBorder="1" applyAlignment="1" applyProtection="1">
      <alignment horizontal="center" vertical="center"/>
      <protection/>
    </xf>
    <xf numFmtId="3" fontId="5" fillId="35" borderId="19"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4" fillId="35" borderId="19" xfId="0" applyNumberFormat="1" applyFont="1" applyFill="1" applyBorder="1" applyAlignment="1" applyProtection="1">
      <alignment vertical="center"/>
      <protection/>
    </xf>
    <xf numFmtId="49" fontId="4" fillId="33" borderId="12" xfId="0" applyNumberFormat="1" applyFont="1" applyFill="1" applyBorder="1" applyAlignment="1" applyProtection="1">
      <alignment horizontal="center" vertical="center"/>
      <protection locked="0"/>
    </xf>
    <xf numFmtId="184" fontId="4" fillId="33" borderId="12" xfId="0" applyNumberFormat="1" applyFont="1" applyFill="1" applyBorder="1" applyAlignment="1" applyProtection="1">
      <alignment vertical="center"/>
      <protection locked="0"/>
    </xf>
    <xf numFmtId="184" fontId="4" fillId="33" borderId="12" xfId="0" applyNumberFormat="1" applyFont="1" applyFill="1" applyBorder="1" applyAlignment="1" applyProtection="1">
      <alignment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4" borderId="22" xfId="0" applyFont="1" applyFill="1" applyBorder="1" applyAlignment="1" applyProtection="1">
      <alignment vertical="center"/>
      <protection/>
    </xf>
    <xf numFmtId="0" fontId="18" fillId="34" borderId="22" xfId="0" applyFont="1" applyFill="1" applyBorder="1" applyAlignment="1" applyProtection="1">
      <alignment vertical="center"/>
      <protection locked="0"/>
    </xf>
    <xf numFmtId="0" fontId="18" fillId="37" borderId="12"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37" fontId="8" fillId="34" borderId="20" xfId="0" applyNumberFormat="1" applyFont="1" applyFill="1" applyBorder="1" applyAlignment="1" applyProtection="1">
      <alignment horizontal="center" vertical="center"/>
      <protection/>
    </xf>
    <xf numFmtId="1" fontId="8" fillId="34" borderId="20"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37" fontId="18" fillId="34" borderId="11" xfId="84" applyNumberFormat="1" applyFont="1" applyFill="1" applyBorder="1" applyAlignment="1" applyProtection="1">
      <alignment horizontal="center" vertical="center"/>
      <protection/>
    </xf>
    <xf numFmtId="37" fontId="18" fillId="34" borderId="10" xfId="84" applyNumberFormat="1" applyFont="1" applyFill="1" applyBorder="1" applyAlignment="1" applyProtection="1">
      <alignment horizontal="center" vertical="center"/>
      <protection/>
    </xf>
    <xf numFmtId="0" fontId="25" fillId="34" borderId="12" xfId="0" applyFont="1" applyFill="1" applyBorder="1" applyAlignment="1" applyProtection="1">
      <alignment horizontal="center" vertical="center"/>
      <protection/>
    </xf>
    <xf numFmtId="3" fontId="25" fillId="34" borderId="12" xfId="0" applyNumberFormat="1" applyFont="1" applyFill="1" applyBorder="1" applyAlignment="1" applyProtection="1">
      <alignment horizontal="center" vertical="center"/>
      <protection/>
    </xf>
    <xf numFmtId="3" fontId="24" fillId="40" borderId="13" xfId="0" applyNumberFormat="1" applyFont="1" applyFill="1" applyBorder="1" applyAlignment="1" applyProtection="1">
      <alignment horizontal="center" vertical="center"/>
      <protection/>
    </xf>
    <xf numFmtId="0" fontId="5" fillId="34" borderId="17" xfId="0" applyFont="1" applyFill="1" applyBorder="1" applyAlignment="1" applyProtection="1">
      <alignment vertical="center"/>
      <protection/>
    </xf>
    <xf numFmtId="37" fontId="5" fillId="34" borderId="15"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9" xfId="0" applyNumberFormat="1" applyFont="1" applyFill="1" applyBorder="1" applyAlignment="1" applyProtection="1">
      <alignment vertical="center"/>
      <protection/>
    </xf>
    <xf numFmtId="0" fontId="34" fillId="0" borderId="0" xfId="0" applyFont="1" applyAlignment="1">
      <alignment vertical="center"/>
    </xf>
    <xf numFmtId="0" fontId="4" fillId="34" borderId="0" xfId="87" applyFont="1" applyFill="1" applyAlignment="1" applyProtection="1">
      <alignment horizontal="right" vertical="center"/>
      <protection/>
    </xf>
    <xf numFmtId="0" fontId="70" fillId="34" borderId="0" xfId="0" applyFont="1" applyFill="1" applyBorder="1" applyAlignment="1" applyProtection="1">
      <alignment horizontal="center" vertical="center"/>
      <protection/>
    </xf>
    <xf numFmtId="0" fontId="70"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fill" vertical="center"/>
      <protection/>
    </xf>
    <xf numFmtId="37" fontId="4" fillId="34" borderId="11" xfId="0" applyNumberFormat="1" applyFont="1" applyFill="1" applyBorder="1" applyAlignment="1" applyProtection="1">
      <alignment vertical="center"/>
      <protection/>
    </xf>
    <xf numFmtId="37" fontId="4" fillId="34" borderId="13" xfId="75" applyNumberFormat="1" applyFont="1" applyFill="1" applyBorder="1" applyAlignment="1" applyProtection="1">
      <alignment horizontal="center"/>
      <protection/>
    </xf>
    <xf numFmtId="37" fontId="4" fillId="34" borderId="11" xfId="75" applyNumberFormat="1" applyFont="1" applyFill="1" applyBorder="1" applyAlignment="1" applyProtection="1">
      <alignment horizontal="center"/>
      <protection/>
    </xf>
    <xf numFmtId="0" fontId="18" fillId="42" borderId="28" xfId="84" applyFont="1" applyFill="1" applyBorder="1" applyProtection="1">
      <alignment/>
      <protection/>
    </xf>
    <xf numFmtId="0" fontId="4" fillId="42" borderId="0" xfId="84" applyFont="1" applyFill="1" applyBorder="1" applyProtection="1">
      <alignment/>
      <protection/>
    </xf>
    <xf numFmtId="190" fontId="4" fillId="42" borderId="24" xfId="84" applyNumberFormat="1" applyFont="1" applyFill="1" applyBorder="1" applyAlignment="1" applyProtection="1">
      <alignment horizontal="center"/>
      <protection/>
    </xf>
    <xf numFmtId="0" fontId="4" fillId="42" borderId="27" xfId="84" applyFont="1" applyFill="1" applyBorder="1" applyProtection="1">
      <alignment/>
      <protection/>
    </xf>
    <xf numFmtId="0" fontId="4" fillId="42" borderId="15" xfId="84" applyFont="1" applyFill="1" applyBorder="1" applyProtection="1">
      <alignment/>
      <protection/>
    </xf>
    <xf numFmtId="190" fontId="4" fillId="43" borderId="17"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42" borderId="28" xfId="84" applyFont="1" applyFill="1" applyBorder="1" applyProtection="1">
      <alignment/>
      <protection/>
    </xf>
    <xf numFmtId="0" fontId="4" fillId="42" borderId="24" xfId="84" applyFont="1" applyFill="1" applyBorder="1" applyProtection="1">
      <alignment/>
      <protection/>
    </xf>
    <xf numFmtId="183" fontId="4" fillId="42" borderId="24" xfId="84" applyNumberFormat="1" applyFont="1" applyFill="1" applyBorder="1" applyAlignment="1" applyProtection="1">
      <alignment horizontal="center"/>
      <protection/>
    </xf>
    <xf numFmtId="0" fontId="4" fillId="43" borderId="28" xfId="84" applyFont="1" applyFill="1" applyBorder="1" applyProtection="1">
      <alignment/>
      <protection/>
    </xf>
    <xf numFmtId="0" fontId="4" fillId="43" borderId="0" xfId="84" applyFont="1" applyFill="1" applyBorder="1" applyProtection="1">
      <alignment/>
      <protection/>
    </xf>
    <xf numFmtId="0" fontId="4" fillId="43" borderId="27" xfId="84" applyFont="1" applyFill="1" applyBorder="1" applyProtection="1">
      <alignment/>
      <protection/>
    </xf>
    <xf numFmtId="0" fontId="4" fillId="43" borderId="15" xfId="84" applyFont="1" applyFill="1" applyBorder="1" applyProtection="1">
      <alignment/>
      <protection/>
    </xf>
    <xf numFmtId="0" fontId="4" fillId="0" borderId="0" xfId="84" applyFont="1" applyProtection="1">
      <alignment/>
      <protection/>
    </xf>
    <xf numFmtId="190" fontId="4" fillId="42" borderId="17" xfId="84" applyNumberFormat="1" applyFont="1" applyFill="1" applyBorder="1" applyAlignment="1" applyProtection="1">
      <alignment horizontal="center"/>
      <protection/>
    </xf>
    <xf numFmtId="184" fontId="4" fillId="41" borderId="24" xfId="84" applyNumberFormat="1" applyFont="1" applyFill="1" applyBorder="1" applyAlignment="1" applyProtection="1">
      <alignment horizontal="center"/>
      <protection locked="0"/>
    </xf>
    <xf numFmtId="37" fontId="4" fillId="44" borderId="14" xfId="0" applyNumberFormat="1" applyFont="1" applyFill="1" applyBorder="1" applyAlignment="1" applyProtection="1">
      <alignment vertical="center"/>
      <protection/>
    </xf>
    <xf numFmtId="1" fontId="8" fillId="34" borderId="13" xfId="0" applyNumberFormat="1" applyFont="1" applyFill="1" applyBorder="1" applyAlignment="1" applyProtection="1">
      <alignment horizontal="center" vertical="center"/>
      <protection/>
    </xf>
    <xf numFmtId="192" fontId="18" fillId="34" borderId="12" xfId="0" applyNumberFormat="1" applyFont="1" applyFill="1" applyBorder="1" applyAlignment="1" applyProtection="1">
      <alignment vertical="center"/>
      <protection/>
    </xf>
    <xf numFmtId="190" fontId="4" fillId="43" borderId="24" xfId="84" applyNumberFormat="1" applyFont="1" applyFill="1" applyBorder="1" applyAlignment="1" applyProtection="1">
      <alignment horizontal="center"/>
      <protection/>
    </xf>
    <xf numFmtId="0" fontId="4" fillId="43" borderId="27" xfId="0" applyFont="1" applyFill="1" applyBorder="1" applyAlignment="1">
      <alignment vertical="center"/>
    </xf>
    <xf numFmtId="0" fontId="4" fillId="43" borderId="15" xfId="0" applyFont="1" applyFill="1" applyBorder="1" applyAlignment="1">
      <alignment vertical="center"/>
    </xf>
    <xf numFmtId="190" fontId="4" fillId="43" borderId="17" xfId="0" applyNumberFormat="1" applyFont="1" applyFill="1" applyBorder="1" applyAlignment="1">
      <alignment horizontal="center" vertical="center"/>
    </xf>
    <xf numFmtId="3" fontId="22" fillId="33" borderId="12" xfId="0" applyNumberFormat="1" applyFont="1" applyFill="1" applyBorder="1" applyAlignment="1" applyProtection="1">
      <alignment horizontal="right" vertical="center"/>
      <protection locked="0"/>
    </xf>
    <xf numFmtId="3" fontId="22" fillId="34" borderId="0" xfId="0" applyNumberFormat="1" applyFont="1" applyFill="1" applyAlignment="1">
      <alignment horizontal="right" vertical="center"/>
    </xf>
    <xf numFmtId="3" fontId="22" fillId="34" borderId="12" xfId="0" applyNumberFormat="1" applyFont="1" applyFill="1" applyBorder="1" applyAlignment="1">
      <alignment horizontal="right" vertical="center"/>
    </xf>
    <xf numFmtId="3" fontId="22" fillId="35" borderId="12" xfId="0" applyNumberFormat="1" applyFont="1" applyFill="1" applyBorder="1" applyAlignment="1">
      <alignment horizontal="right" vertical="center"/>
    </xf>
    <xf numFmtId="3" fontId="4" fillId="34" borderId="0" xfId="0" applyNumberFormat="1" applyFont="1" applyFill="1" applyAlignment="1">
      <alignment horizontal="right" vertical="center"/>
    </xf>
    <xf numFmtId="3" fontId="22" fillId="35" borderId="11" xfId="0" applyNumberFormat="1" applyFont="1" applyFill="1" applyBorder="1" applyAlignment="1">
      <alignment horizontal="right" vertical="center"/>
    </xf>
    <xf numFmtId="3" fontId="27" fillId="39" borderId="12" xfId="0" applyNumberFormat="1" applyFont="1" applyFill="1" applyBorder="1" applyAlignment="1">
      <alignment horizontal="right" vertical="center"/>
    </xf>
    <xf numFmtId="0" fontId="4" fillId="34" borderId="15" xfId="0" applyFont="1" applyFill="1" applyBorder="1" applyAlignment="1">
      <alignment vertical="center" wrapText="1"/>
    </xf>
    <xf numFmtId="0" fontId="4" fillId="33" borderId="0" xfId="0" applyFont="1" applyFill="1" applyBorder="1" applyAlignment="1" applyProtection="1">
      <alignment horizontal="left" vertical="center"/>
      <protection locked="0"/>
    </xf>
    <xf numFmtId="37" fontId="4" fillId="33" borderId="13" xfId="0" applyNumberFormat="1" applyFont="1" applyFill="1" applyBorder="1" applyAlignment="1" applyProtection="1">
      <alignment vertical="center"/>
      <protection locked="0"/>
    </xf>
    <xf numFmtId="41" fontId="4" fillId="33" borderId="11" xfId="42" applyNumberFormat="1" applyFont="1" applyFill="1" applyBorder="1" applyAlignment="1" applyProtection="1">
      <alignment vertical="center"/>
      <protection locked="0"/>
    </xf>
    <xf numFmtId="41" fontId="4" fillId="33" borderId="12" xfId="42" applyNumberFormat="1" applyFont="1" applyFill="1" applyBorder="1" applyAlignment="1" applyProtection="1">
      <alignment vertical="center"/>
      <protection locked="0"/>
    </xf>
    <xf numFmtId="41" fontId="4" fillId="35" borderId="12" xfId="0" applyNumberFormat="1" applyFont="1" applyFill="1" applyBorder="1" applyAlignment="1" applyProtection="1">
      <alignment vertical="center"/>
      <protection/>
    </xf>
    <xf numFmtId="41" fontId="4" fillId="34" borderId="12" xfId="0" applyNumberFormat="1" applyFont="1" applyFill="1" applyBorder="1" applyAlignment="1" applyProtection="1">
      <alignment vertical="center"/>
      <protection locked="0"/>
    </xf>
    <xf numFmtId="41" fontId="4" fillId="33" borderId="12" xfId="0" applyNumberFormat="1" applyFont="1" applyFill="1" applyBorder="1" applyAlignment="1" applyProtection="1">
      <alignment vertical="center"/>
      <protection locked="0"/>
    </xf>
    <xf numFmtId="10" fontId="4" fillId="34" borderId="0" xfId="0" applyNumberFormat="1" applyFont="1" applyFill="1" applyAlignment="1">
      <alignment horizontal="center" vertical="center"/>
    </xf>
    <xf numFmtId="37" fontId="4" fillId="37" borderId="0" xfId="0" applyNumberFormat="1" applyFont="1" applyFill="1" applyAlignment="1" applyProtection="1">
      <alignment horizontal="center" vertical="center" wrapText="1"/>
      <protection/>
    </xf>
    <xf numFmtId="0" fontId="0" fillId="37" borderId="15"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4" fillId="37"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4" fillId="34" borderId="0" xfId="0" applyFont="1" applyFill="1" applyBorder="1" applyAlignment="1">
      <alignment vertical="center"/>
    </xf>
    <xf numFmtId="0" fontId="29" fillId="0" borderId="0" xfId="0" applyFont="1" applyAlignment="1">
      <alignment vertical="center"/>
    </xf>
    <xf numFmtId="0" fontId="4" fillId="0" borderId="0" xfId="380" applyFont="1" applyAlignment="1">
      <alignment horizontal="left" vertical="center" wrapText="1"/>
      <protection/>
    </xf>
    <xf numFmtId="0" fontId="12" fillId="0" borderId="0" xfId="380" applyFont="1" applyAlignment="1">
      <alignment horizontal="left" vertical="center" wrapText="1"/>
      <protection/>
    </xf>
    <xf numFmtId="0" fontId="23" fillId="0" borderId="0" xfId="38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3" xfId="0" applyNumberFormat="1" applyFont="1" applyFill="1" applyBorder="1" applyAlignment="1" applyProtection="1">
      <alignment horizontal="center" vertical="center" wrapText="1"/>
      <protection/>
    </xf>
    <xf numFmtId="0" fontId="20" fillId="0" borderId="11"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9" xfId="0" applyNumberFormat="1" applyFont="1" applyFill="1" applyBorder="1" applyAlignment="1" applyProtection="1">
      <alignment horizontal="fill" vertical="center"/>
      <protection/>
    </xf>
    <xf numFmtId="0" fontId="0" fillId="0" borderId="16" xfId="0" applyBorder="1" applyAlignment="1">
      <alignment vertical="center"/>
    </xf>
    <xf numFmtId="0" fontId="18" fillId="34" borderId="0" xfId="0" applyFont="1" applyFill="1" applyAlignment="1" applyProtection="1">
      <alignment horizontal="center" vertical="center"/>
      <protection/>
    </xf>
    <xf numFmtId="0" fontId="18" fillId="37" borderId="13" xfId="0" applyFont="1" applyFill="1" applyBorder="1" applyAlignment="1" applyProtection="1">
      <alignment horizontal="center" vertical="center" wrapText="1"/>
      <protection/>
    </xf>
    <xf numFmtId="0" fontId="0" fillId="0" borderId="11" xfId="0" applyBorder="1" applyAlignment="1">
      <alignment vertical="center" wrapText="1"/>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3" xfId="0" applyNumberFormat="1" applyFont="1" applyFill="1" applyBorder="1" applyAlignment="1" applyProtection="1">
      <alignment horizontal="center" wrapText="1"/>
      <protection/>
    </xf>
    <xf numFmtId="0" fontId="0" fillId="0" borderId="11" xfId="0" applyBorder="1" applyAlignment="1">
      <alignment horizontal="center" wrapText="1"/>
    </xf>
    <xf numFmtId="37" fontId="5" fillId="34" borderId="0" xfId="0" applyNumberFormat="1" applyFont="1" applyFill="1" applyAlignment="1" applyProtection="1">
      <alignment horizontal="center"/>
      <protection/>
    </xf>
    <xf numFmtId="0" fontId="0" fillId="0" borderId="0" xfId="0" applyAlignment="1">
      <alignment/>
    </xf>
    <xf numFmtId="37" fontId="4" fillId="34" borderId="19" xfId="0" applyNumberFormat="1" applyFont="1" applyFill="1" applyBorder="1" applyAlignment="1" applyProtection="1">
      <alignment horizontal="center"/>
      <protection/>
    </xf>
    <xf numFmtId="0" fontId="0" fillId="0" borderId="18" xfId="0" applyBorder="1" applyAlignment="1">
      <alignment horizontal="center"/>
    </xf>
    <xf numFmtId="0" fontId="0" fillId="0" borderId="16" xfId="0" applyBorder="1" applyAlignment="1">
      <alignment horizontal="center"/>
    </xf>
    <xf numFmtId="0" fontId="4" fillId="34" borderId="27"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3" fontId="4" fillId="34"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4"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7" fontId="4" fillId="34" borderId="0" xfId="0" applyNumberFormat="1" applyFont="1" applyFill="1" applyAlignment="1" applyProtection="1">
      <alignment horizontal="center" vertical="center"/>
      <protection/>
    </xf>
    <xf numFmtId="0" fontId="4" fillId="34" borderId="19"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9" xfId="0" applyFont="1" applyFill="1" applyBorder="1" applyAlignment="1">
      <alignment horizontal="center" vertical="center"/>
    </xf>
    <xf numFmtId="0" fontId="4" fillId="34" borderId="16" xfId="0" applyFont="1" applyFill="1" applyBorder="1" applyAlignment="1">
      <alignment horizontal="center" vertical="center"/>
    </xf>
    <xf numFmtId="37" fontId="4" fillId="34" borderId="15" xfId="0" applyNumberFormat="1" applyFont="1" applyFill="1" applyBorder="1" applyAlignment="1" applyProtection="1">
      <alignment horizontal="fill" vertical="center"/>
      <protection locked="0"/>
    </xf>
    <xf numFmtId="37" fontId="4" fillId="34" borderId="13" xfId="0" applyNumberFormat="1" applyFont="1" applyFill="1" applyBorder="1" applyAlignment="1" applyProtection="1">
      <alignment horizontal="center" vertical="center" wrapText="1"/>
      <protection/>
    </xf>
    <xf numFmtId="0" fontId="23" fillId="42" borderId="20" xfId="84" applyFont="1" applyFill="1" applyBorder="1" applyAlignment="1" applyProtection="1">
      <alignment horizontal="center"/>
      <protection/>
    </xf>
    <xf numFmtId="0" fontId="0" fillId="0" borderId="22" xfId="0" applyBorder="1" applyAlignment="1">
      <alignment horizontal="center"/>
    </xf>
    <xf numFmtId="0" fontId="0" fillId="0" borderId="21" xfId="0" applyBorder="1" applyAlignment="1">
      <alignment horizontal="center"/>
    </xf>
    <xf numFmtId="0" fontId="23" fillId="42" borderId="22" xfId="84" applyFont="1" applyFill="1" applyBorder="1" applyAlignment="1" applyProtection="1">
      <alignment horizontal="center"/>
      <protection/>
    </xf>
    <xf numFmtId="0" fontId="23" fillId="42" borderId="21" xfId="84" applyFont="1" applyFill="1" applyBorder="1" applyAlignment="1" applyProtection="1">
      <alignment horizontal="center"/>
      <protection/>
    </xf>
    <xf numFmtId="37" fontId="23" fillId="34" borderId="0" xfId="0" applyNumberFormat="1"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cellXfs>
  <cellStyles count="3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2" xfId="344"/>
    <cellStyle name="Normal 22 2" xfId="345"/>
    <cellStyle name="Normal 22 3" xfId="346"/>
    <cellStyle name="Normal 23" xfId="347"/>
    <cellStyle name="Normal 23 2" xfId="348"/>
    <cellStyle name="Normal 23 3" xfId="349"/>
    <cellStyle name="Normal 24" xfId="350"/>
    <cellStyle name="Normal 24 2" xfId="351"/>
    <cellStyle name="Normal 24 3" xfId="352"/>
    <cellStyle name="Normal 25" xfId="353"/>
    <cellStyle name="Normal 25 2" xfId="354"/>
    <cellStyle name="Normal 25 3" xfId="355"/>
    <cellStyle name="Normal 3" xfId="356"/>
    <cellStyle name="Normal 3 2" xfId="357"/>
    <cellStyle name="Normal 3 3" xfId="358"/>
    <cellStyle name="Normal 3 3 2" xfId="359"/>
    <cellStyle name="Normal 3 3 3" xfId="360"/>
    <cellStyle name="Normal 3 4" xfId="361"/>
    <cellStyle name="Normal 3 5" xfId="362"/>
    <cellStyle name="Normal 3 6" xfId="363"/>
    <cellStyle name="Normal 3 7" xfId="364"/>
    <cellStyle name="Normal 4" xfId="365"/>
    <cellStyle name="Normal 4 2" xfId="366"/>
    <cellStyle name="Normal 4 3" xfId="367"/>
    <cellStyle name="Normal 4 3 2" xfId="368"/>
    <cellStyle name="Normal 4 3 3" xfId="369"/>
    <cellStyle name="Normal 4 4" xfId="370"/>
    <cellStyle name="Normal 4 5" xfId="371"/>
    <cellStyle name="Normal 5" xfId="372"/>
    <cellStyle name="Normal 5 2" xfId="373"/>
    <cellStyle name="Normal 5 3" xfId="374"/>
    <cellStyle name="Normal 6" xfId="375"/>
    <cellStyle name="Normal 6 2" xfId="376"/>
    <cellStyle name="Normal 6 3" xfId="377"/>
    <cellStyle name="Normal 6 4" xfId="378"/>
    <cellStyle name="Normal 6 5" xfId="379"/>
    <cellStyle name="Normal 7" xfId="380"/>
    <cellStyle name="Normal 7 2" xfId="381"/>
    <cellStyle name="Normal 7 2 2" xfId="382"/>
    <cellStyle name="Normal 7 2 2 2" xfId="383"/>
    <cellStyle name="Normal 7 2 3" xfId="384"/>
    <cellStyle name="Normal 7 2 4" xfId="385"/>
    <cellStyle name="Normal 7 3" xfId="386"/>
    <cellStyle name="Normal 7 4" xfId="387"/>
    <cellStyle name="Normal 7 5" xfId="388"/>
    <cellStyle name="Normal 7 5 2" xfId="389"/>
    <cellStyle name="Normal 7 5 3" xfId="390"/>
    <cellStyle name="Normal 7 6" xfId="391"/>
    <cellStyle name="Normal 8" xfId="392"/>
    <cellStyle name="Normal 8 2" xfId="393"/>
    <cellStyle name="Normal 9" xfId="394"/>
    <cellStyle name="Normal 9 2" xfId="395"/>
    <cellStyle name="Normal 9 2 2" xfId="396"/>
    <cellStyle name="Normal 9 3" xfId="397"/>
    <cellStyle name="Normal 9 4" xfId="398"/>
    <cellStyle name="Normal 9 5" xfId="399"/>
    <cellStyle name="Normal_debt" xfId="400"/>
    <cellStyle name="Normal_lpform" xfId="401"/>
    <cellStyle name="Normal_Township 07" xfId="402"/>
    <cellStyle name="Note" xfId="403"/>
    <cellStyle name="Output" xfId="404"/>
    <cellStyle name="Percent" xfId="405"/>
    <cellStyle name="Title" xfId="406"/>
    <cellStyle name="Total" xfId="407"/>
    <cellStyle name="Warning Text" xfId="408"/>
  </cellStyles>
  <dxfs count="14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25"/>
  <sheetViews>
    <sheetView zoomScalePageLayoutView="0" workbookViewId="0" topLeftCell="A1">
      <selection activeCell="A1" sqref="A1:F1"/>
    </sheetView>
  </sheetViews>
  <sheetFormatPr defaultColWidth="8.796875" defaultRowHeight="15"/>
  <cols>
    <col min="1" max="1" width="15.796875" style="55" customWidth="1"/>
    <col min="2" max="2" width="20.796875" style="55" customWidth="1"/>
    <col min="3" max="3" width="8.796875" style="55" customWidth="1"/>
    <col min="4" max="5" width="13.296875" style="55" customWidth="1"/>
    <col min="6" max="6" width="10.796875" style="55" customWidth="1"/>
    <col min="7" max="16384" width="8.8984375" style="55" customWidth="1"/>
  </cols>
  <sheetData>
    <row r="1" spans="1:6" ht="15.75">
      <c r="A1" s="460" t="s">
        <v>244</v>
      </c>
      <c r="B1" s="461"/>
      <c r="C1" s="461"/>
      <c r="D1" s="461"/>
      <c r="E1" s="461"/>
      <c r="F1" s="461"/>
    </row>
    <row r="2" spans="1:6" ht="15.75">
      <c r="A2" s="58" t="s">
        <v>245</v>
      </c>
      <c r="B2" s="59"/>
      <c r="C2" s="373" t="s">
        <v>307</v>
      </c>
      <c r="D2" s="60"/>
      <c r="E2" s="61"/>
      <c r="F2" s="62"/>
    </row>
    <row r="3" spans="1:6" ht="15.75">
      <c r="A3" s="58"/>
      <c r="B3" s="59"/>
      <c r="C3" s="59"/>
      <c r="D3" s="59"/>
      <c r="E3" s="63"/>
      <c r="F3" s="62"/>
    </row>
    <row r="4" spans="1:6" ht="15.75">
      <c r="A4" s="58" t="s">
        <v>246</v>
      </c>
      <c r="B4" s="59"/>
      <c r="C4" s="64">
        <v>2012</v>
      </c>
      <c r="D4" s="65"/>
      <c r="E4" s="63"/>
      <c r="F4" s="62"/>
    </row>
    <row r="5" spans="1:6" ht="15.75">
      <c r="A5" s="59"/>
      <c r="B5" s="59"/>
      <c r="C5" s="59"/>
      <c r="D5" s="59"/>
      <c r="E5" s="59"/>
      <c r="F5" s="59"/>
    </row>
    <row r="6" spans="1:6" ht="18.75" customHeight="1">
      <c r="A6" s="66" t="s">
        <v>293</v>
      </c>
      <c r="B6" s="67"/>
      <c r="C6" s="67"/>
      <c r="D6" s="67"/>
      <c r="E6" s="67"/>
      <c r="F6" s="67"/>
    </row>
    <row r="7" spans="1:6" ht="15.75">
      <c r="A7" s="66" t="s">
        <v>292</v>
      </c>
      <c r="B7" s="67"/>
      <c r="C7" s="67"/>
      <c r="D7" s="67"/>
      <c r="E7" s="67"/>
      <c r="F7" s="67"/>
    </row>
    <row r="8" spans="1:6" ht="15.75">
      <c r="A8" s="66"/>
      <c r="B8" s="67"/>
      <c r="C8" s="67"/>
      <c r="D8" s="67"/>
      <c r="E8" s="67"/>
      <c r="F8" s="67"/>
    </row>
    <row r="9" spans="1:6" ht="15.75">
      <c r="A9" s="458" t="s">
        <v>30</v>
      </c>
      <c r="B9" s="459"/>
      <c r="C9" s="459"/>
      <c r="D9" s="459"/>
      <c r="E9" s="459"/>
      <c r="F9" s="459"/>
    </row>
    <row r="10" spans="1:6" ht="15.75">
      <c r="A10" s="59"/>
      <c r="B10" s="59"/>
      <c r="C10" s="59"/>
      <c r="D10" s="59"/>
      <c r="E10" s="59"/>
      <c r="F10" s="59"/>
    </row>
    <row r="11" spans="1:6" ht="15.75">
      <c r="A11" s="68" t="str">
        <f>CONCATENATE("The input for the following comes directly from the ",C4-1," Budget:")</f>
        <v>The input for the following comes directly from the 2011 Budget:</v>
      </c>
      <c r="B11" s="69"/>
      <c r="C11" s="69"/>
      <c r="D11" s="69"/>
      <c r="E11" s="59"/>
      <c r="F11" s="59"/>
    </row>
    <row r="12" spans="1:6" ht="15.75">
      <c r="A12" s="70" t="s">
        <v>247</v>
      </c>
      <c r="B12" s="69"/>
      <c r="C12" s="69"/>
      <c r="D12" s="69"/>
      <c r="E12" s="59"/>
      <c r="F12" s="59"/>
    </row>
    <row r="13" spans="1:6" ht="15.75">
      <c r="A13" s="70" t="s">
        <v>271</v>
      </c>
      <c r="B13" s="69"/>
      <c r="C13" s="69"/>
      <c r="D13" s="69"/>
      <c r="E13" s="59"/>
      <c r="F13" s="59"/>
    </row>
    <row r="14" spans="1:6" ht="15.75">
      <c r="A14" s="59"/>
      <c r="B14" s="59"/>
      <c r="C14" s="71"/>
      <c r="D14" s="72">
        <f>C4-1</f>
        <v>2011</v>
      </c>
      <c r="E14" s="73" t="str">
        <f>CONCATENATE("",C4-2,"")</f>
        <v>2010</v>
      </c>
      <c r="F14" s="74">
        <f>C4-2</f>
        <v>2010</v>
      </c>
    </row>
    <row r="15" spans="1:6" ht="15.75">
      <c r="A15" s="58" t="s">
        <v>248</v>
      </c>
      <c r="B15" s="59"/>
      <c r="C15" s="75" t="s">
        <v>48</v>
      </c>
      <c r="D15" s="76" t="s">
        <v>270</v>
      </c>
      <c r="E15" s="76" t="s">
        <v>46</v>
      </c>
      <c r="F15" s="76" t="s">
        <v>40</v>
      </c>
    </row>
    <row r="16" spans="1:6" ht="15.75">
      <c r="A16" s="59"/>
      <c r="B16" s="77" t="s">
        <v>49</v>
      </c>
      <c r="C16" s="223" t="s">
        <v>207</v>
      </c>
      <c r="D16" s="79">
        <v>1908179</v>
      </c>
      <c r="E16" s="80">
        <v>1235707</v>
      </c>
      <c r="F16" s="81">
        <v>28.422</v>
      </c>
    </row>
    <row r="17" spans="1:6" ht="15.75">
      <c r="A17" s="59"/>
      <c r="B17" s="77" t="s">
        <v>101</v>
      </c>
      <c r="C17" s="223" t="s">
        <v>249</v>
      </c>
      <c r="D17" s="79"/>
      <c r="E17" s="80"/>
      <c r="F17" s="81"/>
    </row>
    <row r="18" spans="1:6" ht="15.75">
      <c r="A18" s="58"/>
      <c r="B18" s="82" t="s">
        <v>109</v>
      </c>
      <c r="C18" s="222" t="s">
        <v>207</v>
      </c>
      <c r="D18" s="79">
        <v>1092200</v>
      </c>
      <c r="E18" s="79">
        <v>762719</v>
      </c>
      <c r="F18" s="83">
        <v>17.543</v>
      </c>
    </row>
    <row r="19" spans="1:6" ht="15.75">
      <c r="A19" s="59"/>
      <c r="B19" s="84" t="s">
        <v>308</v>
      </c>
      <c r="C19" s="383" t="s">
        <v>311</v>
      </c>
      <c r="D19" s="79">
        <v>82315</v>
      </c>
      <c r="E19" s="86">
        <v>65442</v>
      </c>
      <c r="F19" s="81">
        <v>1.505</v>
      </c>
    </row>
    <row r="20" spans="1:6" ht="15.75">
      <c r="A20" s="59"/>
      <c r="B20" s="84" t="s">
        <v>104</v>
      </c>
      <c r="C20" s="383" t="s">
        <v>312</v>
      </c>
      <c r="D20" s="79">
        <v>838000</v>
      </c>
      <c r="E20" s="86">
        <v>692769</v>
      </c>
      <c r="F20" s="81">
        <v>15.934</v>
      </c>
    </row>
    <row r="21" spans="1:6" ht="15.75">
      <c r="A21" s="59"/>
      <c r="B21" s="84" t="s">
        <v>309</v>
      </c>
      <c r="C21" s="383" t="s">
        <v>313</v>
      </c>
      <c r="D21" s="79">
        <v>177425</v>
      </c>
      <c r="E21" s="86">
        <v>129231</v>
      </c>
      <c r="F21" s="81">
        <v>2.972</v>
      </c>
    </row>
    <row r="22" spans="1:6" ht="15.75">
      <c r="A22" s="59"/>
      <c r="B22" s="84" t="s">
        <v>310</v>
      </c>
      <c r="C22" s="383" t="s">
        <v>314</v>
      </c>
      <c r="D22" s="79">
        <v>230232</v>
      </c>
      <c r="E22" s="86">
        <v>215231</v>
      </c>
      <c r="F22" s="81">
        <v>4.95</v>
      </c>
    </row>
    <row r="23" spans="1:6" ht="15.75">
      <c r="A23" s="59"/>
      <c r="B23" s="84"/>
      <c r="C23" s="383"/>
      <c r="D23" s="79"/>
      <c r="E23" s="86"/>
      <c r="F23" s="81"/>
    </row>
    <row r="24" spans="1:6" ht="15.75">
      <c r="A24" s="59"/>
      <c r="B24" s="84"/>
      <c r="C24" s="383"/>
      <c r="D24" s="79"/>
      <c r="E24" s="86"/>
      <c r="F24" s="81"/>
    </row>
    <row r="25" spans="1:6" ht="15.75">
      <c r="A25" s="59"/>
      <c r="B25" s="84"/>
      <c r="C25" s="383"/>
      <c r="D25" s="79"/>
      <c r="E25" s="86"/>
      <c r="F25" s="81"/>
    </row>
    <row r="26" spans="1:6" ht="15.75">
      <c r="A26" s="59"/>
      <c r="B26" s="84"/>
      <c r="C26" s="383"/>
      <c r="D26" s="79"/>
      <c r="E26" s="86"/>
      <c r="F26" s="81"/>
    </row>
    <row r="27" spans="1:6" ht="15.75">
      <c r="A27" s="59"/>
      <c r="B27" s="84"/>
      <c r="C27" s="383"/>
      <c r="D27" s="79"/>
      <c r="E27" s="86"/>
      <c r="F27" s="81"/>
    </row>
    <row r="28" spans="1:6" ht="15.75">
      <c r="A28" s="59"/>
      <c r="B28" s="84"/>
      <c r="C28" s="383"/>
      <c r="D28" s="79"/>
      <c r="E28" s="86"/>
      <c r="F28" s="81"/>
    </row>
    <row r="29" spans="1:6" ht="15.75">
      <c r="A29" s="59"/>
      <c r="B29" s="84"/>
      <c r="C29" s="383"/>
      <c r="D29" s="79"/>
      <c r="E29" s="86"/>
      <c r="F29" s="81"/>
    </row>
    <row r="30" spans="1:6" ht="15.75">
      <c r="A30" s="59"/>
      <c r="B30" s="84"/>
      <c r="C30" s="383"/>
      <c r="D30" s="79"/>
      <c r="E30" s="86"/>
      <c r="F30" s="81"/>
    </row>
    <row r="31" spans="1:6" ht="15.75">
      <c r="A31" s="59"/>
      <c r="B31" s="84"/>
      <c r="C31" s="383"/>
      <c r="D31" s="79"/>
      <c r="E31" s="86"/>
      <c r="F31" s="81"/>
    </row>
    <row r="32" spans="1:6" ht="15.75">
      <c r="A32" s="59"/>
      <c r="B32" s="84"/>
      <c r="C32" s="383"/>
      <c r="D32" s="79"/>
      <c r="E32" s="86"/>
      <c r="F32" s="81"/>
    </row>
    <row r="33" spans="1:6" ht="15.75">
      <c r="A33" s="59"/>
      <c r="B33" s="84"/>
      <c r="C33" s="383"/>
      <c r="D33" s="79"/>
      <c r="E33" s="86"/>
      <c r="F33" s="81"/>
    </row>
    <row r="34" spans="1:6" ht="15.75">
      <c r="A34" s="59"/>
      <c r="B34" s="84"/>
      <c r="C34" s="383"/>
      <c r="D34" s="79"/>
      <c r="E34" s="86"/>
      <c r="F34" s="81"/>
    </row>
    <row r="35" spans="1:6" ht="15.75">
      <c r="A35" s="59"/>
      <c r="B35" s="84"/>
      <c r="C35" s="383"/>
      <c r="D35" s="79"/>
      <c r="E35" s="86"/>
      <c r="F35" s="81"/>
    </row>
    <row r="36" spans="1:6" ht="15.75">
      <c r="A36" s="59"/>
      <c r="B36" s="84"/>
      <c r="C36" s="383"/>
      <c r="D36" s="79"/>
      <c r="E36" s="86"/>
      <c r="F36" s="81"/>
    </row>
    <row r="37" spans="1:6" ht="15.75">
      <c r="A37" s="59"/>
      <c r="B37" s="84"/>
      <c r="C37" s="383"/>
      <c r="D37" s="79"/>
      <c r="E37" s="86"/>
      <c r="F37" s="81"/>
    </row>
    <row r="38" spans="1:6" ht="15.75">
      <c r="A38" s="59"/>
      <c r="B38" s="84"/>
      <c r="C38" s="383"/>
      <c r="D38" s="79"/>
      <c r="E38" s="86"/>
      <c r="F38" s="81"/>
    </row>
    <row r="39" spans="1:6" ht="15.75">
      <c r="A39" s="59"/>
      <c r="B39" s="84"/>
      <c r="C39" s="383"/>
      <c r="D39" s="79"/>
      <c r="E39" s="86"/>
      <c r="F39" s="81"/>
    </row>
    <row r="40" spans="1:6" ht="15.75">
      <c r="A40" s="59"/>
      <c r="B40" s="84"/>
      <c r="C40" s="383"/>
      <c r="D40" s="79"/>
      <c r="E40" s="86"/>
      <c r="F40" s="81"/>
    </row>
    <row r="41" spans="1:6" ht="15.75">
      <c r="A41" s="87" t="str">
        <f>CONCATENATE("Total Tax Levy Funds Levy Amounts and Levy Rates for ",C4-1," Budget")</f>
        <v>Total Tax Levy Funds Levy Amounts and Levy Rates for 2011 Budget</v>
      </c>
      <c r="B41" s="88"/>
      <c r="C41" s="88"/>
      <c r="D41" s="89"/>
      <c r="E41" s="90">
        <f>SUM(E16:E40)</f>
        <v>3101099</v>
      </c>
      <c r="F41" s="91">
        <f>SUM(F16:F40)</f>
        <v>71.32600000000001</v>
      </c>
    </row>
    <row r="42" spans="1:6" ht="15.75">
      <c r="A42" s="58" t="s">
        <v>22</v>
      </c>
      <c r="B42" s="59"/>
      <c r="C42" s="59"/>
      <c r="D42" s="59"/>
      <c r="E42" s="59"/>
      <c r="F42" s="59"/>
    </row>
    <row r="43" spans="1:6" ht="15.75">
      <c r="A43" s="59"/>
      <c r="B43" s="81" t="s">
        <v>315</v>
      </c>
      <c r="C43" s="59"/>
      <c r="D43" s="79">
        <v>12000</v>
      </c>
      <c r="E43" s="59"/>
      <c r="F43" s="59"/>
    </row>
    <row r="44" spans="1:6" ht="15.75">
      <c r="A44" s="59"/>
      <c r="B44" s="81" t="s">
        <v>316</v>
      </c>
      <c r="C44" s="59"/>
      <c r="D44" s="79">
        <v>7000</v>
      </c>
      <c r="E44" s="59"/>
      <c r="F44" s="59"/>
    </row>
    <row r="45" spans="1:6" ht="15.75">
      <c r="A45" s="59"/>
      <c r="B45" s="81" t="s">
        <v>317</v>
      </c>
      <c r="C45" s="59"/>
      <c r="D45" s="79">
        <v>22196</v>
      </c>
      <c r="E45" s="59"/>
      <c r="F45" s="59"/>
    </row>
    <row r="46" spans="1:6" ht="15.75">
      <c r="A46" s="59"/>
      <c r="B46" s="81" t="s">
        <v>318</v>
      </c>
      <c r="C46" s="59"/>
      <c r="D46" s="79">
        <v>64000</v>
      </c>
      <c r="E46" s="59"/>
      <c r="F46" s="59"/>
    </row>
    <row r="47" spans="1:6" ht="15.75">
      <c r="A47" s="59"/>
      <c r="B47" s="81" t="s">
        <v>319</v>
      </c>
      <c r="C47" s="59"/>
      <c r="D47" s="79">
        <v>14500</v>
      </c>
      <c r="E47" s="59"/>
      <c r="F47" s="59"/>
    </row>
    <row r="48" spans="1:6" ht="15.75">
      <c r="A48" s="59"/>
      <c r="B48" s="81" t="s">
        <v>320</v>
      </c>
      <c r="C48" s="59"/>
      <c r="D48" s="79">
        <v>48000</v>
      </c>
      <c r="E48" s="59"/>
      <c r="F48" s="59"/>
    </row>
    <row r="49" spans="1:6" ht="15.75">
      <c r="A49" s="59"/>
      <c r="B49" s="81" t="s">
        <v>321</v>
      </c>
      <c r="C49" s="59"/>
      <c r="D49" s="79">
        <v>8992</v>
      </c>
      <c r="E49" s="59"/>
      <c r="F49" s="59"/>
    </row>
    <row r="50" spans="1:6" ht="15.75">
      <c r="A50" s="59"/>
      <c r="B50" s="81"/>
      <c r="C50" s="59"/>
      <c r="D50" s="79"/>
      <c r="E50" s="59"/>
      <c r="F50" s="59"/>
    </row>
    <row r="51" spans="1:6" ht="15.75">
      <c r="A51" s="59"/>
      <c r="B51" s="81"/>
      <c r="C51" s="59"/>
      <c r="D51" s="79"/>
      <c r="E51" s="59"/>
      <c r="F51" s="59"/>
    </row>
    <row r="52" spans="1:6" ht="15.75">
      <c r="A52" s="59"/>
      <c r="B52" s="81"/>
      <c r="C52" s="59"/>
      <c r="D52" s="79"/>
      <c r="E52" s="59"/>
      <c r="F52" s="59"/>
    </row>
    <row r="53" spans="1:6" ht="15.75">
      <c r="A53" s="59"/>
      <c r="B53" s="81"/>
      <c r="C53" s="59"/>
      <c r="D53" s="79"/>
      <c r="E53" s="59"/>
      <c r="F53" s="59"/>
    </row>
    <row r="54" spans="1:6" ht="15.75">
      <c r="A54" s="59"/>
      <c r="B54" s="81"/>
      <c r="C54" s="59"/>
      <c r="D54" s="79"/>
      <c r="E54" s="59"/>
      <c r="F54" s="59"/>
    </row>
    <row r="55" spans="1:6" ht="15.75">
      <c r="A55" s="59"/>
      <c r="B55" s="81"/>
      <c r="C55" s="59"/>
      <c r="D55" s="79"/>
      <c r="E55" s="59"/>
      <c r="F55" s="59"/>
    </row>
    <row r="56" spans="1:6" ht="15.75">
      <c r="A56" s="59"/>
      <c r="B56" s="81"/>
      <c r="C56" s="59"/>
      <c r="D56" s="79"/>
      <c r="E56" s="59"/>
      <c r="F56" s="59"/>
    </row>
    <row r="57" spans="1:6" ht="15.75">
      <c r="A57" s="59"/>
      <c r="B57" s="81"/>
      <c r="C57" s="59"/>
      <c r="D57" s="79"/>
      <c r="E57" s="59"/>
      <c r="F57" s="59"/>
    </row>
    <row r="58" spans="1:6" ht="15.75">
      <c r="A58" s="59"/>
      <c r="B58" s="81"/>
      <c r="C58" s="59"/>
      <c r="D58" s="79"/>
      <c r="E58" s="59"/>
      <c r="F58" s="59"/>
    </row>
    <row r="59" spans="1:6" ht="15.75">
      <c r="A59" s="87" t="str">
        <f>CONCATENATE("Total Expenditures for ",C4-1," Budgeted Year")</f>
        <v>Total Expenditures for 2011 Budgeted Year</v>
      </c>
      <c r="B59" s="92"/>
      <c r="C59" s="93"/>
      <c r="D59" s="94">
        <f>SUM(D16:D40,D43:D58)</f>
        <v>4505039</v>
      </c>
      <c r="E59" s="59"/>
      <c r="F59" s="59"/>
    </row>
    <row r="60" spans="1:6" ht="15.75">
      <c r="A60" s="95"/>
      <c r="B60" s="96"/>
      <c r="C60" s="59"/>
      <c r="D60" s="97"/>
      <c r="E60" s="59"/>
      <c r="F60" s="59"/>
    </row>
    <row r="61" spans="1:6" ht="15.75">
      <c r="A61" s="59" t="s">
        <v>9</v>
      </c>
      <c r="B61" s="96"/>
      <c r="C61" s="59"/>
      <c r="D61" s="59"/>
      <c r="E61" s="59"/>
      <c r="F61" s="59"/>
    </row>
    <row r="62" spans="1:6" ht="15.75">
      <c r="A62" s="59">
        <v>1</v>
      </c>
      <c r="B62" s="81" t="s">
        <v>102</v>
      </c>
      <c r="C62" s="59"/>
      <c r="D62" s="59"/>
      <c r="E62" s="59"/>
      <c r="F62" s="59"/>
    </row>
    <row r="63" spans="1:6" ht="15.75">
      <c r="A63" s="59">
        <v>2</v>
      </c>
      <c r="B63" s="81" t="s">
        <v>322</v>
      </c>
      <c r="C63" s="59"/>
      <c r="D63" s="59"/>
      <c r="E63" s="59"/>
      <c r="F63" s="59"/>
    </row>
    <row r="64" spans="1:6" ht="15.75">
      <c r="A64" s="59">
        <v>3</v>
      </c>
      <c r="B64" s="81" t="s">
        <v>323</v>
      </c>
      <c r="C64" s="59"/>
      <c r="D64" s="59"/>
      <c r="E64" s="59"/>
      <c r="F64" s="59"/>
    </row>
    <row r="65" spans="1:6" ht="15.75">
      <c r="A65" s="59">
        <v>4</v>
      </c>
      <c r="B65" s="81" t="s">
        <v>324</v>
      </c>
      <c r="C65" s="59"/>
      <c r="D65" s="59"/>
      <c r="E65" s="59"/>
      <c r="F65" s="59"/>
    </row>
    <row r="66" spans="1:6" ht="15.75">
      <c r="A66" s="59">
        <v>5</v>
      </c>
      <c r="B66" s="81" t="s">
        <v>325</v>
      </c>
      <c r="C66" s="59"/>
      <c r="D66" s="59"/>
      <c r="E66" s="59"/>
      <c r="F66" s="59"/>
    </row>
    <row r="67" spans="1:6" ht="15.75">
      <c r="A67" s="59" t="s">
        <v>18</v>
      </c>
      <c r="B67" s="96"/>
      <c r="C67" s="59"/>
      <c r="D67" s="59"/>
      <c r="E67" s="59"/>
      <c r="F67" s="59"/>
    </row>
    <row r="68" spans="1:6" ht="15.75">
      <c r="A68" s="59">
        <v>1</v>
      </c>
      <c r="B68" s="81" t="s">
        <v>326</v>
      </c>
      <c r="C68" s="59"/>
      <c r="D68" s="59"/>
      <c r="E68" s="59"/>
      <c r="F68" s="59"/>
    </row>
    <row r="69" spans="1:6" ht="15.75">
      <c r="A69" s="59">
        <v>2</v>
      </c>
      <c r="B69" s="81" t="s">
        <v>327</v>
      </c>
      <c r="C69" s="59"/>
      <c r="D69" s="59"/>
      <c r="E69" s="59"/>
      <c r="F69" s="59"/>
    </row>
    <row r="70" spans="1:6" ht="15.75">
      <c r="A70" s="59">
        <v>3</v>
      </c>
      <c r="B70" s="81" t="s">
        <v>328</v>
      </c>
      <c r="C70" s="59"/>
      <c r="D70" s="59"/>
      <c r="E70" s="59"/>
      <c r="F70" s="59"/>
    </row>
    <row r="71" spans="1:6" ht="15.75">
      <c r="A71" s="59">
        <v>4</v>
      </c>
      <c r="B71" s="81" t="s">
        <v>329</v>
      </c>
      <c r="C71" s="59"/>
      <c r="D71" s="59"/>
      <c r="E71" s="59"/>
      <c r="F71" s="59"/>
    </row>
    <row r="72" spans="1:6" ht="15.75">
      <c r="A72" s="59">
        <v>5</v>
      </c>
      <c r="B72" s="81" t="s">
        <v>330</v>
      </c>
      <c r="C72" s="59"/>
      <c r="D72" s="59"/>
      <c r="E72" s="59"/>
      <c r="F72" s="59"/>
    </row>
    <row r="73" spans="1:6" ht="15.75">
      <c r="A73" s="59" t="s">
        <v>20</v>
      </c>
      <c r="B73" s="96"/>
      <c r="C73" s="59"/>
      <c r="D73" s="59"/>
      <c r="E73" s="59"/>
      <c r="F73" s="59"/>
    </row>
    <row r="74" spans="1:6" ht="15.75">
      <c r="A74" s="59">
        <v>1</v>
      </c>
      <c r="B74" s="81" t="s">
        <v>331</v>
      </c>
      <c r="C74" s="59"/>
      <c r="D74" s="59"/>
      <c r="E74" s="59"/>
      <c r="F74" s="59"/>
    </row>
    <row r="75" spans="1:6" ht="15.75">
      <c r="A75" s="59">
        <v>2</v>
      </c>
      <c r="B75" s="81" t="s">
        <v>332</v>
      </c>
      <c r="C75" s="59"/>
      <c r="D75" s="59"/>
      <c r="E75" s="59"/>
      <c r="F75" s="59"/>
    </row>
    <row r="76" spans="1:6" ht="15.75">
      <c r="A76" s="59">
        <v>3</v>
      </c>
      <c r="B76" s="81" t="s">
        <v>333</v>
      </c>
      <c r="C76" s="59"/>
      <c r="D76" s="59"/>
      <c r="E76" s="59"/>
      <c r="F76" s="59"/>
    </row>
    <row r="77" spans="1:6" ht="15.75">
      <c r="A77" s="59">
        <v>4</v>
      </c>
      <c r="B77" s="81" t="s">
        <v>334</v>
      </c>
      <c r="C77" s="59"/>
      <c r="D77" s="59"/>
      <c r="E77" s="59"/>
      <c r="F77" s="59"/>
    </row>
    <row r="78" spans="1:6" ht="15.75">
      <c r="A78" s="59">
        <v>5</v>
      </c>
      <c r="B78" s="81" t="s">
        <v>335</v>
      </c>
      <c r="C78" s="59"/>
      <c r="D78" s="59"/>
      <c r="E78" s="59"/>
      <c r="F78" s="59"/>
    </row>
    <row r="79" spans="1:6" ht="15.75">
      <c r="A79" s="59" t="s">
        <v>21</v>
      </c>
      <c r="B79" s="96"/>
      <c r="C79" s="59"/>
      <c r="D79" s="59"/>
      <c r="E79" s="59"/>
      <c r="F79" s="59"/>
    </row>
    <row r="80" spans="1:6" ht="15.75">
      <c r="A80" s="59">
        <v>1</v>
      </c>
      <c r="B80" s="81"/>
      <c r="C80" s="59"/>
      <c r="D80" s="59"/>
      <c r="E80" s="59"/>
      <c r="F80" s="59"/>
    </row>
    <row r="81" spans="1:6" ht="15.75">
      <c r="A81" s="59">
        <v>2</v>
      </c>
      <c r="B81" s="81"/>
      <c r="C81" s="59"/>
      <c r="D81" s="59"/>
      <c r="E81" s="59"/>
      <c r="F81" s="59"/>
    </row>
    <row r="82" spans="1:6" ht="15.75">
      <c r="A82" s="59">
        <v>3</v>
      </c>
      <c r="B82" s="81"/>
      <c r="C82" s="59"/>
      <c r="D82" s="59"/>
      <c r="E82" s="59"/>
      <c r="F82" s="59"/>
    </row>
    <row r="83" spans="1:6" ht="15.75">
      <c r="A83" s="59">
        <v>4</v>
      </c>
      <c r="B83" s="81"/>
      <c r="C83" s="59"/>
      <c r="D83" s="59"/>
      <c r="E83" s="59"/>
      <c r="F83" s="59"/>
    </row>
    <row r="84" spans="1:6" ht="15.75">
      <c r="A84" s="59">
        <v>5</v>
      </c>
      <c r="B84" s="81"/>
      <c r="C84" s="59"/>
      <c r="D84" s="59"/>
      <c r="E84" s="59"/>
      <c r="F84" s="59"/>
    </row>
    <row r="85" spans="1:6" ht="15.75">
      <c r="A85" s="87" t="str">
        <f>CONCATENATE("County's Final Assessed Valuation for ",C4-1," (November 1,",C4-2," Abstract):")</f>
        <v>County's Final Assessed Valuation for 2011 (November 1,2010 Abstract):</v>
      </c>
      <c r="B85" s="88"/>
      <c r="C85" s="88"/>
      <c r="D85" s="88"/>
      <c r="E85" s="93"/>
      <c r="F85" s="86">
        <v>43477613</v>
      </c>
    </row>
    <row r="86" spans="1:6" ht="15.75">
      <c r="A86" s="58"/>
      <c r="B86" s="59"/>
      <c r="C86" s="59"/>
      <c r="D86" s="59"/>
      <c r="E86" s="59"/>
      <c r="F86" s="59"/>
    </row>
    <row r="87" spans="1:6" ht="15.75">
      <c r="A87" s="59"/>
      <c r="B87" s="59"/>
      <c r="C87" s="59"/>
      <c r="D87" s="59"/>
      <c r="E87" s="59"/>
      <c r="F87" s="59"/>
    </row>
    <row r="88" spans="1:6" ht="15.75">
      <c r="A88" s="98" t="str">
        <f>CONCATENATE("From the ",C4-1," Budget:")</f>
        <v>From the 2011 Budget:</v>
      </c>
      <c r="B88" s="69"/>
      <c r="C88" s="59"/>
      <c r="D88" s="456" t="str">
        <f>CONCATENATE("",C4-3," Tax Rate (",C4-2," Column)")</f>
        <v>2009 Tax Rate (2010 Column)</v>
      </c>
      <c r="E88" s="99"/>
      <c r="F88" s="59"/>
    </row>
    <row r="89" spans="1:6" ht="15.75">
      <c r="A89" s="98" t="s">
        <v>47</v>
      </c>
      <c r="B89" s="100"/>
      <c r="C89" s="59"/>
      <c r="D89" s="457"/>
      <c r="E89" s="99"/>
      <c r="F89" s="59"/>
    </row>
    <row r="90" spans="1:6" ht="15.75">
      <c r="A90" s="59"/>
      <c r="B90" s="101" t="str">
        <f>B16</f>
        <v>General</v>
      </c>
      <c r="C90" s="59"/>
      <c r="D90" s="81">
        <v>28.284</v>
      </c>
      <c r="E90" s="99"/>
      <c r="F90" s="59"/>
    </row>
    <row r="91" spans="1:6" ht="15.75">
      <c r="A91" s="59"/>
      <c r="B91" s="101" t="str">
        <f>B17</f>
        <v>Debt Service</v>
      </c>
      <c r="C91" s="59"/>
      <c r="D91" s="81"/>
      <c r="E91" s="99"/>
      <c r="F91" s="59"/>
    </row>
    <row r="92" spans="1:6" ht="15.75">
      <c r="A92" s="59"/>
      <c r="B92" s="101" t="str">
        <f>B18</f>
        <v>Road &amp; Bridge</v>
      </c>
      <c r="C92" s="59"/>
      <c r="D92" s="81">
        <v>15.215</v>
      </c>
      <c r="E92" s="99"/>
      <c r="F92" s="59"/>
    </row>
    <row r="93" spans="1:6" ht="15.75">
      <c r="A93" s="59"/>
      <c r="B93" s="101" t="str">
        <f aca="true" t="shared" si="0" ref="B93:B114">B19</f>
        <v>Noxious Weed</v>
      </c>
      <c r="C93" s="59"/>
      <c r="D93" s="81">
        <v>1.499</v>
      </c>
      <c r="E93" s="99"/>
      <c r="F93" s="59"/>
    </row>
    <row r="94" spans="1:6" ht="15.75">
      <c r="A94" s="59"/>
      <c r="B94" s="101" t="str">
        <f t="shared" si="0"/>
        <v>Employee Benefits</v>
      </c>
      <c r="C94" s="59"/>
      <c r="D94" s="81">
        <v>14.791</v>
      </c>
      <c r="E94" s="99"/>
      <c r="F94" s="59"/>
    </row>
    <row r="95" spans="1:6" ht="15.75">
      <c r="A95" s="59"/>
      <c r="B95" s="101" t="str">
        <f t="shared" si="0"/>
        <v>County Health</v>
      </c>
      <c r="C95" s="59"/>
      <c r="D95" s="81">
        <v>2.782</v>
      </c>
      <c r="E95" s="99"/>
      <c r="F95" s="59"/>
    </row>
    <row r="96" spans="1:6" ht="15.75">
      <c r="A96" s="59"/>
      <c r="B96" s="101" t="str">
        <f t="shared" si="0"/>
        <v>Hospital Maintenance</v>
      </c>
      <c r="C96" s="59"/>
      <c r="D96" s="81">
        <v>4.617</v>
      </c>
      <c r="E96" s="99"/>
      <c r="F96" s="59"/>
    </row>
    <row r="97" spans="1:6" ht="15.75">
      <c r="A97" s="59"/>
      <c r="B97" s="101">
        <f t="shared" si="0"/>
        <v>0</v>
      </c>
      <c r="C97" s="59"/>
      <c r="D97" s="81"/>
      <c r="E97" s="99"/>
      <c r="F97" s="59"/>
    </row>
    <row r="98" spans="1:6" ht="15.75">
      <c r="A98" s="59"/>
      <c r="B98" s="101">
        <f t="shared" si="0"/>
        <v>0</v>
      </c>
      <c r="C98" s="59"/>
      <c r="D98" s="81"/>
      <c r="E98" s="99"/>
      <c r="F98" s="59"/>
    </row>
    <row r="99" spans="1:6" ht="15.75">
      <c r="A99" s="59"/>
      <c r="B99" s="101">
        <f t="shared" si="0"/>
        <v>0</v>
      </c>
      <c r="C99" s="59"/>
      <c r="D99" s="81"/>
      <c r="E99" s="99"/>
      <c r="F99" s="59"/>
    </row>
    <row r="100" spans="1:6" ht="15.75">
      <c r="A100" s="59"/>
      <c r="B100" s="101">
        <f t="shared" si="0"/>
        <v>0</v>
      </c>
      <c r="C100" s="59"/>
      <c r="D100" s="81"/>
      <c r="E100" s="99"/>
      <c r="F100" s="59"/>
    </row>
    <row r="101" spans="1:6" ht="15.75">
      <c r="A101" s="59"/>
      <c r="B101" s="101">
        <f t="shared" si="0"/>
        <v>0</v>
      </c>
      <c r="C101" s="59"/>
      <c r="D101" s="81"/>
      <c r="E101" s="99"/>
      <c r="F101" s="59"/>
    </row>
    <row r="102" spans="1:6" ht="15.75">
      <c r="A102" s="59"/>
      <c r="B102" s="101">
        <f t="shared" si="0"/>
        <v>0</v>
      </c>
      <c r="C102" s="59"/>
      <c r="D102" s="81"/>
      <c r="E102" s="99"/>
      <c r="F102" s="59"/>
    </row>
    <row r="103" spans="1:6" ht="15.75">
      <c r="A103" s="59"/>
      <c r="B103" s="101">
        <f t="shared" si="0"/>
        <v>0</v>
      </c>
      <c r="C103" s="59"/>
      <c r="D103" s="81"/>
      <c r="E103" s="99"/>
      <c r="F103" s="59"/>
    </row>
    <row r="104" spans="1:6" ht="15.75">
      <c r="A104" s="59"/>
      <c r="B104" s="101">
        <f t="shared" si="0"/>
        <v>0</v>
      </c>
      <c r="C104" s="59"/>
      <c r="D104" s="81"/>
      <c r="E104" s="99"/>
      <c r="F104" s="59"/>
    </row>
    <row r="105" spans="1:6" ht="15.75">
      <c r="A105" s="59"/>
      <c r="B105" s="101">
        <f t="shared" si="0"/>
        <v>0</v>
      </c>
      <c r="C105" s="59"/>
      <c r="D105" s="81"/>
      <c r="E105" s="99"/>
      <c r="F105" s="59"/>
    </row>
    <row r="106" spans="1:6" ht="15.75">
      <c r="A106" s="59"/>
      <c r="B106" s="101">
        <f t="shared" si="0"/>
        <v>0</v>
      </c>
      <c r="C106" s="59"/>
      <c r="D106" s="81"/>
      <c r="E106" s="99"/>
      <c r="F106" s="59"/>
    </row>
    <row r="107" spans="1:6" ht="15.75">
      <c r="A107" s="59"/>
      <c r="B107" s="101">
        <f t="shared" si="0"/>
        <v>0</v>
      </c>
      <c r="C107" s="59"/>
      <c r="D107" s="81"/>
      <c r="E107" s="99"/>
      <c r="F107" s="59"/>
    </row>
    <row r="108" spans="1:6" ht="15.75">
      <c r="A108" s="59"/>
      <c r="B108" s="101">
        <f t="shared" si="0"/>
        <v>0</v>
      </c>
      <c r="C108" s="59"/>
      <c r="D108" s="81"/>
      <c r="E108" s="99"/>
      <c r="F108" s="59"/>
    </row>
    <row r="109" spans="1:6" ht="15.75">
      <c r="A109" s="59"/>
      <c r="B109" s="101">
        <f t="shared" si="0"/>
        <v>0</v>
      </c>
      <c r="C109" s="59"/>
      <c r="D109" s="81"/>
      <c r="E109" s="99"/>
      <c r="F109" s="59"/>
    </row>
    <row r="110" spans="1:6" ht="15.75">
      <c r="A110" s="59"/>
      <c r="B110" s="101">
        <f t="shared" si="0"/>
        <v>0</v>
      </c>
      <c r="C110" s="59"/>
      <c r="D110" s="81"/>
      <c r="E110" s="99"/>
      <c r="F110" s="59"/>
    </row>
    <row r="111" spans="1:6" ht="15.75">
      <c r="A111" s="59"/>
      <c r="B111" s="101">
        <f t="shared" si="0"/>
        <v>0</v>
      </c>
      <c r="C111" s="59"/>
      <c r="D111" s="81"/>
      <c r="E111" s="99"/>
      <c r="F111" s="59"/>
    </row>
    <row r="112" spans="1:6" ht="15.75">
      <c r="A112" s="59"/>
      <c r="B112" s="101">
        <f t="shared" si="0"/>
        <v>0</v>
      </c>
      <c r="C112" s="59"/>
      <c r="D112" s="81"/>
      <c r="E112" s="99"/>
      <c r="F112" s="59"/>
    </row>
    <row r="113" spans="1:6" ht="15.75">
      <c r="A113" s="59"/>
      <c r="B113" s="101">
        <f t="shared" si="0"/>
        <v>0</v>
      </c>
      <c r="C113" s="59"/>
      <c r="D113" s="81"/>
      <c r="E113" s="99"/>
      <c r="F113" s="59"/>
    </row>
    <row r="114" spans="1:6" ht="15.75">
      <c r="A114" s="59"/>
      <c r="B114" s="101">
        <f t="shared" si="0"/>
        <v>0</v>
      </c>
      <c r="C114" s="59"/>
      <c r="D114" s="81"/>
      <c r="E114" s="99"/>
      <c r="F114" s="59"/>
    </row>
    <row r="115" spans="1:6" ht="15.75">
      <c r="A115" s="88" t="s">
        <v>50</v>
      </c>
      <c r="B115" s="88"/>
      <c r="C115" s="93"/>
      <c r="D115" s="91">
        <f>SUM(D90:D114)</f>
        <v>67.188</v>
      </c>
      <c r="E115" s="99"/>
      <c r="F115" s="59"/>
    </row>
    <row r="116" spans="1:6" ht="15.75">
      <c r="A116" s="59"/>
      <c r="B116" s="59"/>
      <c r="C116" s="59"/>
      <c r="D116" s="59"/>
      <c r="E116" s="59"/>
      <c r="F116" s="59"/>
    </row>
    <row r="117" spans="1:6" ht="15.75">
      <c r="A117" s="102" t="str">
        <f>CONCATENATE("Total Tax Levied (",C4-2," budget column)")</f>
        <v>Total Tax Levied (2010 budget column)</v>
      </c>
      <c r="B117" s="103"/>
      <c r="C117" s="88"/>
      <c r="D117" s="88"/>
      <c r="E117" s="93"/>
      <c r="F117" s="86">
        <v>3240273</v>
      </c>
    </row>
    <row r="118" spans="1:6" ht="15.75">
      <c r="A118" s="104" t="str">
        <f>CONCATENATE("Assessed Valuation  (",C4-2," budget column)")</f>
        <v>Assessed Valuation  (2010 budget column)</v>
      </c>
      <c r="B118" s="105"/>
      <c r="C118" s="106"/>
      <c r="D118" s="106"/>
      <c r="E118" s="89"/>
      <c r="F118" s="86">
        <v>48226294</v>
      </c>
    </row>
    <row r="119" spans="1:6" ht="15.75">
      <c r="A119" s="95"/>
      <c r="B119" s="62"/>
      <c r="C119" s="62"/>
      <c r="D119" s="62"/>
      <c r="E119" s="62"/>
      <c r="F119" s="107"/>
    </row>
    <row r="120" spans="1:6" ht="15.75">
      <c r="A120" s="108" t="str">
        <f>CONCATENATE("From the ",C4-1," Budget, Budget Summary Page:")</f>
        <v>From the 2011 Budget, Budget Summary Page:</v>
      </c>
      <c r="B120" s="109"/>
      <c r="C120" s="99"/>
      <c r="D120" s="99"/>
      <c r="E120" s="99"/>
      <c r="F120" s="99"/>
    </row>
    <row r="121" spans="1:6" ht="15.75">
      <c r="A121" s="110" t="s">
        <v>0</v>
      </c>
      <c r="B121" s="110"/>
      <c r="C121" s="111"/>
      <c r="D121" s="112">
        <f>C4-3</f>
        <v>2009</v>
      </c>
      <c r="E121" s="113">
        <f>C4-2</f>
        <v>2010</v>
      </c>
      <c r="F121" s="99"/>
    </row>
    <row r="122" spans="1:6" ht="15.75">
      <c r="A122" s="114" t="s">
        <v>1</v>
      </c>
      <c r="B122" s="114"/>
      <c r="C122" s="115"/>
      <c r="D122" s="79">
        <v>0</v>
      </c>
      <c r="E122" s="79">
        <v>0</v>
      </c>
      <c r="F122" s="99"/>
    </row>
    <row r="123" spans="1:6" s="117" customFormat="1" ht="15.75">
      <c r="A123" s="116" t="s">
        <v>2</v>
      </c>
      <c r="B123" s="116"/>
      <c r="C123" s="115"/>
      <c r="D123" s="79">
        <v>0</v>
      </c>
      <c r="E123" s="79">
        <v>0</v>
      </c>
      <c r="F123" s="111"/>
    </row>
    <row r="124" spans="1:6" s="117" customFormat="1" ht="15.75">
      <c r="A124" s="116" t="s">
        <v>3</v>
      </c>
      <c r="B124" s="116"/>
      <c r="C124" s="115"/>
      <c r="D124" s="79">
        <v>0</v>
      </c>
      <c r="E124" s="79">
        <v>0</v>
      </c>
      <c r="F124" s="111"/>
    </row>
    <row r="125" spans="1:6" s="117" customFormat="1" ht="15.75">
      <c r="A125" s="116" t="s">
        <v>4</v>
      </c>
      <c r="B125" s="116"/>
      <c r="C125" s="115"/>
      <c r="D125" s="79">
        <v>386665</v>
      </c>
      <c r="E125" s="79">
        <v>196116</v>
      </c>
      <c r="F125" s="111"/>
    </row>
    <row r="126" s="117" customFormat="1" ht="15.75"/>
  </sheetData>
  <sheetProtection sheet="1"/>
  <mergeCells count="3">
    <mergeCell ref="D88:D89"/>
    <mergeCell ref="A9:F9"/>
    <mergeCell ref="A1:F1"/>
  </mergeCells>
  <printOptions/>
  <pageMargins left="0.5" right="0.5" top="1" bottom="0.5" header="0.5" footer="0.25"/>
  <pageSetup blackAndWhite="1" fitToHeight="3" fitToWidth="1"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B1:F135"/>
  <sheetViews>
    <sheetView zoomScalePageLayoutView="0" workbookViewId="0" topLeftCell="A5">
      <selection activeCell="D52" sqref="D52"/>
    </sheetView>
  </sheetViews>
  <sheetFormatPr defaultColWidth="8.796875" defaultRowHeight="15"/>
  <cols>
    <col min="1" max="1" width="2.3984375" style="55" customWidth="1"/>
    <col min="2" max="2" width="31.09765625" style="55" customWidth="1"/>
    <col min="3" max="4" width="15.796875" style="55" customWidth="1"/>
    <col min="5" max="5" width="16.19921875" style="55" customWidth="1"/>
    <col min="6" max="6" width="7.3984375" style="55" customWidth="1"/>
    <col min="7"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162</v>
      </c>
      <c r="C3" s="59"/>
      <c r="D3" s="59"/>
      <c r="E3" s="270"/>
    </row>
    <row r="4" spans="2:5" ht="15.75">
      <c r="B4" s="271" t="s">
        <v>78</v>
      </c>
      <c r="C4" s="393" t="s">
        <v>114</v>
      </c>
      <c r="D4" s="392" t="s">
        <v>250</v>
      </c>
      <c r="E4" s="394" t="s">
        <v>251</v>
      </c>
    </row>
    <row r="5" spans="2:5" ht="15.75">
      <c r="B5" s="402" t="str">
        <f>inputPrYr!B16</f>
        <v>General</v>
      </c>
      <c r="C5" s="380">
        <f>E1-2</f>
        <v>2010</v>
      </c>
      <c r="D5" s="380">
        <f>E1-1</f>
        <v>2011</v>
      </c>
      <c r="E5" s="272">
        <f>E1</f>
        <v>2012</v>
      </c>
    </row>
    <row r="6" spans="2:5" ht="15.75">
      <c r="B6" s="273" t="s">
        <v>204</v>
      </c>
      <c r="C6" s="377">
        <v>29971</v>
      </c>
      <c r="D6" s="381">
        <f>C116</f>
        <v>133173</v>
      </c>
      <c r="E6" s="235">
        <f>D116</f>
        <v>140262</v>
      </c>
    </row>
    <row r="7" spans="2:5" ht="15.75">
      <c r="B7" s="260" t="s">
        <v>206</v>
      </c>
      <c r="C7" s="275"/>
      <c r="D7" s="275"/>
      <c r="E7" s="101"/>
    </row>
    <row r="8" spans="2:5" ht="15.75">
      <c r="B8" s="273" t="s">
        <v>79</v>
      </c>
      <c r="C8" s="377">
        <v>1301824</v>
      </c>
      <c r="D8" s="381">
        <f>inputPrYr!E16-20000</f>
        <v>1215707</v>
      </c>
      <c r="E8" s="197" t="s">
        <v>65</v>
      </c>
    </row>
    <row r="9" spans="2:5" ht="15.75">
      <c r="B9" s="273" t="s">
        <v>80</v>
      </c>
      <c r="C9" s="377">
        <v>19405</v>
      </c>
      <c r="D9" s="377">
        <v>10000</v>
      </c>
      <c r="E9" s="276">
        <v>10000</v>
      </c>
    </row>
    <row r="10" spans="2:5" ht="15.75">
      <c r="B10" s="273" t="s">
        <v>81</v>
      </c>
      <c r="C10" s="377">
        <v>88514</v>
      </c>
      <c r="D10" s="377">
        <v>95139</v>
      </c>
      <c r="E10" s="235">
        <f>mvalloc!D8</f>
        <v>99068</v>
      </c>
    </row>
    <row r="11" spans="2:5" ht="15.75">
      <c r="B11" s="273" t="s">
        <v>82</v>
      </c>
      <c r="C11" s="377">
        <v>1783</v>
      </c>
      <c r="D11" s="377">
        <v>1852</v>
      </c>
      <c r="E11" s="235">
        <f>mvalloc!E8</f>
        <v>1994</v>
      </c>
    </row>
    <row r="12" spans="2:5" ht="15.75">
      <c r="B12" s="275" t="s">
        <v>186</v>
      </c>
      <c r="C12" s="377">
        <v>12205</v>
      </c>
      <c r="D12" s="377">
        <v>14624</v>
      </c>
      <c r="E12" s="235">
        <f>mvalloc!F8</f>
        <v>12911</v>
      </c>
    </row>
    <row r="13" spans="2:5" ht="15.75">
      <c r="B13" s="273" t="s">
        <v>188</v>
      </c>
      <c r="C13" s="377"/>
      <c r="D13" s="377"/>
      <c r="E13" s="235">
        <f>inputOth!E11</f>
        <v>0</v>
      </c>
    </row>
    <row r="14" spans="2:5" ht="15.75">
      <c r="B14" s="273" t="s">
        <v>254</v>
      </c>
      <c r="C14" s="377"/>
      <c r="D14" s="377"/>
      <c r="E14" s="235">
        <f>inputOth!E18</f>
        <v>0</v>
      </c>
    </row>
    <row r="15" spans="2:5" ht="15.75">
      <c r="B15" s="273" t="s">
        <v>255</v>
      </c>
      <c r="C15" s="377"/>
      <c r="D15" s="377"/>
      <c r="E15" s="235">
        <f>inputOth!E19</f>
        <v>0</v>
      </c>
    </row>
    <row r="16" spans="2:5" ht="15.75">
      <c r="B16" s="273" t="s">
        <v>256</v>
      </c>
      <c r="C16" s="377"/>
      <c r="D16" s="377"/>
      <c r="E16" s="235">
        <f>mvalloc!G8</f>
        <v>0</v>
      </c>
    </row>
    <row r="17" spans="2:5" ht="15.75">
      <c r="B17" s="277" t="s">
        <v>345</v>
      </c>
      <c r="C17" s="377"/>
      <c r="D17" s="377"/>
      <c r="E17" s="276"/>
    </row>
    <row r="18" spans="2:5" ht="15.75">
      <c r="B18" s="277" t="s">
        <v>83</v>
      </c>
      <c r="C18" s="377">
        <v>822</v>
      </c>
      <c r="D18" s="377">
        <v>0</v>
      </c>
      <c r="E18" s="276">
        <v>0</v>
      </c>
    </row>
    <row r="19" spans="2:5" ht="15.75">
      <c r="B19" s="277" t="s">
        <v>346</v>
      </c>
      <c r="C19" s="377">
        <v>26283</v>
      </c>
      <c r="D19" s="377">
        <v>20000</v>
      </c>
      <c r="E19" s="276">
        <v>15000</v>
      </c>
    </row>
    <row r="20" spans="2:5" ht="15.75">
      <c r="B20" s="278" t="s">
        <v>347</v>
      </c>
      <c r="C20" s="377">
        <v>14</v>
      </c>
      <c r="D20" s="377">
        <v>0</v>
      </c>
      <c r="E20" s="276">
        <v>0</v>
      </c>
    </row>
    <row r="21" spans="2:5" ht="15.75">
      <c r="B21" s="278"/>
      <c r="C21" s="377"/>
      <c r="D21" s="377"/>
      <c r="E21" s="276"/>
    </row>
    <row r="22" spans="2:5" ht="15.75">
      <c r="B22" s="277" t="s">
        <v>348</v>
      </c>
      <c r="C22" s="377"/>
      <c r="D22" s="377"/>
      <c r="E22" s="276"/>
    </row>
    <row r="23" spans="2:5" ht="15.75">
      <c r="B23" s="277" t="s">
        <v>349</v>
      </c>
      <c r="C23" s="377"/>
      <c r="D23" s="377"/>
      <c r="E23" s="276"/>
    </row>
    <row r="24" spans="2:5" ht="15.75">
      <c r="B24" s="277" t="s">
        <v>350</v>
      </c>
      <c r="C24" s="377">
        <v>148047</v>
      </c>
      <c r="D24" s="377">
        <v>150000</v>
      </c>
      <c r="E24" s="276">
        <v>150000</v>
      </c>
    </row>
    <row r="25" spans="2:5" ht="15.75">
      <c r="B25" s="277" t="s">
        <v>351</v>
      </c>
      <c r="C25" s="377">
        <v>9705</v>
      </c>
      <c r="D25" s="377">
        <v>9000</v>
      </c>
      <c r="E25" s="276">
        <v>10000</v>
      </c>
    </row>
    <row r="26" spans="2:5" ht="15.75">
      <c r="B26" s="277" t="s">
        <v>352</v>
      </c>
      <c r="C26" s="377">
        <v>1034</v>
      </c>
      <c r="D26" s="377">
        <v>800</v>
      </c>
      <c r="E26" s="276">
        <v>800</v>
      </c>
    </row>
    <row r="27" spans="2:5" ht="15.75">
      <c r="B27" s="277"/>
      <c r="C27" s="377"/>
      <c r="D27" s="377"/>
      <c r="E27" s="276"/>
    </row>
    <row r="28" spans="2:5" ht="15.75">
      <c r="B28" s="277" t="s">
        <v>353</v>
      </c>
      <c r="C28" s="377"/>
      <c r="D28" s="377"/>
      <c r="E28" s="276"/>
    </row>
    <row r="29" spans="2:5" ht="15.75">
      <c r="B29" s="277" t="s">
        <v>354</v>
      </c>
      <c r="C29" s="377">
        <v>14972</v>
      </c>
      <c r="D29" s="377">
        <v>20000</v>
      </c>
      <c r="E29" s="276">
        <v>15000</v>
      </c>
    </row>
    <row r="30" spans="2:5" ht="15.75">
      <c r="B30" s="277" t="s">
        <v>355</v>
      </c>
      <c r="C30" s="377">
        <v>19151</v>
      </c>
      <c r="D30" s="377">
        <v>15000</v>
      </c>
      <c r="E30" s="276">
        <v>15000</v>
      </c>
    </row>
    <row r="31" spans="2:5" ht="15.75">
      <c r="B31" s="277" t="s">
        <v>356</v>
      </c>
      <c r="C31" s="377">
        <v>11914</v>
      </c>
      <c r="D31" s="377">
        <v>8000</v>
      </c>
      <c r="E31" s="276">
        <v>8000</v>
      </c>
    </row>
    <row r="32" spans="2:5" ht="15.75">
      <c r="B32" s="277"/>
      <c r="C32" s="377"/>
      <c r="D32" s="377"/>
      <c r="E32" s="276"/>
    </row>
    <row r="33" spans="2:5" ht="15.75">
      <c r="B33" s="277" t="s">
        <v>357</v>
      </c>
      <c r="C33" s="377"/>
      <c r="D33" s="377"/>
      <c r="E33" s="276"/>
    </row>
    <row r="34" spans="2:5" ht="15.75">
      <c r="B34" s="277" t="s">
        <v>358</v>
      </c>
      <c r="C34" s="377">
        <v>0</v>
      </c>
      <c r="D34" s="377">
        <v>500</v>
      </c>
      <c r="E34" s="276">
        <v>500</v>
      </c>
    </row>
    <row r="35" spans="2:5" ht="15.75">
      <c r="B35" s="277" t="s">
        <v>359</v>
      </c>
      <c r="C35" s="377">
        <v>1300</v>
      </c>
      <c r="D35" s="377">
        <v>1200</v>
      </c>
      <c r="E35" s="276">
        <v>1200</v>
      </c>
    </row>
    <row r="36" spans="2:5" ht="15.75">
      <c r="B36" s="277" t="s">
        <v>360</v>
      </c>
      <c r="C36" s="377">
        <v>118166</v>
      </c>
      <c r="D36" s="377">
        <v>147500</v>
      </c>
      <c r="E36" s="276">
        <v>147500</v>
      </c>
    </row>
    <row r="37" spans="2:5" ht="15.75">
      <c r="B37" s="277" t="s">
        <v>361</v>
      </c>
      <c r="C37" s="377">
        <v>9396</v>
      </c>
      <c r="D37" s="377">
        <v>8000</v>
      </c>
      <c r="E37" s="276">
        <v>8000</v>
      </c>
    </row>
    <row r="38" spans="2:5" ht="15.75">
      <c r="B38" s="277"/>
      <c r="C38" s="377"/>
      <c r="D38" s="377"/>
      <c r="E38" s="276"/>
    </row>
    <row r="39" spans="2:5" ht="15.75">
      <c r="B39" s="277" t="s">
        <v>362</v>
      </c>
      <c r="C39" s="377">
        <v>13935</v>
      </c>
      <c r="D39" s="377">
        <v>13895</v>
      </c>
      <c r="E39" s="276">
        <v>15000</v>
      </c>
    </row>
    <row r="40" spans="2:5" ht="15.75">
      <c r="B40" s="277"/>
      <c r="C40" s="377"/>
      <c r="D40" s="377"/>
      <c r="E40" s="276"/>
    </row>
    <row r="41" spans="2:5" ht="15.75">
      <c r="B41" s="277"/>
      <c r="C41" s="377"/>
      <c r="D41" s="377"/>
      <c r="E41" s="276"/>
    </row>
    <row r="42" spans="2:5" ht="15.75" hidden="1">
      <c r="B42" s="277"/>
      <c r="C42" s="377"/>
      <c r="D42" s="377"/>
      <c r="E42" s="276"/>
    </row>
    <row r="43" spans="2:5" ht="15.75" hidden="1">
      <c r="B43" s="277"/>
      <c r="C43" s="377"/>
      <c r="D43" s="377"/>
      <c r="E43" s="276"/>
    </row>
    <row r="44" spans="2:5" ht="15.75" hidden="1">
      <c r="B44" s="277"/>
      <c r="C44" s="377"/>
      <c r="D44" s="377"/>
      <c r="E44" s="276"/>
    </row>
    <row r="45" spans="2:5" ht="15.75" hidden="1">
      <c r="B45" s="277"/>
      <c r="C45" s="377"/>
      <c r="D45" s="377"/>
      <c r="E45" s="276"/>
    </row>
    <row r="46" spans="2:5" ht="15.75" hidden="1">
      <c r="B46" s="277"/>
      <c r="C46" s="377"/>
      <c r="D46" s="377"/>
      <c r="E46" s="276"/>
    </row>
    <row r="47" spans="2:5" ht="15.75" hidden="1">
      <c r="B47" s="277"/>
      <c r="C47" s="377"/>
      <c r="D47" s="377"/>
      <c r="E47" s="276"/>
    </row>
    <row r="48" spans="2:5" ht="15.75" hidden="1">
      <c r="B48" s="277"/>
      <c r="C48" s="377"/>
      <c r="D48" s="377"/>
      <c r="E48" s="276"/>
    </row>
    <row r="49" spans="2:5" ht="15.75" hidden="1">
      <c r="B49" s="277"/>
      <c r="C49" s="377"/>
      <c r="D49" s="377"/>
      <c r="E49" s="276"/>
    </row>
    <row r="50" spans="2:5" ht="15.75">
      <c r="B50" s="277" t="s">
        <v>83</v>
      </c>
      <c r="C50" s="377"/>
      <c r="D50" s="377"/>
      <c r="E50" s="276"/>
    </row>
    <row r="51" spans="2:5" ht="15.75">
      <c r="B51" s="278" t="s">
        <v>84</v>
      </c>
      <c r="C51" s="377">
        <v>16069</v>
      </c>
      <c r="D51" s="377">
        <v>12000</v>
      </c>
      <c r="E51" s="276">
        <v>10000</v>
      </c>
    </row>
    <row r="52" spans="2:5" ht="15.75">
      <c r="B52" s="279" t="s">
        <v>42</v>
      </c>
      <c r="C52" s="377">
        <v>2895</v>
      </c>
      <c r="D52" s="377">
        <v>2000</v>
      </c>
      <c r="E52" s="276">
        <v>2000</v>
      </c>
    </row>
    <row r="53" spans="2:5" ht="15.75">
      <c r="B53" s="279" t="s">
        <v>297</v>
      </c>
      <c r="C53" s="378">
        <f>IF(C54*0.1&lt;C52,"Exceed 10% Rule","")</f>
      </c>
      <c r="D53" s="378">
        <f>IF(D54*0.1&lt;D52,"Exceed 10% Rule","")</f>
      </c>
      <c r="E53" s="306">
        <f>IF(E54*0.1+E122&lt;E52,"Exceed 10% Rule","")</f>
      </c>
    </row>
    <row r="54" spans="2:5" ht="15.75">
      <c r="B54" s="281" t="s">
        <v>85</v>
      </c>
      <c r="C54" s="379">
        <f>SUM(C8:C52)</f>
        <v>1817434</v>
      </c>
      <c r="D54" s="379">
        <f>SUM(D8:D52)</f>
        <v>1745217</v>
      </c>
      <c r="E54" s="311">
        <f>SUM(E9:E52)</f>
        <v>521973</v>
      </c>
    </row>
    <row r="55" spans="2:5" ht="15.75">
      <c r="B55" s="281" t="s">
        <v>86</v>
      </c>
      <c r="C55" s="379">
        <f>C6+C54</f>
        <v>1847405</v>
      </c>
      <c r="D55" s="379">
        <f>D6+D54</f>
        <v>1878390</v>
      </c>
      <c r="E55" s="311">
        <f>E6+E54</f>
        <v>662235</v>
      </c>
    </row>
    <row r="56" spans="2:5" ht="15.75">
      <c r="B56" s="59"/>
      <c r="C56" s="199"/>
      <c r="D56" s="199"/>
      <c r="E56" s="199"/>
    </row>
    <row r="57" spans="2:5" ht="15.75">
      <c r="B57" s="503" t="s">
        <v>213</v>
      </c>
      <c r="C57" s="503"/>
      <c r="D57" s="503"/>
      <c r="E57" s="503"/>
    </row>
    <row r="58" spans="2:5" ht="15.75">
      <c r="B58" s="199" t="str">
        <f>inputPrYr!C2</f>
        <v>Edwards County</v>
      </c>
      <c r="C58" s="199"/>
      <c r="D58" s="199"/>
      <c r="E58" s="256">
        <f>inputPrYr!C4</f>
        <v>2012</v>
      </c>
    </row>
    <row r="59" spans="2:5" ht="15.75">
      <c r="B59" s="59"/>
      <c r="C59" s="199"/>
      <c r="D59" s="199"/>
      <c r="E59" s="211"/>
    </row>
    <row r="60" spans="2:5" ht="15.75">
      <c r="B60" s="283" t="s">
        <v>159</v>
      </c>
      <c r="C60" s="284"/>
      <c r="D60" s="284"/>
      <c r="E60" s="284"/>
    </row>
    <row r="61" spans="2:5" ht="15.75">
      <c r="B61" s="59" t="s">
        <v>78</v>
      </c>
      <c r="C61" s="393" t="s">
        <v>114</v>
      </c>
      <c r="D61" s="392" t="s">
        <v>250</v>
      </c>
      <c r="E61" s="394" t="str">
        <f>E4</f>
        <v>Proposed Budget Year</v>
      </c>
    </row>
    <row r="62" spans="2:5" ht="15.75">
      <c r="B62" s="88" t="s">
        <v>88</v>
      </c>
      <c r="C62" s="380">
        <f>E58-2</f>
        <v>2010</v>
      </c>
      <c r="D62" s="380">
        <f>E58-1</f>
        <v>2011</v>
      </c>
      <c r="E62" s="285">
        <f>E5</f>
        <v>2012</v>
      </c>
    </row>
    <row r="63" spans="2:5" ht="15.75">
      <c r="B63" s="281" t="s">
        <v>86</v>
      </c>
      <c r="C63" s="381">
        <f>C55</f>
        <v>1847405</v>
      </c>
      <c r="D63" s="381">
        <f>D55</f>
        <v>1878390</v>
      </c>
      <c r="E63" s="235">
        <f>E55</f>
        <v>662235</v>
      </c>
    </row>
    <row r="64" spans="2:5" ht="15.75">
      <c r="B64" s="273" t="s">
        <v>89</v>
      </c>
      <c r="C64" s="381"/>
      <c r="D64" s="381"/>
      <c r="E64" s="235"/>
    </row>
    <row r="65" spans="2:5" ht="15.75">
      <c r="B65" s="275" t="str">
        <f>'gen-detail'!A7</f>
        <v>County Commissioners</v>
      </c>
      <c r="C65" s="381">
        <f>'gen-detail'!B13</f>
        <v>46025</v>
      </c>
      <c r="D65" s="381">
        <f>'gen-detail'!C13</f>
        <v>47000</v>
      </c>
      <c r="E65" s="235">
        <f>'gen-detail'!D13</f>
        <v>49000</v>
      </c>
    </row>
    <row r="66" spans="2:5" ht="15.75">
      <c r="B66" s="275" t="str">
        <f>'gen-detail'!A14</f>
        <v>County Clerk</v>
      </c>
      <c r="C66" s="381">
        <f>'gen-detail'!B20</f>
        <v>87050</v>
      </c>
      <c r="D66" s="381">
        <f>'gen-detail'!C20</f>
        <v>89200</v>
      </c>
      <c r="E66" s="235">
        <f>'gen-detail'!D20</f>
        <v>97000</v>
      </c>
    </row>
    <row r="67" spans="2:5" ht="15.75">
      <c r="B67" s="275" t="str">
        <f>'gen-detail'!A21</f>
        <v>County Treasurer</v>
      </c>
      <c r="C67" s="381">
        <f>'gen-detail'!B27</f>
        <v>103786</v>
      </c>
      <c r="D67" s="381">
        <f>'gen-detail'!C27</f>
        <v>105300</v>
      </c>
      <c r="E67" s="235">
        <f>'gen-detail'!D27</f>
        <v>110000</v>
      </c>
    </row>
    <row r="68" spans="2:5" ht="15.75">
      <c r="B68" s="275" t="str">
        <f>'gen-detail'!A28</f>
        <v>County Attorney</v>
      </c>
      <c r="C68" s="381">
        <f>'gen-detail'!B34</f>
        <v>63452</v>
      </c>
      <c r="D68" s="381">
        <f>'gen-detail'!C34</f>
        <v>65900</v>
      </c>
      <c r="E68" s="235">
        <f>'gen-detail'!D34</f>
        <v>65400</v>
      </c>
    </row>
    <row r="69" spans="2:5" ht="15.75">
      <c r="B69" s="275" t="str">
        <f>'gen-detail'!A35</f>
        <v>Register of Deeds</v>
      </c>
      <c r="C69" s="381">
        <f>'gen-detail'!B40</f>
        <v>63843</v>
      </c>
      <c r="D69" s="381">
        <f>'gen-detail'!C40</f>
        <v>67000</v>
      </c>
      <c r="E69" s="235">
        <f>'gen-detail'!D40</f>
        <v>70000</v>
      </c>
    </row>
    <row r="70" spans="2:5" ht="15.75">
      <c r="B70" s="275" t="str">
        <f>'gen-detail'!A41</f>
        <v>District Court</v>
      </c>
      <c r="C70" s="381">
        <f>'gen-detail'!B47</f>
        <v>31646</v>
      </c>
      <c r="D70" s="381">
        <f>'gen-detail'!C47</f>
        <v>47400</v>
      </c>
      <c r="E70" s="235">
        <f>'gen-detail'!D47</f>
        <v>52869</v>
      </c>
    </row>
    <row r="71" spans="2:5" ht="15.75">
      <c r="B71" s="275" t="str">
        <f>'gen-detail'!A48</f>
        <v>Courthouse General</v>
      </c>
      <c r="C71" s="381">
        <f>'gen-detail'!B55</f>
        <v>187384</v>
      </c>
      <c r="D71" s="381">
        <f>'gen-detail'!C55</f>
        <v>197000</v>
      </c>
      <c r="E71" s="235">
        <f>'gen-detail'!D55</f>
        <v>260000</v>
      </c>
    </row>
    <row r="72" spans="2:5" ht="15.75">
      <c r="B72" s="275" t="str">
        <f>'gen-detail'!A56</f>
        <v>Appraisal</v>
      </c>
      <c r="C72" s="381">
        <f>'gen-detail'!B62</f>
        <v>95244</v>
      </c>
      <c r="D72" s="381">
        <f>'gen-detail'!C62</f>
        <v>100000</v>
      </c>
      <c r="E72" s="235">
        <f>'gen-detail'!D62</f>
        <v>100700</v>
      </c>
    </row>
    <row r="73" spans="2:5" ht="15.75">
      <c r="B73" s="275" t="str">
        <f>'gen-detail'!A74</f>
        <v>Extension Office</v>
      </c>
      <c r="C73" s="381">
        <f>'gen-detail'!B79</f>
        <v>9660</v>
      </c>
      <c r="D73" s="381">
        <f>'gen-detail'!C79</f>
        <v>10500</v>
      </c>
      <c r="E73" s="235">
        <f>'gen-detail'!D79</f>
        <v>11000</v>
      </c>
    </row>
    <row r="74" spans="2:5" ht="15.75">
      <c r="B74" s="275" t="str">
        <f>'gen-detail'!A80</f>
        <v>Zoning</v>
      </c>
      <c r="C74" s="381">
        <f>'gen-detail'!B85</f>
        <v>2500</v>
      </c>
      <c r="D74" s="381">
        <f>'gen-detail'!C85</f>
        <v>2500</v>
      </c>
      <c r="E74" s="235">
        <f>'gen-detail'!D85</f>
        <v>3000</v>
      </c>
    </row>
    <row r="75" spans="2:5" ht="15.75">
      <c r="B75" s="275" t="str">
        <f>'gen-detail'!A86</f>
        <v>Election</v>
      </c>
      <c r="C75" s="381">
        <f>'gen-detail'!B91</f>
        <v>24692</v>
      </c>
      <c r="D75" s="381">
        <f>'gen-detail'!C91</f>
        <v>24000</v>
      </c>
      <c r="E75" s="235">
        <f>'gen-detail'!D91</f>
        <v>30000</v>
      </c>
    </row>
    <row r="76" spans="2:5" ht="15.75">
      <c r="B76" s="275" t="str">
        <f>'gen-detail'!A92</f>
        <v>Insurance Cost</v>
      </c>
      <c r="C76" s="381">
        <f>'gen-detail'!B98</f>
        <v>73088</v>
      </c>
      <c r="D76" s="381">
        <f>'gen-detail'!C98</f>
        <v>75000</v>
      </c>
      <c r="E76" s="235">
        <f>'gen-detail'!D98</f>
        <v>83000</v>
      </c>
    </row>
    <row r="77" spans="2:5" ht="15.75">
      <c r="B77" s="275" t="str">
        <f>'gen-detail'!A99</f>
        <v>Soil Conservation</v>
      </c>
      <c r="C77" s="381">
        <f>'gen-detail'!B104</f>
        <v>25000</v>
      </c>
      <c r="D77" s="381">
        <f>'gen-detail'!C104</f>
        <v>22955</v>
      </c>
      <c r="E77" s="235">
        <f>'gen-detail'!D104</f>
        <v>22955</v>
      </c>
    </row>
    <row r="78" spans="2:5" ht="15.75">
      <c r="B78" s="275" t="str">
        <f>'gen-detail'!A105</f>
        <v>Sheriff</v>
      </c>
      <c r="C78" s="381">
        <f>'gen-detail'!B111</f>
        <v>463904</v>
      </c>
      <c r="D78" s="381">
        <f>'gen-detail'!C111</f>
        <v>469900</v>
      </c>
      <c r="E78" s="235">
        <f>'gen-detail'!D111</f>
        <v>498470</v>
      </c>
    </row>
    <row r="79" spans="2:5" ht="15.75">
      <c r="B79" s="275" t="str">
        <f>'gen-detail'!A112</f>
        <v>Emergency Preparedness</v>
      </c>
      <c r="C79" s="381">
        <f>'gen-detail'!B118</f>
        <v>8927</v>
      </c>
      <c r="D79" s="381">
        <f>'gen-detail'!C118</f>
        <v>9300</v>
      </c>
      <c r="E79" s="235">
        <f>'gen-detail'!D118</f>
        <v>9000</v>
      </c>
    </row>
    <row r="80" spans="2:5" ht="15.75">
      <c r="B80" s="275" t="str">
        <f>'gen-detail'!A119</f>
        <v>Ambulance</v>
      </c>
      <c r="C80" s="381">
        <f>'gen-detail'!B124</f>
        <v>23853</v>
      </c>
      <c r="D80" s="381">
        <f>'gen-detail'!C124</f>
        <v>29853</v>
      </c>
      <c r="E80" s="235">
        <f>'gen-detail'!D124</f>
        <v>73332</v>
      </c>
    </row>
    <row r="81" spans="2:5" ht="15.75">
      <c r="B81" s="275" t="str">
        <f>'gen-detail'!A125</f>
        <v>Mental Health</v>
      </c>
      <c r="C81" s="381">
        <f>'gen-detail'!B132</f>
        <v>26400</v>
      </c>
      <c r="D81" s="381">
        <f>'gen-detail'!C132</f>
        <v>26400</v>
      </c>
      <c r="E81" s="235">
        <f>'gen-detail'!D132</f>
        <v>26400</v>
      </c>
    </row>
    <row r="82" spans="2:5" ht="15.75">
      <c r="B82" s="275" t="str">
        <f>'gen-detail'!A133</f>
        <v>Mental Retardation</v>
      </c>
      <c r="C82" s="381">
        <f>'gen-detail'!B138</f>
        <v>35000</v>
      </c>
      <c r="D82" s="381">
        <f>'gen-detail'!C138</f>
        <v>31500</v>
      </c>
      <c r="E82" s="235">
        <f>'gen-detail'!D138</f>
        <v>31500</v>
      </c>
    </row>
    <row r="83" spans="2:5" ht="15.75">
      <c r="B83" s="275" t="str">
        <f>'gen-detail'!A139</f>
        <v>County Fair</v>
      </c>
      <c r="C83" s="381">
        <f>'gen-detail'!B144</f>
        <v>13201</v>
      </c>
      <c r="D83" s="381">
        <f>'gen-detail'!C144</f>
        <v>15000</v>
      </c>
      <c r="E83" s="235">
        <f>'gen-detail'!D144</f>
        <v>17000</v>
      </c>
    </row>
    <row r="84" spans="2:5" ht="15.75">
      <c r="B84" s="275" t="str">
        <f>'gen-detail'!A145</f>
        <v>Carnival Heritage</v>
      </c>
      <c r="C84" s="381">
        <f>'gen-detail'!B150</f>
        <v>5000</v>
      </c>
      <c r="D84" s="381">
        <f>'gen-detail'!C150</f>
        <v>0</v>
      </c>
      <c r="E84" s="235">
        <f>'gen-detail'!D150</f>
        <v>0</v>
      </c>
    </row>
    <row r="85" spans="2:5" ht="15.75">
      <c r="B85" s="275" t="str">
        <f>'gen-detail'!A161</f>
        <v>Transfer Station</v>
      </c>
      <c r="C85" s="381">
        <f>'gen-detail'!B166</f>
        <v>126207</v>
      </c>
      <c r="D85" s="381">
        <f>'gen-detail'!C166</f>
        <v>131550</v>
      </c>
      <c r="E85" s="235">
        <f>'gen-detail'!D166</f>
        <v>144550</v>
      </c>
    </row>
    <row r="86" spans="2:5" ht="15.75">
      <c r="B86" s="275" t="str">
        <f>'gen-detail'!A167</f>
        <v>Transfer to Equipment Reserve</v>
      </c>
      <c r="C86" s="381">
        <f>'gen-detail'!B173</f>
        <v>10000</v>
      </c>
      <c r="D86" s="381">
        <f>'gen-detail'!C173</f>
        <v>0</v>
      </c>
      <c r="E86" s="235">
        <f>'gen-detail'!D173</f>
        <v>0</v>
      </c>
    </row>
    <row r="87" spans="2:5" ht="15.75">
      <c r="B87" s="275" t="str">
        <f>'gen-detail'!A174</f>
        <v>Transfer to Multi-Year Capital Improvement</v>
      </c>
      <c r="C87" s="381">
        <f>'gen-detail'!B181</f>
        <v>16000</v>
      </c>
      <c r="D87" s="381">
        <f>'gen-detail'!C181</f>
        <v>0</v>
      </c>
      <c r="E87" s="235">
        <f>'gen-detail'!D181</f>
        <v>0</v>
      </c>
    </row>
    <row r="88" spans="2:5" ht="15.75">
      <c r="B88" s="275" t="str">
        <f>'gen-detail'!A182</f>
        <v>Transfer to Economic Development</v>
      </c>
      <c r="C88" s="381">
        <f>'gen-detail'!B189</f>
        <v>40000</v>
      </c>
      <c r="D88" s="381">
        <f>'gen-detail'!C189</f>
        <v>40000</v>
      </c>
      <c r="E88" s="235">
        <f>'gen-detail'!D189</f>
        <v>40000</v>
      </c>
    </row>
    <row r="89" spans="2:5" ht="15.75">
      <c r="B89" s="275" t="str">
        <f>'gen-detail'!A190</f>
        <v>County Fair</v>
      </c>
      <c r="C89" s="381">
        <f>'gen-detail'!B196</f>
        <v>10870</v>
      </c>
      <c r="D89" s="381">
        <f>'gen-detail'!C196</f>
        <v>10870</v>
      </c>
      <c r="E89" s="235">
        <f>'gen-detail'!D196</f>
        <v>10870</v>
      </c>
    </row>
    <row r="90" spans="2:5" ht="15.75">
      <c r="B90" s="275" t="str">
        <f>'gen-detail'!A197</f>
        <v>Extension Council</v>
      </c>
      <c r="C90" s="381">
        <f>'gen-detail'!B203</f>
        <v>113500</v>
      </c>
      <c r="D90" s="381">
        <f>'gen-detail'!C203</f>
        <v>112000</v>
      </c>
      <c r="E90" s="235">
        <f>'gen-detail'!D203</f>
        <v>113500</v>
      </c>
    </row>
    <row r="91" spans="2:5" ht="15.75">
      <c r="B91" s="275" t="str">
        <f>'gen-detail'!A204</f>
        <v>Historical Society</v>
      </c>
      <c r="C91" s="381">
        <f>'gen-detail'!B210</f>
        <v>8000</v>
      </c>
      <c r="D91" s="381">
        <f>'gen-detail'!C210</f>
        <v>8000</v>
      </c>
      <c r="E91" s="235">
        <f>'gen-detail'!D210</f>
        <v>8000</v>
      </c>
    </row>
    <row r="92" spans="2:5" ht="15.75" hidden="1">
      <c r="B92" s="275">
        <f>'gen-detail'!A221</f>
        <v>0</v>
      </c>
      <c r="C92" s="381">
        <f>'gen-detail'!B226</f>
        <v>0</v>
      </c>
      <c r="D92" s="381">
        <f>'gen-detail'!C226</f>
        <v>0</v>
      </c>
      <c r="E92" s="235">
        <f>'gen-detail'!D226</f>
        <v>0</v>
      </c>
    </row>
    <row r="93" spans="2:5" ht="15.75" hidden="1">
      <c r="B93" s="275">
        <f>'gen-detail'!A227</f>
        <v>0</v>
      </c>
      <c r="C93" s="381">
        <f>'gen-detail'!B232</f>
        <v>0</v>
      </c>
      <c r="D93" s="381">
        <f>'gen-detail'!C232</f>
        <v>0</v>
      </c>
      <c r="E93" s="235">
        <f>'gen-detail'!D232</f>
        <v>0</v>
      </c>
    </row>
    <row r="94" spans="2:5" ht="15.75" hidden="1">
      <c r="B94" s="275">
        <f>'gen-detail'!A233</f>
        <v>0</v>
      </c>
      <c r="C94" s="381">
        <f>'gen-detail'!B238</f>
        <v>0</v>
      </c>
      <c r="D94" s="381">
        <f>'gen-detail'!C238</f>
        <v>0</v>
      </c>
      <c r="E94" s="235">
        <f>'gen-detail'!D238</f>
        <v>0</v>
      </c>
    </row>
    <row r="95" spans="2:5" ht="15.75" hidden="1">
      <c r="B95" s="275">
        <f>'gen-detail'!A239</f>
        <v>0</v>
      </c>
      <c r="C95" s="381">
        <f>'gen-detail'!B240</f>
        <v>0</v>
      </c>
      <c r="D95" s="381">
        <f>'gen-detail'!C240</f>
        <v>0</v>
      </c>
      <c r="E95" s="235">
        <f>'gen-detail'!D240</f>
        <v>0</v>
      </c>
    </row>
    <row r="96" spans="2:5" ht="15.75" hidden="1">
      <c r="B96" s="275">
        <f>'gen-detail'!A242</f>
        <v>0</v>
      </c>
      <c r="C96" s="381">
        <f>'gen-detail'!B247</f>
        <v>0</v>
      </c>
      <c r="D96" s="381">
        <f>'gen-detail'!C247</f>
        <v>0</v>
      </c>
      <c r="E96" s="235">
        <f>'gen-detail'!D247</f>
        <v>0</v>
      </c>
    </row>
    <row r="97" spans="2:5" ht="15.75" hidden="1">
      <c r="B97" s="275">
        <f>'gen-detail'!A248</f>
        <v>0</v>
      </c>
      <c r="C97" s="381">
        <f>'gen-detail'!B253</f>
        <v>0</v>
      </c>
      <c r="D97" s="381">
        <f>'gen-detail'!C253</f>
        <v>0</v>
      </c>
      <c r="E97" s="235">
        <f>'gen-detail'!D253</f>
        <v>0</v>
      </c>
    </row>
    <row r="98" spans="2:5" ht="15.75" hidden="1">
      <c r="B98" s="275">
        <f>'gen-detail'!A264</f>
        <v>0</v>
      </c>
      <c r="C98" s="381">
        <f>'gen-detail'!B269</f>
        <v>0</v>
      </c>
      <c r="D98" s="381">
        <f>'gen-detail'!C269</f>
        <v>0</v>
      </c>
      <c r="E98" s="235">
        <f>'gen-detail'!D269</f>
        <v>0</v>
      </c>
    </row>
    <row r="99" spans="2:5" ht="15.75" hidden="1">
      <c r="B99" s="275">
        <f>'gen-detail'!A270</f>
        <v>0</v>
      </c>
      <c r="C99" s="381">
        <f>'gen-detail'!B275</f>
        <v>0</v>
      </c>
      <c r="D99" s="381">
        <f>'gen-detail'!C275</f>
        <v>0</v>
      </c>
      <c r="E99" s="235">
        <f>'gen-detail'!D275</f>
        <v>0</v>
      </c>
    </row>
    <row r="100" spans="2:5" ht="15.75" hidden="1">
      <c r="B100" s="275">
        <f>'gen-detail'!A276</f>
        <v>0</v>
      </c>
      <c r="C100" s="381">
        <f>'gen-detail'!B281</f>
        <v>0</v>
      </c>
      <c r="D100" s="381">
        <f>'gen-detail'!C281</f>
        <v>0</v>
      </c>
      <c r="E100" s="235">
        <f>'gen-detail'!D281</f>
        <v>0</v>
      </c>
    </row>
    <row r="101" spans="2:5" ht="15.75" hidden="1">
      <c r="B101" s="275">
        <f>'gen-detail'!A282</f>
        <v>0</v>
      </c>
      <c r="C101" s="381">
        <f>'gen-detail'!B287</f>
        <v>0</v>
      </c>
      <c r="D101" s="381">
        <f>'gen-detail'!C287</f>
        <v>0</v>
      </c>
      <c r="E101" s="235">
        <f>'gen-detail'!D287</f>
        <v>0</v>
      </c>
    </row>
    <row r="102" spans="2:5" ht="15.75" hidden="1">
      <c r="B102" s="275">
        <f>'gen-detail'!A288</f>
        <v>0</v>
      </c>
      <c r="C102" s="381">
        <f>'gen-detail'!B291</f>
        <v>0</v>
      </c>
      <c r="D102" s="381">
        <f>'gen-detail'!C291</f>
        <v>0</v>
      </c>
      <c r="E102" s="235">
        <f>'gen-detail'!D291</f>
        <v>0</v>
      </c>
    </row>
    <row r="103" spans="2:5" ht="15.75" hidden="1">
      <c r="B103" s="275">
        <f>'gen-detail'!A292</f>
        <v>0</v>
      </c>
      <c r="C103" s="381">
        <f>'gen-detail'!B297</f>
        <v>0</v>
      </c>
      <c r="D103" s="381">
        <f>'gen-detail'!C297</f>
        <v>0</v>
      </c>
      <c r="E103" s="235">
        <f>'gen-detail'!D297</f>
        <v>0</v>
      </c>
    </row>
    <row r="104" spans="2:5" ht="15.75" hidden="1">
      <c r="B104" s="275">
        <f>'gen-detail'!A298</f>
        <v>0</v>
      </c>
      <c r="C104" s="381">
        <f>'gen-detail'!B303</f>
        <v>0</v>
      </c>
      <c r="D104" s="381">
        <f>'gen-detail'!C303</f>
        <v>0</v>
      </c>
      <c r="E104" s="235">
        <f>'gen-detail'!D303</f>
        <v>0</v>
      </c>
    </row>
    <row r="105" spans="2:5" ht="15.75">
      <c r="B105" s="286" t="s">
        <v>23</v>
      </c>
      <c r="C105" s="403">
        <f>SUM(C65:C104)</f>
        <v>1714232</v>
      </c>
      <c r="D105" s="403">
        <f>SUM(D65:D104)</f>
        <v>1738128</v>
      </c>
      <c r="E105" s="307">
        <f>SUM(E65:E104)</f>
        <v>1927546</v>
      </c>
    </row>
    <row r="106" spans="2:5" ht="15.75" hidden="1">
      <c r="B106" s="287"/>
      <c r="C106" s="377"/>
      <c r="D106" s="377"/>
      <c r="E106" s="86"/>
    </row>
    <row r="107" spans="2:5" ht="15.75" hidden="1">
      <c r="B107" s="287"/>
      <c r="C107" s="377"/>
      <c r="D107" s="377"/>
      <c r="E107" s="86"/>
    </row>
    <row r="108" spans="2:5" ht="15.75" hidden="1">
      <c r="B108" s="287"/>
      <c r="C108" s="377"/>
      <c r="D108" s="377"/>
      <c r="E108" s="86"/>
    </row>
    <row r="109" spans="2:5" ht="15.75" hidden="1">
      <c r="B109" s="287"/>
      <c r="C109" s="377"/>
      <c r="D109" s="377"/>
      <c r="E109" s="86"/>
    </row>
    <row r="110" spans="2:5" ht="15.75" hidden="1">
      <c r="B110" s="287"/>
      <c r="C110" s="377"/>
      <c r="D110" s="377"/>
      <c r="E110" s="86"/>
    </row>
    <row r="111" spans="2:5" ht="15.75">
      <c r="B111" s="287"/>
      <c r="C111" s="377"/>
      <c r="D111" s="377"/>
      <c r="E111" s="86"/>
    </row>
    <row r="112" spans="2:5" ht="15.75">
      <c r="B112" s="279" t="s">
        <v>43</v>
      </c>
      <c r="C112" s="377"/>
      <c r="D112" s="377"/>
      <c r="E112" s="94">
        <f>Nhood!$E6</f>
        <v>9519</v>
      </c>
    </row>
    <row r="113" spans="2:5" ht="15.75">
      <c r="B113" s="279" t="s">
        <v>42</v>
      </c>
      <c r="C113" s="377"/>
      <c r="D113" s="377"/>
      <c r="E113" s="86"/>
    </row>
    <row r="114" spans="2:5" ht="15.75">
      <c r="B114" s="279" t="s">
        <v>296</v>
      </c>
      <c r="C114" s="378">
        <f>IF(C115*0.1&lt;C113,"Exceed 10% Rule","")</f>
      </c>
      <c r="D114" s="378">
        <f>IF(D115*0.1&lt;D113,"Exceed 10% Rule","")</f>
      </c>
      <c r="E114" s="306">
        <f>IF(E115*0.1&lt;E113,"Exceed 10% Rule","")</f>
      </c>
    </row>
    <row r="115" spans="2:5" ht="15.75">
      <c r="B115" s="281" t="s">
        <v>90</v>
      </c>
      <c r="C115" s="379">
        <f>SUM(C105:C113)</f>
        <v>1714232</v>
      </c>
      <c r="D115" s="379">
        <f>SUM(D105:D113)</f>
        <v>1738128</v>
      </c>
      <c r="E115" s="311">
        <f>SUM(E105:E113)</f>
        <v>1937065</v>
      </c>
    </row>
    <row r="116" spans="2:5" ht="15.75">
      <c r="B116" s="122" t="s">
        <v>205</v>
      </c>
      <c r="C116" s="382">
        <f>C55-C115</f>
        <v>133173</v>
      </c>
      <c r="D116" s="382">
        <f>D55-D115</f>
        <v>140262</v>
      </c>
      <c r="E116" s="197" t="s">
        <v>65</v>
      </c>
    </row>
    <row r="117" spans="2:6" ht="15.75">
      <c r="B117" s="257" t="str">
        <f>CONCATENATE("",E$1-2,"/",E$1-1," Budget Authority Amount:")</f>
        <v>2010/2011 Budget Authority Amount:</v>
      </c>
      <c r="C117" s="249">
        <f>inputOth!$B31</f>
        <v>1917405</v>
      </c>
      <c r="D117" s="249">
        <f>inputPrYr!$D16</f>
        <v>1908179</v>
      </c>
      <c r="E117" s="197" t="s">
        <v>65</v>
      </c>
      <c r="F117" s="289"/>
    </row>
    <row r="118" spans="2:6" ht="15.75">
      <c r="B118" s="257"/>
      <c r="C118" s="499" t="s">
        <v>299</v>
      </c>
      <c r="D118" s="500"/>
      <c r="E118" s="86"/>
      <c r="F118" s="404">
        <f>IF(E115/0.95-E115&lt;E118,"Exceeds 5%","")</f>
      </c>
    </row>
    <row r="119" spans="2:5" ht="15.75">
      <c r="B119" s="407" t="str">
        <f>CONCATENATE(C134,"     ",D134)</f>
        <v>     </v>
      </c>
      <c r="C119" s="501" t="s">
        <v>300</v>
      </c>
      <c r="D119" s="502"/>
      <c r="E119" s="235">
        <f>E115+E118</f>
        <v>1937065</v>
      </c>
    </row>
    <row r="120" spans="2:5" ht="15.75">
      <c r="B120" s="407" t="str">
        <f>CONCATENATE(C135,"     ",D135)</f>
        <v>     </v>
      </c>
      <c r="C120" s="290"/>
      <c r="D120" s="211" t="s">
        <v>91</v>
      </c>
      <c r="E120" s="94">
        <f>IF(E119-E55&gt;0,E119-E55,0)</f>
        <v>1274830</v>
      </c>
    </row>
    <row r="121" spans="2:5" ht="15.75">
      <c r="B121" s="257"/>
      <c r="C121" s="405" t="s">
        <v>301</v>
      </c>
      <c r="D121" s="455">
        <f>inputOth!$E$24</f>
        <v>0.01</v>
      </c>
      <c r="E121" s="235">
        <f>IF(D121&gt;0,(E120*D121),0)</f>
        <v>12748.300000000001</v>
      </c>
    </row>
    <row r="122" spans="2:5" ht="15.75">
      <c r="B122" s="59"/>
      <c r="C122" s="504" t="str">
        <f>CONCATENATE("Amount of  ",$E$1-1," Ad Valorem Tax")</f>
        <v>Amount of  2011 Ad Valorem Tax</v>
      </c>
      <c r="D122" s="505"/>
      <c r="E122" s="307">
        <f>E120+E121</f>
        <v>1287578.3</v>
      </c>
    </row>
    <row r="123" spans="2:5" ht="15.75">
      <c r="B123" s="59"/>
      <c r="C123" s="59"/>
      <c r="D123" s="59"/>
      <c r="E123" s="59"/>
    </row>
    <row r="124" spans="2:5" ht="15.75">
      <c r="B124" s="503" t="s">
        <v>214</v>
      </c>
      <c r="C124" s="503"/>
      <c r="D124" s="503"/>
      <c r="E124" s="503"/>
    </row>
    <row r="134" spans="3:4" ht="15.75" hidden="1">
      <c r="C134" s="55">
        <f>IF(C115&gt;C117,"See Tab A","")</f>
      </c>
      <c r="D134" s="55">
        <f>IF(D115&gt;D117,"See Tab C","")</f>
      </c>
    </row>
    <row r="135" spans="3:4" ht="15.75" hidden="1">
      <c r="C135" s="55">
        <f>IF(C116&lt;0,"See Tab B","")</f>
      </c>
      <c r="D135" s="55">
        <f>IF(D116&lt;0,"See Tab D","")</f>
      </c>
    </row>
  </sheetData>
  <sheetProtection/>
  <mergeCells count="5">
    <mergeCell ref="C118:D118"/>
    <mergeCell ref="C119:D119"/>
    <mergeCell ref="B57:E57"/>
    <mergeCell ref="B124:E124"/>
    <mergeCell ref="C122:D122"/>
  </mergeCells>
  <conditionalFormatting sqref="E113">
    <cfRule type="cellIs" priority="2" dxfId="142" operator="greaterThan" stopIfTrue="1">
      <formula>$E$115*0.1</formula>
    </cfRule>
  </conditionalFormatting>
  <conditionalFormatting sqref="E118">
    <cfRule type="cellIs" priority="3" dxfId="142" operator="greaterThan" stopIfTrue="1">
      <formula>$E$115/0.95-$E$115</formula>
    </cfRule>
  </conditionalFormatting>
  <conditionalFormatting sqref="D113">
    <cfRule type="cellIs" priority="4" dxfId="2" operator="greaterThan" stopIfTrue="1">
      <formula>$D$115*0.1</formula>
    </cfRule>
  </conditionalFormatting>
  <conditionalFormatting sqref="C113">
    <cfRule type="cellIs" priority="5" dxfId="2" operator="greaterThan" stopIfTrue="1">
      <formula>$C$115*0.1</formula>
    </cfRule>
  </conditionalFormatting>
  <conditionalFormatting sqref="C116">
    <cfRule type="cellIs" priority="6" dxfId="2" operator="lessThan" stopIfTrue="1">
      <formula>0</formula>
    </cfRule>
  </conditionalFormatting>
  <conditionalFormatting sqref="D115">
    <cfRule type="cellIs" priority="7" dxfId="2" operator="greaterThan" stopIfTrue="1">
      <formula>$D$117</formula>
    </cfRule>
  </conditionalFormatting>
  <conditionalFormatting sqref="C115">
    <cfRule type="cellIs" priority="8" dxfId="2" operator="greaterThan" stopIfTrue="1">
      <formula>$C$117</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conditionalFormatting sqref="E52">
    <cfRule type="cellIs" priority="11" dxfId="142" operator="greaterThan" stopIfTrue="1">
      <formula>$E$54*0.1+E122</formula>
    </cfRule>
  </conditionalFormatting>
  <conditionalFormatting sqref="D116">
    <cfRule type="cellIs" priority="1" dxfId="0" operator="lessThan" stopIfTrue="1">
      <formula>0</formula>
    </cfRule>
  </conditionalFormatting>
  <printOptions/>
  <pageMargins left="1" right="0.5" top="0.81" bottom="0.36" header="0.5" footer="0"/>
  <pageSetup blackAndWhite="1" fitToHeight="2" horizontalDpi="600" verticalDpi="600" orientation="portrait" scale="85" r:id="rId1"/>
  <headerFooter alignWithMargins="0">
    <oddHeader>&amp;RState of Kansas
County
</oddHeader>
  </headerFooter>
  <rowBreaks count="1" manualBreakCount="1">
    <brk id="57" max="4" man="1"/>
  </rowBreaks>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D420"/>
  <sheetViews>
    <sheetView zoomScalePageLayoutView="0" workbookViewId="0" topLeftCell="A1">
      <selection activeCell="A1" sqref="A1"/>
    </sheetView>
  </sheetViews>
  <sheetFormatPr defaultColWidth="8.796875" defaultRowHeight="15"/>
  <cols>
    <col min="1" max="1" width="30.796875" style="55" customWidth="1"/>
    <col min="2" max="3" width="15.796875" style="55" customWidth="1"/>
    <col min="4" max="4" width="16.09765625" style="55" customWidth="1"/>
    <col min="5" max="16384" width="8.8984375" style="55" customWidth="1"/>
  </cols>
  <sheetData>
    <row r="1" spans="1:4" ht="15.75">
      <c r="A1" s="199" t="str">
        <f>inputPrYr!C2</f>
        <v>Edwards County</v>
      </c>
      <c r="B1" s="59"/>
      <c r="C1" s="271"/>
      <c r="D1" s="59">
        <f>inputPrYr!C4</f>
        <v>2012</v>
      </c>
    </row>
    <row r="2" spans="1:4" ht="15.75">
      <c r="A2" s="59"/>
      <c r="B2" s="59"/>
      <c r="C2" s="59"/>
      <c r="D2" s="271"/>
    </row>
    <row r="3" spans="1:4" ht="15.75">
      <c r="A3" s="126" t="s">
        <v>160</v>
      </c>
      <c r="B3" s="284"/>
      <c r="C3" s="284"/>
      <c r="D3" s="284"/>
    </row>
    <row r="4" spans="1:4" ht="15.75">
      <c r="A4" s="271" t="s">
        <v>78</v>
      </c>
      <c r="B4" s="434" t="str">
        <f>general!C4</f>
        <v>Prior Year Actual</v>
      </c>
      <c r="C4" s="394" t="str">
        <f>general!D4</f>
        <v>Current Year Estimate</v>
      </c>
      <c r="D4" s="394" t="str">
        <f>general!E4</f>
        <v>Proposed Budget Year</v>
      </c>
    </row>
    <row r="5" spans="1:4" ht="15.75">
      <c r="A5" s="400" t="s">
        <v>298</v>
      </c>
      <c r="B5" s="285">
        <f>general!C5</f>
        <v>2010</v>
      </c>
      <c r="C5" s="285">
        <f>general!D5</f>
        <v>2011</v>
      </c>
      <c r="D5" s="272">
        <f>general!E5</f>
        <v>2012</v>
      </c>
    </row>
    <row r="6" spans="1:4" ht="15.75">
      <c r="A6" s="232" t="s">
        <v>89</v>
      </c>
      <c r="B6" s="101"/>
      <c r="C6" s="101"/>
      <c r="D6" s="101"/>
    </row>
    <row r="7" spans="1:4" ht="15.75">
      <c r="A7" s="293" t="s">
        <v>363</v>
      </c>
      <c r="B7" s="101"/>
      <c r="C7" s="101"/>
      <c r="D7" s="101"/>
    </row>
    <row r="8" spans="1:4" ht="15.75">
      <c r="A8" s="84" t="s">
        <v>94</v>
      </c>
      <c r="B8" s="276">
        <v>45670</v>
      </c>
      <c r="C8" s="276">
        <v>46000</v>
      </c>
      <c r="D8" s="276">
        <v>47000</v>
      </c>
    </row>
    <row r="9" spans="1:4" ht="15.75">
      <c r="A9" s="84" t="s">
        <v>95</v>
      </c>
      <c r="B9" s="276">
        <v>355</v>
      </c>
      <c r="C9" s="276">
        <v>500</v>
      </c>
      <c r="D9" s="276">
        <v>1500</v>
      </c>
    </row>
    <row r="10" spans="1:4" ht="15.75">
      <c r="A10" s="84" t="s">
        <v>96</v>
      </c>
      <c r="B10" s="276"/>
      <c r="C10" s="276">
        <v>500</v>
      </c>
      <c r="D10" s="276">
        <v>500</v>
      </c>
    </row>
    <row r="11" spans="1:4" ht="15.75">
      <c r="A11" s="84" t="s">
        <v>97</v>
      </c>
      <c r="B11" s="276"/>
      <c r="C11" s="276"/>
      <c r="D11" s="276"/>
    </row>
    <row r="12" spans="1:4" ht="15.75">
      <c r="A12" s="263"/>
      <c r="B12" s="276"/>
      <c r="C12" s="276"/>
      <c r="D12" s="276"/>
    </row>
    <row r="13" spans="1:4" ht="15.75">
      <c r="A13" s="271" t="s">
        <v>50</v>
      </c>
      <c r="B13" s="294">
        <f>SUM(B8:B12)</f>
        <v>46025</v>
      </c>
      <c r="C13" s="294">
        <f>SUM(C8:C12)</f>
        <v>47000</v>
      </c>
      <c r="D13" s="294">
        <f>SUM(D8:D12)</f>
        <v>49000</v>
      </c>
    </row>
    <row r="14" spans="1:4" ht="15.75">
      <c r="A14" s="293" t="s">
        <v>68</v>
      </c>
      <c r="B14" s="101"/>
      <c r="C14" s="101"/>
      <c r="D14" s="101"/>
    </row>
    <row r="15" spans="1:4" ht="15.75">
      <c r="A15" s="84" t="s">
        <v>94</v>
      </c>
      <c r="B15" s="276">
        <v>85135</v>
      </c>
      <c r="C15" s="276">
        <v>86000</v>
      </c>
      <c r="D15" s="276">
        <v>89000</v>
      </c>
    </row>
    <row r="16" spans="1:4" ht="15.75">
      <c r="A16" s="84" t="s">
        <v>95</v>
      </c>
      <c r="B16" s="276">
        <v>493</v>
      </c>
      <c r="C16" s="276">
        <v>1000</v>
      </c>
      <c r="D16" s="276">
        <v>4000</v>
      </c>
    </row>
    <row r="17" spans="1:4" ht="15.75">
      <c r="A17" s="84" t="s">
        <v>96</v>
      </c>
      <c r="B17" s="276">
        <v>1815</v>
      </c>
      <c r="C17" s="276">
        <v>2500</v>
      </c>
      <c r="D17" s="276">
        <v>4000</v>
      </c>
    </row>
    <row r="18" spans="1:4" ht="15.75">
      <c r="A18" s="84" t="s">
        <v>97</v>
      </c>
      <c r="B18" s="276">
        <v>0</v>
      </c>
      <c r="C18" s="276"/>
      <c r="D18" s="276"/>
    </row>
    <row r="19" spans="1:4" ht="15.75">
      <c r="A19" s="84" t="s">
        <v>376</v>
      </c>
      <c r="B19" s="276">
        <v>-393</v>
      </c>
      <c r="C19" s="276">
        <v>-300</v>
      </c>
      <c r="D19" s="276"/>
    </row>
    <row r="20" spans="1:4" ht="15.75">
      <c r="A20" s="271" t="s">
        <v>50</v>
      </c>
      <c r="B20" s="294">
        <f>SUM(B15:B19)</f>
        <v>87050</v>
      </c>
      <c r="C20" s="294">
        <f>SUM(C15:C19)</f>
        <v>89200</v>
      </c>
      <c r="D20" s="294">
        <f>SUM(D15:D19)</f>
        <v>97000</v>
      </c>
    </row>
    <row r="21" spans="1:4" ht="15.75">
      <c r="A21" s="293" t="s">
        <v>100</v>
      </c>
      <c r="B21" s="101"/>
      <c r="C21" s="101"/>
      <c r="D21" s="101"/>
    </row>
    <row r="22" spans="1:4" ht="15.75">
      <c r="A22" s="84" t="s">
        <v>94</v>
      </c>
      <c r="B22" s="276">
        <v>95930</v>
      </c>
      <c r="C22" s="276">
        <v>98000</v>
      </c>
      <c r="D22" s="276">
        <v>103500</v>
      </c>
    </row>
    <row r="23" spans="1:4" ht="15.75">
      <c r="A23" s="84" t="s">
        <v>95</v>
      </c>
      <c r="B23" s="276">
        <v>5793</v>
      </c>
      <c r="C23" s="276">
        <v>5500</v>
      </c>
      <c r="D23" s="276">
        <v>5500</v>
      </c>
    </row>
    <row r="24" spans="1:4" ht="15.75">
      <c r="A24" s="84" t="s">
        <v>96</v>
      </c>
      <c r="B24" s="276">
        <v>2063</v>
      </c>
      <c r="C24" s="276">
        <v>1800</v>
      </c>
      <c r="D24" s="276">
        <v>1000</v>
      </c>
    </row>
    <row r="25" spans="1:4" ht="15.75">
      <c r="A25" s="84" t="s">
        <v>97</v>
      </c>
      <c r="B25" s="276"/>
      <c r="C25" s="276"/>
      <c r="D25" s="276"/>
    </row>
    <row r="26" spans="1:4" ht="15.75">
      <c r="A26" s="448"/>
      <c r="B26" s="449"/>
      <c r="C26" s="449"/>
      <c r="D26" s="449"/>
    </row>
    <row r="27" spans="1:4" ht="15.75">
      <c r="A27" s="271" t="s">
        <v>50</v>
      </c>
      <c r="B27" s="294">
        <f>SUM(B22:B25)</f>
        <v>103786</v>
      </c>
      <c r="C27" s="294">
        <f>SUM(C22:C25)</f>
        <v>105300</v>
      </c>
      <c r="D27" s="294">
        <f>SUM(D22:D25)</f>
        <v>110000</v>
      </c>
    </row>
    <row r="28" spans="1:4" ht="15.75">
      <c r="A28" s="293" t="s">
        <v>364</v>
      </c>
      <c r="B28" s="101"/>
      <c r="C28" s="101"/>
      <c r="D28" s="101"/>
    </row>
    <row r="29" spans="1:4" ht="15.75">
      <c r="A29" s="84" t="s">
        <v>94</v>
      </c>
      <c r="B29" s="276">
        <v>34228</v>
      </c>
      <c r="C29" s="276">
        <v>34500</v>
      </c>
      <c r="D29" s="276">
        <v>33500</v>
      </c>
    </row>
    <row r="30" spans="1:4" ht="15.75">
      <c r="A30" s="84" t="s">
        <v>95</v>
      </c>
      <c r="B30" s="276">
        <v>27657</v>
      </c>
      <c r="C30" s="276">
        <v>30900</v>
      </c>
      <c r="D30" s="276">
        <v>30700</v>
      </c>
    </row>
    <row r="31" spans="1:4" ht="15.75">
      <c r="A31" s="84" t="s">
        <v>96</v>
      </c>
      <c r="B31" s="276">
        <v>192</v>
      </c>
      <c r="C31" s="276">
        <v>500</v>
      </c>
      <c r="D31" s="276">
        <v>1200</v>
      </c>
    </row>
    <row r="32" spans="1:4" ht="15.75">
      <c r="A32" s="84" t="s">
        <v>97</v>
      </c>
      <c r="B32" s="276">
        <v>1375</v>
      </c>
      <c r="C32" s="276"/>
      <c r="D32" s="276"/>
    </row>
    <row r="33" spans="1:4" ht="15.75">
      <c r="A33" s="448"/>
      <c r="B33" s="449"/>
      <c r="C33" s="449"/>
      <c r="D33" s="449"/>
    </row>
    <row r="34" spans="1:4" ht="15.75">
      <c r="A34" s="271" t="s">
        <v>50</v>
      </c>
      <c r="B34" s="294">
        <f>SUM(B29:B32)</f>
        <v>63452</v>
      </c>
      <c r="C34" s="294">
        <f>SUM(C29:C32)</f>
        <v>65900</v>
      </c>
      <c r="D34" s="294">
        <f>SUM(D29:D32)</f>
        <v>65400</v>
      </c>
    </row>
    <row r="35" spans="1:4" ht="15.75">
      <c r="A35" s="293" t="s">
        <v>108</v>
      </c>
      <c r="B35" s="101"/>
      <c r="C35" s="101"/>
      <c r="D35" s="101"/>
    </row>
    <row r="36" spans="1:4" ht="15.75">
      <c r="A36" s="84" t="s">
        <v>94</v>
      </c>
      <c r="B36" s="276">
        <v>59501</v>
      </c>
      <c r="C36" s="276">
        <v>62000</v>
      </c>
      <c r="D36" s="276">
        <v>63000</v>
      </c>
    </row>
    <row r="37" spans="1:4" ht="15.75">
      <c r="A37" s="84" t="s">
        <v>95</v>
      </c>
      <c r="B37" s="276">
        <v>1179</v>
      </c>
      <c r="C37" s="276">
        <v>2000</v>
      </c>
      <c r="D37" s="276">
        <v>2500</v>
      </c>
    </row>
    <row r="38" spans="1:4" ht="15.75">
      <c r="A38" s="84" t="s">
        <v>96</v>
      </c>
      <c r="B38" s="276">
        <v>2593</v>
      </c>
      <c r="C38" s="276">
        <v>3000</v>
      </c>
      <c r="D38" s="276">
        <v>2500</v>
      </c>
    </row>
    <row r="39" spans="1:4" ht="15.75">
      <c r="A39" s="278" t="s">
        <v>97</v>
      </c>
      <c r="B39" s="276">
        <v>570</v>
      </c>
      <c r="C39" s="276"/>
      <c r="D39" s="276">
        <v>2000</v>
      </c>
    </row>
    <row r="40" spans="1:4" ht="15.75">
      <c r="A40" s="271" t="s">
        <v>50</v>
      </c>
      <c r="B40" s="294">
        <f>SUM(B36:B39)</f>
        <v>63843</v>
      </c>
      <c r="C40" s="294">
        <f>SUM(C36:C39)</f>
        <v>67000</v>
      </c>
      <c r="D40" s="294">
        <f>SUM(D36:D39)</f>
        <v>70000</v>
      </c>
    </row>
    <row r="41" spans="1:4" ht="15.75">
      <c r="A41" s="293" t="s">
        <v>77</v>
      </c>
      <c r="B41" s="101"/>
      <c r="C41" s="101"/>
      <c r="D41" s="101"/>
    </row>
    <row r="42" spans="1:4" ht="15.75">
      <c r="A42" s="84" t="s">
        <v>95</v>
      </c>
      <c r="B42" s="276">
        <v>28430</v>
      </c>
      <c r="C42" s="276">
        <v>40000</v>
      </c>
      <c r="D42" s="276">
        <v>45469</v>
      </c>
    </row>
    <row r="43" spans="1:4" ht="15.75">
      <c r="A43" s="84" t="s">
        <v>96</v>
      </c>
      <c r="B43" s="276">
        <v>1592</v>
      </c>
      <c r="C43" s="276">
        <v>2400</v>
      </c>
      <c r="D43" s="276">
        <v>2400</v>
      </c>
    </row>
    <row r="44" spans="1:4" ht="15.75">
      <c r="A44" s="84" t="s">
        <v>97</v>
      </c>
      <c r="B44" s="276">
        <v>3275</v>
      </c>
      <c r="C44" s="276">
        <v>5000</v>
      </c>
      <c r="D44" s="276">
        <v>5000</v>
      </c>
    </row>
    <row r="45" spans="1:4" ht="15.75">
      <c r="A45" s="84" t="s">
        <v>376</v>
      </c>
      <c r="B45" s="276">
        <v>-1651</v>
      </c>
      <c r="C45" s="276"/>
      <c r="D45" s="276"/>
    </row>
    <row r="46" spans="1:4" ht="15.75">
      <c r="A46" s="448"/>
      <c r="B46" s="449"/>
      <c r="C46" s="449"/>
      <c r="D46" s="449"/>
    </row>
    <row r="47" spans="1:4" ht="15.75">
      <c r="A47" s="271" t="s">
        <v>50</v>
      </c>
      <c r="B47" s="294">
        <f>SUM(B42:B45)</f>
        <v>31646</v>
      </c>
      <c r="C47" s="294">
        <f>SUM(C42:C45)</f>
        <v>47400</v>
      </c>
      <c r="D47" s="294">
        <f>SUM(D42:D45)</f>
        <v>52869</v>
      </c>
    </row>
    <row r="48" spans="1:4" ht="15.75">
      <c r="A48" s="293" t="s">
        <v>365</v>
      </c>
      <c r="B48" s="101"/>
      <c r="C48" s="101"/>
      <c r="D48" s="101"/>
    </row>
    <row r="49" spans="1:4" ht="15.75">
      <c r="A49" s="84" t="s">
        <v>94</v>
      </c>
      <c r="B49" s="276"/>
      <c r="C49" s="276"/>
      <c r="D49" s="276"/>
    </row>
    <row r="50" spans="1:4" ht="15.75">
      <c r="A50" s="84" t="s">
        <v>95</v>
      </c>
      <c r="B50" s="276">
        <v>145450</v>
      </c>
      <c r="C50" s="276">
        <v>150000</v>
      </c>
      <c r="D50" s="276">
        <v>213000</v>
      </c>
    </row>
    <row r="51" spans="1:4" ht="15.75">
      <c r="A51" s="84" t="s">
        <v>96</v>
      </c>
      <c r="B51" s="276">
        <v>30999</v>
      </c>
      <c r="C51" s="276">
        <v>35000</v>
      </c>
      <c r="D51" s="276">
        <v>35000</v>
      </c>
    </row>
    <row r="52" spans="1:4" ht="15.75">
      <c r="A52" s="84" t="s">
        <v>97</v>
      </c>
      <c r="B52" s="276">
        <v>1594</v>
      </c>
      <c r="C52" s="276">
        <v>0</v>
      </c>
      <c r="D52" s="276">
        <v>0</v>
      </c>
    </row>
    <row r="53" spans="1:4" ht="15.75">
      <c r="A53" s="84" t="s">
        <v>377</v>
      </c>
      <c r="B53" s="276">
        <v>11634</v>
      </c>
      <c r="C53" s="276">
        <v>12000</v>
      </c>
      <c r="D53" s="276">
        <v>12000</v>
      </c>
    </row>
    <row r="54" spans="1:4" ht="15.75">
      <c r="A54" s="84" t="s">
        <v>376</v>
      </c>
      <c r="B54" s="276">
        <v>-2293</v>
      </c>
      <c r="C54" s="276"/>
      <c r="D54" s="276"/>
    </row>
    <row r="55" spans="1:4" ht="15.75">
      <c r="A55" s="271" t="s">
        <v>50</v>
      </c>
      <c r="B55" s="294">
        <f>SUM(B49:B54)</f>
        <v>187384</v>
      </c>
      <c r="C55" s="294">
        <f>SUM(C49:C54)</f>
        <v>197000</v>
      </c>
      <c r="D55" s="294">
        <f>SUM(D49:D54)</f>
        <v>260000</v>
      </c>
    </row>
    <row r="56" spans="1:4" ht="15.75">
      <c r="A56" s="293" t="s">
        <v>99</v>
      </c>
      <c r="B56" s="101"/>
      <c r="C56" s="101"/>
      <c r="D56" s="101"/>
    </row>
    <row r="57" spans="1:4" ht="15.75">
      <c r="A57" s="84" t="s">
        <v>94</v>
      </c>
      <c r="B57" s="276">
        <v>79523</v>
      </c>
      <c r="C57" s="276">
        <v>81500</v>
      </c>
      <c r="D57" s="276">
        <v>82200</v>
      </c>
    </row>
    <row r="58" spans="1:4" ht="15.75">
      <c r="A58" s="84" t="s">
        <v>95</v>
      </c>
      <c r="B58" s="276">
        <v>14063</v>
      </c>
      <c r="C58" s="276">
        <v>16000</v>
      </c>
      <c r="D58" s="276">
        <v>15000</v>
      </c>
    </row>
    <row r="59" spans="1:4" ht="15.75">
      <c r="A59" s="84" t="s">
        <v>96</v>
      </c>
      <c r="B59" s="276">
        <v>1658</v>
      </c>
      <c r="C59" s="276">
        <v>2500</v>
      </c>
      <c r="D59" s="276">
        <v>2500</v>
      </c>
    </row>
    <row r="60" spans="1:4" ht="15.75">
      <c r="A60" s="84" t="s">
        <v>97</v>
      </c>
      <c r="B60" s="276"/>
      <c r="C60" s="276"/>
      <c r="D60" s="276">
        <v>1000</v>
      </c>
    </row>
    <row r="61" spans="1:4" ht="15.75">
      <c r="A61" s="448"/>
      <c r="B61" s="276"/>
      <c r="C61" s="276"/>
      <c r="D61" s="276"/>
    </row>
    <row r="62" spans="1:4" ht="15.75">
      <c r="A62" s="271" t="s">
        <v>50</v>
      </c>
      <c r="B62" s="288">
        <f>SUM(B57:B60)</f>
        <v>95244</v>
      </c>
      <c r="C62" s="288">
        <f>SUM(C57:C60)</f>
        <v>100000</v>
      </c>
      <c r="D62" s="288">
        <f>SUM(D57:D60)</f>
        <v>100700</v>
      </c>
    </row>
    <row r="63" spans="1:4" ht="15.75">
      <c r="A63" s="59"/>
      <c r="B63" s="101"/>
      <c r="C63" s="101"/>
      <c r="D63" s="101"/>
    </row>
    <row r="64" spans="1:4" ht="15.75">
      <c r="A64" s="271" t="s">
        <v>233</v>
      </c>
      <c r="B64" s="282">
        <f>+B62+B55+B47+B40+B34+B27+B20+B13</f>
        <v>678430</v>
      </c>
      <c r="C64" s="282">
        <f>+C62+C55+C47+C40+C34+C27+C20+C13</f>
        <v>718800</v>
      </c>
      <c r="D64" s="282">
        <f>+D62+D55+D47+D40+D34+D27+D20+D13</f>
        <v>804969</v>
      </c>
    </row>
    <row r="65" spans="1:4" ht="15.75">
      <c r="A65" s="59"/>
      <c r="B65" s="199"/>
      <c r="C65" s="199"/>
      <c r="D65" s="199"/>
    </row>
    <row r="66" spans="1:4" ht="15.75">
      <c r="A66" s="506" t="s">
        <v>215</v>
      </c>
      <c r="B66" s="506"/>
      <c r="C66" s="506"/>
      <c r="D66" s="506"/>
    </row>
    <row r="67" spans="1:4" ht="15.75" hidden="1">
      <c r="A67" s="59"/>
      <c r="B67" s="199"/>
      <c r="C67" s="199"/>
      <c r="D67" s="199"/>
    </row>
    <row r="68" spans="1:4" ht="15.75">
      <c r="A68" s="199" t="str">
        <f>inputPrYr!C2</f>
        <v>Edwards County</v>
      </c>
      <c r="B68" s="199"/>
      <c r="C68" s="58"/>
      <c r="D68" s="295">
        <f>D1</f>
        <v>2012</v>
      </c>
    </row>
    <row r="69" spans="1:4" ht="15.75">
      <c r="A69" s="59"/>
      <c r="B69" s="199"/>
      <c r="C69" s="199"/>
      <c r="D69" s="58"/>
    </row>
    <row r="70" spans="1:4" ht="15.75">
      <c r="A70" s="283" t="s">
        <v>159</v>
      </c>
      <c r="B70" s="296"/>
      <c r="C70" s="296"/>
      <c r="D70" s="296"/>
    </row>
    <row r="71" spans="1:4" ht="15.75">
      <c r="A71" s="59" t="s">
        <v>78</v>
      </c>
      <c r="B71" s="434" t="str">
        <f aca="true" t="shared" si="0" ref="B71:D72">B4</f>
        <v>Prior Year Actual</v>
      </c>
      <c r="C71" s="394" t="str">
        <f t="shared" si="0"/>
        <v>Current Year Estimate</v>
      </c>
      <c r="D71" s="394" t="str">
        <f t="shared" si="0"/>
        <v>Proposed Budget Year</v>
      </c>
    </row>
    <row r="72" spans="1:4" ht="15.75">
      <c r="A72" s="88" t="s">
        <v>93</v>
      </c>
      <c r="B72" s="285">
        <f t="shared" si="0"/>
        <v>2010</v>
      </c>
      <c r="C72" s="285">
        <f t="shared" si="0"/>
        <v>2011</v>
      </c>
      <c r="D72" s="285">
        <f t="shared" si="0"/>
        <v>2012</v>
      </c>
    </row>
    <row r="73" spans="1:4" ht="15.75">
      <c r="A73" s="271" t="s">
        <v>89</v>
      </c>
      <c r="B73" s="101"/>
      <c r="C73" s="101"/>
      <c r="D73" s="101"/>
    </row>
    <row r="74" spans="1:4" ht="15.75">
      <c r="A74" s="293" t="s">
        <v>366</v>
      </c>
      <c r="B74" s="101"/>
      <c r="C74" s="101"/>
      <c r="D74" s="101"/>
    </row>
    <row r="75" spans="1:4" ht="15.75">
      <c r="A75" s="84" t="s">
        <v>94</v>
      </c>
      <c r="B75" s="276"/>
      <c r="C75" s="276"/>
      <c r="D75" s="276"/>
    </row>
    <row r="76" spans="1:4" ht="15.75">
      <c r="A76" s="84" t="s">
        <v>95</v>
      </c>
      <c r="B76" s="276">
        <v>9660</v>
      </c>
      <c r="C76" s="276">
        <v>10500</v>
      </c>
      <c r="D76" s="276">
        <v>11000</v>
      </c>
    </row>
    <row r="77" spans="1:4" ht="15.75">
      <c r="A77" s="84" t="s">
        <v>96</v>
      </c>
      <c r="B77" s="276"/>
      <c r="C77" s="276"/>
      <c r="D77" s="276"/>
    </row>
    <row r="78" spans="1:4" ht="15.75">
      <c r="A78" s="84" t="s">
        <v>97</v>
      </c>
      <c r="B78" s="276"/>
      <c r="C78" s="276"/>
      <c r="D78" s="276"/>
    </row>
    <row r="79" spans="1:4" ht="15.75">
      <c r="A79" s="297" t="s">
        <v>50</v>
      </c>
      <c r="B79" s="294">
        <f>SUM(B75:B78)</f>
        <v>9660</v>
      </c>
      <c r="C79" s="294">
        <f>SUM(C75:C78)</f>
        <v>10500</v>
      </c>
      <c r="D79" s="294">
        <f>SUM(D75:D78)</f>
        <v>11000</v>
      </c>
    </row>
    <row r="80" spans="1:4" ht="15.75">
      <c r="A80" s="293" t="s">
        <v>367</v>
      </c>
      <c r="B80" s="101"/>
      <c r="C80" s="101"/>
      <c r="D80" s="101"/>
    </row>
    <row r="81" spans="1:4" ht="15.75">
      <c r="A81" s="84" t="s">
        <v>94</v>
      </c>
      <c r="B81" s="276">
        <v>2500</v>
      </c>
      <c r="C81" s="276">
        <v>2500</v>
      </c>
      <c r="D81" s="276">
        <v>2500</v>
      </c>
    </row>
    <row r="82" spans="1:4" ht="15.75">
      <c r="A82" s="84" t="s">
        <v>95</v>
      </c>
      <c r="B82" s="276"/>
      <c r="C82" s="276"/>
      <c r="D82" s="276">
        <v>500</v>
      </c>
    </row>
    <row r="83" spans="1:4" ht="15.75">
      <c r="A83" s="84" t="s">
        <v>96</v>
      </c>
      <c r="B83" s="276"/>
      <c r="C83" s="276"/>
      <c r="D83" s="276"/>
    </row>
    <row r="84" spans="1:4" ht="15.75">
      <c r="A84" s="84" t="s">
        <v>97</v>
      </c>
      <c r="B84" s="276"/>
      <c r="C84" s="276"/>
      <c r="D84" s="276"/>
    </row>
    <row r="85" spans="1:4" ht="15.75">
      <c r="A85" s="271" t="s">
        <v>50</v>
      </c>
      <c r="B85" s="288">
        <f>SUM(B81:B84)</f>
        <v>2500</v>
      </c>
      <c r="C85" s="288">
        <f>SUM(C81:C84)</f>
        <v>2500</v>
      </c>
      <c r="D85" s="288">
        <f>SUM(D81:D84)</f>
        <v>3000</v>
      </c>
    </row>
    <row r="86" spans="1:4" ht="15.75">
      <c r="A86" s="293" t="s">
        <v>103</v>
      </c>
      <c r="B86" s="101"/>
      <c r="C86" s="101"/>
      <c r="D86" s="101"/>
    </row>
    <row r="87" spans="1:4" ht="15.75">
      <c r="A87" s="84" t="s">
        <v>94</v>
      </c>
      <c r="B87" s="276">
        <v>11245</v>
      </c>
      <c r="C87" s="276">
        <v>10000</v>
      </c>
      <c r="D87" s="276">
        <v>13000</v>
      </c>
    </row>
    <row r="88" spans="1:4" ht="15.75">
      <c r="A88" s="84" t="s">
        <v>95</v>
      </c>
      <c r="B88" s="276">
        <v>11520</v>
      </c>
      <c r="C88" s="276">
        <v>12000</v>
      </c>
      <c r="D88" s="276">
        <v>14500</v>
      </c>
    </row>
    <row r="89" spans="1:4" ht="15.75">
      <c r="A89" s="84" t="s">
        <v>96</v>
      </c>
      <c r="B89" s="276">
        <v>1288</v>
      </c>
      <c r="C89" s="276">
        <v>2000</v>
      </c>
      <c r="D89" s="276">
        <v>2500</v>
      </c>
    </row>
    <row r="90" spans="1:4" ht="15.75">
      <c r="A90" s="84" t="s">
        <v>97</v>
      </c>
      <c r="B90" s="276">
        <v>639</v>
      </c>
      <c r="C90" s="276"/>
      <c r="D90" s="276"/>
    </row>
    <row r="91" spans="1:4" ht="15.75">
      <c r="A91" s="271" t="s">
        <v>50</v>
      </c>
      <c r="B91" s="288">
        <f>SUM(B87:B90)</f>
        <v>24692</v>
      </c>
      <c r="C91" s="288">
        <f>SUM(C87:C90)</f>
        <v>24000</v>
      </c>
      <c r="D91" s="288">
        <f>SUM(D87:D90)</f>
        <v>30000</v>
      </c>
    </row>
    <row r="92" spans="1:4" ht="15.75">
      <c r="A92" s="293" t="s">
        <v>368</v>
      </c>
      <c r="B92" s="101"/>
      <c r="C92" s="101"/>
      <c r="D92" s="101"/>
    </row>
    <row r="93" spans="1:4" ht="15.75">
      <c r="A93" s="84" t="s">
        <v>95</v>
      </c>
      <c r="B93" s="276">
        <v>73088</v>
      </c>
      <c r="C93" s="276">
        <v>75000</v>
      </c>
      <c r="D93" s="276">
        <v>83000</v>
      </c>
    </row>
    <row r="94" spans="1:4" ht="15.75" hidden="1">
      <c r="A94" s="84"/>
      <c r="B94" s="276"/>
      <c r="C94" s="276"/>
      <c r="D94" s="276"/>
    </row>
    <row r="95" spans="1:4" ht="15.75" hidden="1">
      <c r="A95" s="84"/>
      <c r="B95" s="276"/>
      <c r="C95" s="276"/>
      <c r="D95" s="276"/>
    </row>
    <row r="96" spans="1:4" ht="15.75" hidden="1">
      <c r="A96" s="84"/>
      <c r="B96" s="276"/>
      <c r="C96" s="276"/>
      <c r="D96" s="276"/>
    </row>
    <row r="97" spans="1:4" ht="15.75" hidden="1">
      <c r="A97" s="263"/>
      <c r="B97" s="276"/>
      <c r="C97" s="276"/>
      <c r="D97" s="276"/>
    </row>
    <row r="98" spans="1:4" ht="15.75">
      <c r="A98" s="271" t="s">
        <v>50</v>
      </c>
      <c r="B98" s="288">
        <f>SUM(B93:B97)</f>
        <v>73088</v>
      </c>
      <c r="C98" s="288">
        <f>SUM(C93:C97)</f>
        <v>75000</v>
      </c>
      <c r="D98" s="288">
        <f>SUM(D93:D97)</f>
        <v>83000</v>
      </c>
    </row>
    <row r="99" spans="1:4" ht="15.75">
      <c r="A99" s="293" t="s">
        <v>110</v>
      </c>
      <c r="B99" s="101"/>
      <c r="C99" s="101"/>
      <c r="D99" s="101"/>
    </row>
    <row r="100" spans="1:4" ht="15.75">
      <c r="A100" s="84" t="s">
        <v>378</v>
      </c>
      <c r="B100" s="276">
        <v>25000</v>
      </c>
      <c r="C100" s="276">
        <v>22955</v>
      </c>
      <c r="D100" s="276">
        <v>22955</v>
      </c>
    </row>
    <row r="101" spans="1:4" ht="15.75" hidden="1">
      <c r="A101" s="84"/>
      <c r="B101" s="276"/>
      <c r="C101" s="276"/>
      <c r="D101" s="276"/>
    </row>
    <row r="102" spans="1:4" ht="15.75" hidden="1">
      <c r="A102" s="84"/>
      <c r="B102" s="276"/>
      <c r="C102" s="276"/>
      <c r="D102" s="276"/>
    </row>
    <row r="103" spans="1:4" ht="15.75" hidden="1">
      <c r="A103" s="84"/>
      <c r="B103" s="276"/>
      <c r="C103" s="276"/>
      <c r="D103" s="276"/>
    </row>
    <row r="104" spans="1:4" ht="15.75">
      <c r="A104" s="271" t="s">
        <v>50</v>
      </c>
      <c r="B104" s="288">
        <f>SUM(B100:B103)</f>
        <v>25000</v>
      </c>
      <c r="C104" s="288">
        <f>SUM(C100:C103)</f>
        <v>22955</v>
      </c>
      <c r="D104" s="288">
        <f>SUM(D100:D103)</f>
        <v>22955</v>
      </c>
    </row>
    <row r="105" spans="1:4" ht="15.75">
      <c r="A105" s="293" t="s">
        <v>369</v>
      </c>
      <c r="B105" s="101"/>
      <c r="C105" s="101"/>
      <c r="D105" s="101"/>
    </row>
    <row r="106" spans="1:4" ht="15.75">
      <c r="A106" s="84" t="s">
        <v>94</v>
      </c>
      <c r="B106" s="276">
        <v>378800</v>
      </c>
      <c r="C106" s="276">
        <v>385000</v>
      </c>
      <c r="D106" s="276">
        <v>390000</v>
      </c>
    </row>
    <row r="107" spans="1:4" ht="15.75">
      <c r="A107" s="84" t="s">
        <v>95</v>
      </c>
      <c r="B107" s="276">
        <v>31578</v>
      </c>
      <c r="C107" s="276">
        <v>30000</v>
      </c>
      <c r="D107" s="276">
        <v>46070</v>
      </c>
    </row>
    <row r="108" spans="1:4" ht="15.75">
      <c r="A108" s="84" t="s">
        <v>96</v>
      </c>
      <c r="B108" s="276">
        <v>62261</v>
      </c>
      <c r="C108" s="276">
        <v>53900</v>
      </c>
      <c r="D108" s="276">
        <v>62400</v>
      </c>
    </row>
    <row r="109" spans="1:4" ht="15.75">
      <c r="A109" s="84" t="s">
        <v>97</v>
      </c>
      <c r="B109" s="276">
        <v>6187</v>
      </c>
      <c r="C109" s="276">
        <v>1000</v>
      </c>
      <c r="D109" s="276"/>
    </row>
    <row r="110" spans="1:4" ht="15.75">
      <c r="A110" s="84" t="s">
        <v>376</v>
      </c>
      <c r="B110" s="276">
        <v>-14922</v>
      </c>
      <c r="C110" s="276"/>
      <c r="D110" s="276"/>
    </row>
    <row r="111" spans="1:4" ht="15.75">
      <c r="A111" s="271" t="s">
        <v>50</v>
      </c>
      <c r="B111" s="288">
        <f>SUM(B106:B110)</f>
        <v>463904</v>
      </c>
      <c r="C111" s="288">
        <f>SUM(C106:C110)</f>
        <v>469900</v>
      </c>
      <c r="D111" s="288">
        <f>SUM(D106:D110)</f>
        <v>498470</v>
      </c>
    </row>
    <row r="112" spans="1:4" ht="15.75">
      <c r="A112" s="293" t="s">
        <v>332</v>
      </c>
      <c r="B112" s="101"/>
      <c r="C112" s="101"/>
      <c r="D112" s="101"/>
    </row>
    <row r="113" spans="1:4" ht="15.75">
      <c r="A113" s="84" t="s">
        <v>94</v>
      </c>
      <c r="B113" s="276">
        <v>7500</v>
      </c>
      <c r="C113" s="276">
        <v>7500</v>
      </c>
      <c r="D113" s="276">
        <v>7500</v>
      </c>
    </row>
    <row r="114" spans="1:4" ht="15.75">
      <c r="A114" s="84" t="s">
        <v>95</v>
      </c>
      <c r="B114" s="276">
        <v>1412</v>
      </c>
      <c r="C114" s="276">
        <v>1600</v>
      </c>
      <c r="D114" s="276">
        <v>1400</v>
      </c>
    </row>
    <row r="115" spans="1:4" ht="15.75">
      <c r="A115" s="84" t="s">
        <v>96</v>
      </c>
      <c r="B115" s="276">
        <v>26</v>
      </c>
      <c r="C115" s="276">
        <v>200</v>
      </c>
      <c r="D115" s="276">
        <v>100</v>
      </c>
    </row>
    <row r="116" spans="1:4" ht="15.75">
      <c r="A116" s="84" t="s">
        <v>97</v>
      </c>
      <c r="B116" s="276"/>
      <c r="C116" s="276"/>
      <c r="D116" s="276"/>
    </row>
    <row r="117" spans="1:4" ht="15.75">
      <c r="A117" s="84" t="s">
        <v>376</v>
      </c>
      <c r="B117" s="276">
        <v>-11</v>
      </c>
      <c r="C117" s="276"/>
      <c r="D117" s="276"/>
    </row>
    <row r="118" spans="1:4" ht="15.75">
      <c r="A118" s="271" t="s">
        <v>50</v>
      </c>
      <c r="B118" s="288">
        <f>SUM(B113:B117)</f>
        <v>8927</v>
      </c>
      <c r="C118" s="288">
        <f>SUM(C113:C117)</f>
        <v>9300</v>
      </c>
      <c r="D118" s="288">
        <f>SUM(D113:D117)</f>
        <v>9000</v>
      </c>
    </row>
    <row r="119" spans="1:4" ht="15.75">
      <c r="A119" s="293" t="s">
        <v>98</v>
      </c>
      <c r="B119" s="101"/>
      <c r="C119" s="101"/>
      <c r="D119" s="101"/>
    </row>
    <row r="120" spans="1:4" ht="15.75">
      <c r="A120" s="84" t="s">
        <v>379</v>
      </c>
      <c r="B120" s="276">
        <v>23853</v>
      </c>
      <c r="C120" s="276">
        <v>29853</v>
      </c>
      <c r="D120" s="276">
        <v>73332</v>
      </c>
    </row>
    <row r="121" spans="1:4" ht="15.75" hidden="1">
      <c r="A121" s="84"/>
      <c r="B121" s="276"/>
      <c r="C121" s="276"/>
      <c r="D121" s="276"/>
    </row>
    <row r="122" spans="1:4" ht="15.75" hidden="1">
      <c r="A122" s="84"/>
      <c r="B122" s="276"/>
      <c r="C122" s="276"/>
      <c r="D122" s="276"/>
    </row>
    <row r="123" spans="1:4" ht="15.75" hidden="1">
      <c r="A123" s="84"/>
      <c r="B123" s="276"/>
      <c r="C123" s="276"/>
      <c r="D123" s="276"/>
    </row>
    <row r="124" spans="1:4" ht="15.75">
      <c r="A124" s="271" t="s">
        <v>50</v>
      </c>
      <c r="B124" s="288">
        <f>SUM(B120:B123)</f>
        <v>23853</v>
      </c>
      <c r="C124" s="288">
        <f>SUM(C120:C123)</f>
        <v>29853</v>
      </c>
      <c r="D124" s="288">
        <f>SUM(D120:D123)</f>
        <v>73332</v>
      </c>
    </row>
    <row r="125" spans="1:4" ht="15.75">
      <c r="A125" s="293" t="s">
        <v>70</v>
      </c>
      <c r="B125" s="101"/>
      <c r="C125" s="101"/>
      <c r="D125" s="101"/>
    </row>
    <row r="126" spans="1:4" ht="15.75">
      <c r="A126" s="84" t="s">
        <v>378</v>
      </c>
      <c r="B126" s="276">
        <v>26400</v>
      </c>
      <c r="C126" s="276">
        <v>26400</v>
      </c>
      <c r="D126" s="276">
        <v>26400</v>
      </c>
    </row>
    <row r="127" spans="1:4" ht="15.75" hidden="1">
      <c r="A127" s="84"/>
      <c r="B127" s="276"/>
      <c r="C127" s="276"/>
      <c r="D127" s="276"/>
    </row>
    <row r="128" spans="1:4" ht="15.75" hidden="1">
      <c r="A128" s="84"/>
      <c r="B128" s="276"/>
      <c r="C128" s="276"/>
      <c r="D128" s="276"/>
    </row>
    <row r="129" spans="1:4" ht="15.75" hidden="1">
      <c r="A129" s="84"/>
      <c r="B129" s="276"/>
      <c r="C129" s="276"/>
      <c r="D129" s="276"/>
    </row>
    <row r="130" spans="1:4" ht="15.75" hidden="1">
      <c r="A130" s="84"/>
      <c r="B130" s="276"/>
      <c r="C130" s="276"/>
      <c r="D130" s="276"/>
    </row>
    <row r="131" spans="1:4" ht="15.75" hidden="1">
      <c r="A131" s="84"/>
      <c r="B131" s="276"/>
      <c r="C131" s="276"/>
      <c r="D131" s="276"/>
    </row>
    <row r="132" spans="1:4" ht="15.75">
      <c r="A132" s="271" t="s">
        <v>50</v>
      </c>
      <c r="B132" s="288">
        <f>SUM(B126:B131)</f>
        <v>26400</v>
      </c>
      <c r="C132" s="288">
        <f>SUM(C126:C131)</f>
        <v>26400</v>
      </c>
      <c r="D132" s="288">
        <f>SUM(D126:D131)</f>
        <v>26400</v>
      </c>
    </row>
    <row r="133" spans="1:4" ht="15.75">
      <c r="A133" s="293" t="s">
        <v>107</v>
      </c>
      <c r="B133" s="101"/>
      <c r="C133" s="101"/>
      <c r="D133" s="101"/>
    </row>
    <row r="134" spans="1:4" ht="15.75">
      <c r="A134" s="84" t="s">
        <v>378</v>
      </c>
      <c r="B134" s="276">
        <v>35000</v>
      </c>
      <c r="C134" s="276">
        <v>31500</v>
      </c>
      <c r="D134" s="276">
        <v>31500</v>
      </c>
    </row>
    <row r="135" spans="1:4" ht="15.75" hidden="1">
      <c r="A135" s="84"/>
      <c r="B135" s="276"/>
      <c r="C135" s="276"/>
      <c r="D135" s="276"/>
    </row>
    <row r="136" spans="1:4" ht="15.75" hidden="1">
      <c r="A136" s="84"/>
      <c r="B136" s="276"/>
      <c r="C136" s="276"/>
      <c r="D136" s="276"/>
    </row>
    <row r="137" spans="1:4" ht="15.75" hidden="1">
      <c r="A137" s="84"/>
      <c r="B137" s="276"/>
      <c r="C137" s="276"/>
      <c r="D137" s="276"/>
    </row>
    <row r="138" spans="1:4" ht="15.75">
      <c r="A138" s="271" t="s">
        <v>50</v>
      </c>
      <c r="B138" s="288">
        <f>SUM(B134:B137)</f>
        <v>35000</v>
      </c>
      <c r="C138" s="288">
        <f>SUM(C134:C137)</f>
        <v>31500</v>
      </c>
      <c r="D138" s="288">
        <f>SUM(D134:D137)</f>
        <v>31500</v>
      </c>
    </row>
    <row r="139" spans="1:4" ht="15.75">
      <c r="A139" s="293" t="s">
        <v>370</v>
      </c>
      <c r="B139" s="101"/>
      <c r="C139" s="101"/>
      <c r="D139" s="101"/>
    </row>
    <row r="140" spans="1:4" ht="15.75">
      <c r="A140" s="84" t="s">
        <v>94</v>
      </c>
      <c r="B140" s="276"/>
      <c r="C140" s="276"/>
      <c r="D140" s="276"/>
    </row>
    <row r="141" spans="1:4" ht="15.75">
      <c r="A141" s="84" t="s">
        <v>95</v>
      </c>
      <c r="B141" s="276">
        <v>10265</v>
      </c>
      <c r="C141" s="276">
        <v>12000</v>
      </c>
      <c r="D141" s="276">
        <v>14000</v>
      </c>
    </row>
    <row r="142" spans="1:4" ht="15.75">
      <c r="A142" s="84" t="s">
        <v>96</v>
      </c>
      <c r="B142" s="276">
        <v>2936</v>
      </c>
      <c r="C142" s="276">
        <v>3000</v>
      </c>
      <c r="D142" s="276">
        <v>3000</v>
      </c>
    </row>
    <row r="143" spans="1:4" ht="15.75">
      <c r="A143" s="84" t="s">
        <v>97</v>
      </c>
      <c r="B143" s="276"/>
      <c r="C143" s="276"/>
      <c r="D143" s="276"/>
    </row>
    <row r="144" spans="1:4" ht="15.75">
      <c r="A144" s="271" t="s">
        <v>50</v>
      </c>
      <c r="B144" s="288">
        <f>SUM(B140:B143)</f>
        <v>13201</v>
      </c>
      <c r="C144" s="288">
        <f>SUM(C140:C143)</f>
        <v>15000</v>
      </c>
      <c r="D144" s="288">
        <f>SUM(D140:D143)</f>
        <v>17000</v>
      </c>
    </row>
    <row r="145" spans="1:4" ht="15.75">
      <c r="A145" s="293" t="s">
        <v>371</v>
      </c>
      <c r="B145" s="101"/>
      <c r="C145" s="101"/>
      <c r="D145" s="101"/>
    </row>
    <row r="146" spans="1:4" ht="15.75">
      <c r="A146" s="84" t="s">
        <v>378</v>
      </c>
      <c r="B146" s="276">
        <v>5000</v>
      </c>
      <c r="C146" s="276">
        <v>0</v>
      </c>
      <c r="D146" s="276">
        <v>0</v>
      </c>
    </row>
    <row r="147" spans="1:4" ht="15.75" hidden="1">
      <c r="A147" s="84"/>
      <c r="B147" s="276"/>
      <c r="C147" s="276"/>
      <c r="D147" s="276"/>
    </row>
    <row r="148" spans="1:4" ht="15.75" hidden="1">
      <c r="A148" s="84"/>
      <c r="B148" s="276"/>
      <c r="C148" s="276"/>
      <c r="D148" s="276"/>
    </row>
    <row r="149" spans="1:4" ht="15.75" hidden="1">
      <c r="A149" s="84"/>
      <c r="B149" s="276"/>
      <c r="C149" s="276"/>
      <c r="D149" s="276"/>
    </row>
    <row r="150" spans="1:4" ht="15.75">
      <c r="A150" s="271" t="s">
        <v>50</v>
      </c>
      <c r="B150" s="288">
        <f>SUM(B146:B149)</f>
        <v>5000</v>
      </c>
      <c r="C150" s="288">
        <f>SUM(C146:C149)</f>
        <v>0</v>
      </c>
      <c r="D150" s="288">
        <f>SUM(D146:D149)</f>
        <v>0</v>
      </c>
    </row>
    <row r="151" spans="1:4" ht="15.75">
      <c r="A151" s="59"/>
      <c r="B151" s="101"/>
      <c r="C151" s="101"/>
      <c r="D151" s="101"/>
    </row>
    <row r="152" spans="1:4" ht="15.75">
      <c r="A152" s="271" t="s">
        <v>234</v>
      </c>
      <c r="B152" s="282">
        <f>+B150+B144+B138+B132+B124+B118+B111+B104+B98+B91+B85+B79</f>
        <v>711225</v>
      </c>
      <c r="C152" s="282">
        <f>+C150+C144+C138+C132+C124+C118+C111+C104+C98+C91+C85+C79</f>
        <v>716908</v>
      </c>
      <c r="D152" s="282">
        <f>+D150+D144+D138+D132+D124+D118+D111+D104+D98+D91+D85+D79</f>
        <v>805657</v>
      </c>
    </row>
    <row r="153" spans="1:4" ht="15.75">
      <c r="A153" s="59"/>
      <c r="B153" s="199"/>
      <c r="C153" s="199"/>
      <c r="D153" s="199"/>
    </row>
    <row r="154" spans="1:4" ht="15.75">
      <c r="A154" s="506" t="s">
        <v>216</v>
      </c>
      <c r="B154" s="506"/>
      <c r="C154" s="506"/>
      <c r="D154" s="506"/>
    </row>
    <row r="155" spans="1:4" ht="15.75">
      <c r="A155" s="199" t="str">
        <f>inputPrYr!C2</f>
        <v>Edwards County</v>
      </c>
      <c r="B155" s="199"/>
      <c r="C155" s="58"/>
      <c r="D155" s="295">
        <f>D1</f>
        <v>2012</v>
      </c>
    </row>
    <row r="156" spans="1:4" ht="15.75">
      <c r="A156" s="59"/>
      <c r="B156" s="199"/>
      <c r="C156" s="199"/>
      <c r="D156" s="58"/>
    </row>
    <row r="157" spans="1:4" ht="15.75">
      <c r="A157" s="283" t="s">
        <v>159</v>
      </c>
      <c r="B157" s="296"/>
      <c r="C157" s="296"/>
      <c r="D157" s="296"/>
    </row>
    <row r="158" spans="1:4" ht="15.75">
      <c r="A158" s="59" t="s">
        <v>78</v>
      </c>
      <c r="B158" s="434" t="str">
        <f aca="true" t="shared" si="1" ref="B158:D159">B4</f>
        <v>Prior Year Actual</v>
      </c>
      <c r="C158" s="394" t="str">
        <f t="shared" si="1"/>
        <v>Current Year Estimate</v>
      </c>
      <c r="D158" s="394" t="str">
        <f t="shared" si="1"/>
        <v>Proposed Budget Year</v>
      </c>
    </row>
    <row r="159" spans="1:4" ht="15.75">
      <c r="A159" s="88" t="s">
        <v>93</v>
      </c>
      <c r="B159" s="285">
        <f t="shared" si="1"/>
        <v>2010</v>
      </c>
      <c r="C159" s="285">
        <f t="shared" si="1"/>
        <v>2011</v>
      </c>
      <c r="D159" s="285">
        <f t="shared" si="1"/>
        <v>2012</v>
      </c>
    </row>
    <row r="160" spans="1:4" ht="15.75">
      <c r="A160" s="271" t="s">
        <v>89</v>
      </c>
      <c r="B160" s="101"/>
      <c r="C160" s="101"/>
      <c r="D160" s="101"/>
    </row>
    <row r="161" spans="1:4" ht="15.75">
      <c r="A161" s="293" t="s">
        <v>430</v>
      </c>
      <c r="B161" s="101"/>
      <c r="C161" s="101"/>
      <c r="D161" s="101"/>
    </row>
    <row r="162" spans="1:4" ht="15.75">
      <c r="A162" s="84" t="s">
        <v>94</v>
      </c>
      <c r="B162" s="276">
        <v>41153</v>
      </c>
      <c r="C162" s="276">
        <v>42000</v>
      </c>
      <c r="D162" s="276">
        <v>43500</v>
      </c>
    </row>
    <row r="163" spans="1:4" ht="15.75">
      <c r="A163" s="84" t="s">
        <v>95</v>
      </c>
      <c r="B163" s="276">
        <v>64497</v>
      </c>
      <c r="C163" s="276">
        <v>65500</v>
      </c>
      <c r="D163" s="276">
        <v>70000</v>
      </c>
    </row>
    <row r="164" spans="1:4" ht="15.75">
      <c r="A164" s="84" t="s">
        <v>96</v>
      </c>
      <c r="B164" s="276">
        <v>18708</v>
      </c>
      <c r="C164" s="276">
        <v>19050</v>
      </c>
      <c r="D164" s="276">
        <v>21050</v>
      </c>
    </row>
    <row r="165" spans="1:4" ht="15.75">
      <c r="A165" s="84" t="s">
        <v>97</v>
      </c>
      <c r="B165" s="276">
        <v>1849</v>
      </c>
      <c r="C165" s="276">
        <v>5000</v>
      </c>
      <c r="D165" s="276">
        <v>10000</v>
      </c>
    </row>
    <row r="166" spans="1:4" ht="15.75">
      <c r="A166" s="271" t="s">
        <v>50</v>
      </c>
      <c r="B166" s="288">
        <f>SUM(B162:B165)</f>
        <v>126207</v>
      </c>
      <c r="C166" s="288">
        <f>SUM(C162:C165)</f>
        <v>131550</v>
      </c>
      <c r="D166" s="288">
        <f>SUM(D162:D165)</f>
        <v>144550</v>
      </c>
    </row>
    <row r="167" spans="1:4" ht="15.75">
      <c r="A167" s="293" t="s">
        <v>372</v>
      </c>
      <c r="B167" s="101"/>
      <c r="C167" s="101"/>
      <c r="D167" s="101"/>
    </row>
    <row r="168" spans="1:4" ht="15.75">
      <c r="A168" s="84" t="s">
        <v>380</v>
      </c>
      <c r="B168" s="276">
        <v>10000</v>
      </c>
      <c r="C168" s="276">
        <v>0</v>
      </c>
      <c r="D168" s="276">
        <v>0</v>
      </c>
    </row>
    <row r="169" spans="1:4" ht="15.75">
      <c r="A169" s="84"/>
      <c r="B169" s="276"/>
      <c r="C169" s="276"/>
      <c r="D169" s="276"/>
    </row>
    <row r="170" spans="1:4" ht="15.75">
      <c r="A170" s="84"/>
      <c r="B170" s="276"/>
      <c r="C170" s="276"/>
      <c r="D170" s="276"/>
    </row>
    <row r="171" spans="1:4" ht="15.75">
      <c r="A171" s="84"/>
      <c r="B171" s="276"/>
      <c r="C171" s="276"/>
      <c r="D171" s="276"/>
    </row>
    <row r="172" spans="1:4" ht="15.75">
      <c r="A172" s="84"/>
      <c r="B172" s="376"/>
      <c r="C172" s="376"/>
      <c r="D172" s="376"/>
    </row>
    <row r="173" spans="1:4" ht="15.75">
      <c r="A173" s="271" t="s">
        <v>50</v>
      </c>
      <c r="B173" s="288">
        <f>SUM(B168:B172)</f>
        <v>10000</v>
      </c>
      <c r="C173" s="288">
        <f>SUM(C168:C172)</f>
        <v>0</v>
      </c>
      <c r="D173" s="288">
        <f>SUM(D168:D172)</f>
        <v>0</v>
      </c>
    </row>
    <row r="174" spans="1:4" ht="15.75">
      <c r="A174" s="293" t="s">
        <v>373</v>
      </c>
      <c r="B174" s="101"/>
      <c r="C174" s="101"/>
      <c r="D174" s="101"/>
    </row>
    <row r="175" spans="1:4" ht="15.75">
      <c r="A175" s="84" t="s">
        <v>380</v>
      </c>
      <c r="B175" s="276">
        <v>16000</v>
      </c>
      <c r="C175" s="276">
        <v>0</v>
      </c>
      <c r="D175" s="276">
        <v>0</v>
      </c>
    </row>
    <row r="176" spans="1:4" ht="15.75">
      <c r="A176" s="84"/>
      <c r="B176" s="276"/>
      <c r="C176" s="276"/>
      <c r="D176" s="276"/>
    </row>
    <row r="177" spans="1:4" ht="15.75">
      <c r="A177" s="84"/>
      <c r="B177" s="276"/>
      <c r="C177" s="276"/>
      <c r="D177" s="276"/>
    </row>
    <row r="178" spans="1:4" ht="15.75">
      <c r="A178" s="84"/>
      <c r="B178" s="276"/>
      <c r="C178" s="276"/>
      <c r="D178" s="276"/>
    </row>
    <row r="179" spans="1:4" ht="15.75">
      <c r="A179" s="84"/>
      <c r="B179" s="276"/>
      <c r="C179" s="276"/>
      <c r="D179" s="276"/>
    </row>
    <row r="180" spans="1:4" ht="15.75">
      <c r="A180" s="84"/>
      <c r="B180" s="276"/>
      <c r="C180" s="276"/>
      <c r="D180" s="276"/>
    </row>
    <row r="181" spans="1:4" ht="15.75">
      <c r="A181" s="271" t="s">
        <v>50</v>
      </c>
      <c r="B181" s="288">
        <f>SUM(B175:B180)</f>
        <v>16000</v>
      </c>
      <c r="C181" s="288">
        <f>SUM(C175:C180)</f>
        <v>0</v>
      </c>
      <c r="D181" s="288">
        <f>SUM(D175:D180)</f>
        <v>0</v>
      </c>
    </row>
    <row r="182" spans="1:4" ht="15.75">
      <c r="A182" s="293" t="s">
        <v>374</v>
      </c>
      <c r="B182" s="101"/>
      <c r="C182" s="101"/>
      <c r="D182" s="101"/>
    </row>
    <row r="183" spans="1:4" ht="15.75">
      <c r="A183" s="84" t="s">
        <v>380</v>
      </c>
      <c r="B183" s="276">
        <v>40000</v>
      </c>
      <c r="C183" s="276">
        <v>40000</v>
      </c>
      <c r="D183" s="276">
        <v>40000</v>
      </c>
    </row>
    <row r="184" spans="1:4" ht="15.75">
      <c r="A184" s="84"/>
      <c r="B184" s="276"/>
      <c r="C184" s="276"/>
      <c r="D184" s="276"/>
    </row>
    <row r="185" spans="1:4" ht="15.75">
      <c r="A185" s="84"/>
      <c r="B185" s="276"/>
      <c r="C185" s="276"/>
      <c r="D185" s="276"/>
    </row>
    <row r="186" spans="1:4" ht="15.75">
      <c r="A186" s="84"/>
      <c r="B186" s="276"/>
      <c r="C186" s="276"/>
      <c r="D186" s="276"/>
    </row>
    <row r="187" spans="1:4" ht="15.75">
      <c r="A187" s="84"/>
      <c r="B187" s="276"/>
      <c r="C187" s="276"/>
      <c r="D187" s="276"/>
    </row>
    <row r="188" spans="1:4" ht="15.75">
      <c r="A188" s="84"/>
      <c r="B188" s="276"/>
      <c r="C188" s="276"/>
      <c r="D188" s="276"/>
    </row>
    <row r="189" spans="1:4" ht="15.75">
      <c r="A189" s="271" t="s">
        <v>50</v>
      </c>
      <c r="B189" s="288">
        <f>SUM(B183:B188)</f>
        <v>40000</v>
      </c>
      <c r="C189" s="288">
        <f>SUM(C183:C188)</f>
        <v>40000</v>
      </c>
      <c r="D189" s="288">
        <f>SUM(D183:D188)</f>
        <v>40000</v>
      </c>
    </row>
    <row r="190" spans="1:4" ht="15.75">
      <c r="A190" s="293" t="s">
        <v>370</v>
      </c>
      <c r="B190" s="101"/>
      <c r="C190" s="101"/>
      <c r="D190" s="101"/>
    </row>
    <row r="191" spans="1:4" ht="15.75">
      <c r="A191" s="84" t="s">
        <v>381</v>
      </c>
      <c r="B191" s="276">
        <v>10870</v>
      </c>
      <c r="C191" s="276">
        <v>10870</v>
      </c>
      <c r="D191" s="276">
        <v>10870</v>
      </c>
    </row>
    <row r="192" spans="1:4" ht="15.75">
      <c r="A192" s="84"/>
      <c r="B192" s="276"/>
      <c r="C192" s="276"/>
      <c r="D192" s="276"/>
    </row>
    <row r="193" spans="1:4" ht="15.75">
      <c r="A193" s="84"/>
      <c r="B193" s="276"/>
      <c r="C193" s="276"/>
      <c r="D193" s="276"/>
    </row>
    <row r="194" spans="1:4" ht="15.75">
      <c r="A194" s="84"/>
      <c r="B194" s="276"/>
      <c r="C194" s="276"/>
      <c r="D194" s="276"/>
    </row>
    <row r="195" spans="1:4" ht="15.75">
      <c r="A195" s="84"/>
      <c r="B195" s="276"/>
      <c r="C195" s="276"/>
      <c r="D195" s="276"/>
    </row>
    <row r="196" spans="1:4" ht="15.75">
      <c r="A196" s="271" t="s">
        <v>50</v>
      </c>
      <c r="B196" s="288">
        <f>SUM(B191:B195)</f>
        <v>10870</v>
      </c>
      <c r="C196" s="288">
        <f>SUM(C191:C195)</f>
        <v>10870</v>
      </c>
      <c r="D196" s="288">
        <f>SUM(D191:D195)</f>
        <v>10870</v>
      </c>
    </row>
    <row r="197" spans="1:4" ht="15.75">
      <c r="A197" s="293" t="s">
        <v>106</v>
      </c>
      <c r="B197" s="101"/>
      <c r="C197" s="101"/>
      <c r="D197" s="101"/>
    </row>
    <row r="198" spans="1:4" ht="15.75">
      <c r="A198" s="84" t="s">
        <v>381</v>
      </c>
      <c r="B198" s="276">
        <v>113500</v>
      </c>
      <c r="C198" s="276">
        <v>112000</v>
      </c>
      <c r="D198" s="276">
        <v>113500</v>
      </c>
    </row>
    <row r="199" spans="1:4" ht="15.75">
      <c r="A199" s="84"/>
      <c r="B199" s="276"/>
      <c r="C199" s="276"/>
      <c r="D199" s="276"/>
    </row>
    <row r="200" spans="1:4" ht="15.75">
      <c r="A200" s="84"/>
      <c r="B200" s="276"/>
      <c r="C200" s="276"/>
      <c r="D200" s="276"/>
    </row>
    <row r="201" spans="1:4" ht="15.75">
      <c r="A201" s="84"/>
      <c r="B201" s="276"/>
      <c r="C201" s="276"/>
      <c r="D201" s="276"/>
    </row>
    <row r="202" spans="1:4" ht="15.75">
      <c r="A202" s="84"/>
      <c r="B202" s="276"/>
      <c r="C202" s="276"/>
      <c r="D202" s="276"/>
    </row>
    <row r="203" spans="1:4" ht="15.75">
      <c r="A203" s="271" t="s">
        <v>50</v>
      </c>
      <c r="B203" s="101">
        <f>SUM(B198:B202)</f>
        <v>113500</v>
      </c>
      <c r="C203" s="101">
        <f>SUM(C198:C202)</f>
        <v>112000</v>
      </c>
      <c r="D203" s="101">
        <f>SUM(D198:D202)</f>
        <v>113500</v>
      </c>
    </row>
    <row r="204" spans="1:4" ht="15.75">
      <c r="A204" s="293" t="s">
        <v>375</v>
      </c>
      <c r="B204" s="101"/>
      <c r="C204" s="101"/>
      <c r="D204" s="101"/>
    </row>
    <row r="205" spans="1:4" ht="15.75">
      <c r="A205" s="84" t="s">
        <v>381</v>
      </c>
      <c r="B205" s="276">
        <v>8000</v>
      </c>
      <c r="C205" s="276">
        <v>8000</v>
      </c>
      <c r="D205" s="276">
        <v>8000</v>
      </c>
    </row>
    <row r="206" spans="1:4" ht="15.75">
      <c r="A206" s="84"/>
      <c r="B206" s="276"/>
      <c r="C206" s="276"/>
      <c r="D206" s="276"/>
    </row>
    <row r="207" spans="1:4" ht="15.75">
      <c r="A207" s="84"/>
      <c r="B207" s="276"/>
      <c r="C207" s="276"/>
      <c r="D207" s="276"/>
    </row>
    <row r="208" spans="1:4" ht="15.75">
      <c r="A208" s="84"/>
      <c r="B208" s="276"/>
      <c r="C208" s="276"/>
      <c r="D208" s="276"/>
    </row>
    <row r="209" spans="1:4" ht="15.75">
      <c r="A209" s="84"/>
      <c r="B209" s="276"/>
      <c r="C209" s="276"/>
      <c r="D209" s="276"/>
    </row>
    <row r="210" spans="1:4" ht="15.75">
      <c r="A210" s="271" t="s">
        <v>50</v>
      </c>
      <c r="B210" s="288">
        <f>SUM(B205:B209)</f>
        <v>8000</v>
      </c>
      <c r="C210" s="288">
        <f>SUM(C205:C209)</f>
        <v>8000</v>
      </c>
      <c r="D210" s="288">
        <f>SUM(D205:D209)</f>
        <v>8000</v>
      </c>
    </row>
    <row r="211" spans="1:4" ht="15.75">
      <c r="A211" s="271"/>
      <c r="B211" s="101"/>
      <c r="C211" s="101"/>
      <c r="D211" s="101"/>
    </row>
    <row r="212" spans="1:4" ht="15.75">
      <c r="A212" s="271" t="s">
        <v>235</v>
      </c>
      <c r="B212" s="288">
        <f>+B210+B203+B196+B189+B181+B173+B166</f>
        <v>324577</v>
      </c>
      <c r="C212" s="288">
        <f>+C210+C203+C196+C189+C181+C173+C166</f>
        <v>302420</v>
      </c>
      <c r="D212" s="288">
        <f>+D210+D203+D196+D189+D181+D173+D166</f>
        <v>316920</v>
      </c>
    </row>
    <row r="213" spans="1:4" ht="15.75">
      <c r="A213" s="59"/>
      <c r="B213" s="199"/>
      <c r="C213" s="199"/>
      <c r="D213" s="199"/>
    </row>
    <row r="214" spans="1:4" ht="15.75" hidden="1">
      <c r="A214" s="506" t="s">
        <v>217</v>
      </c>
      <c r="B214" s="506"/>
      <c r="C214" s="506"/>
      <c r="D214" s="506"/>
    </row>
    <row r="215" spans="1:4" ht="15.75" hidden="1">
      <c r="A215" s="199" t="str">
        <f>inputPrYr!C2</f>
        <v>Edwards County</v>
      </c>
      <c r="B215" s="199"/>
      <c r="C215" s="58"/>
      <c r="D215" s="295">
        <f>D1</f>
        <v>2012</v>
      </c>
    </row>
    <row r="216" spans="1:4" ht="15.75" hidden="1">
      <c r="A216" s="59"/>
      <c r="B216" s="199"/>
      <c r="C216" s="199"/>
      <c r="D216" s="58"/>
    </row>
    <row r="217" spans="1:4" ht="15.75" hidden="1">
      <c r="A217" s="283" t="s">
        <v>159</v>
      </c>
      <c r="B217" s="296"/>
      <c r="C217" s="296"/>
      <c r="D217" s="296"/>
    </row>
    <row r="218" spans="1:4" ht="15.75" hidden="1">
      <c r="A218" s="59" t="s">
        <v>78</v>
      </c>
      <c r="B218" s="434" t="str">
        <f aca="true" t="shared" si="2" ref="B218:D219">B4</f>
        <v>Prior Year Actual</v>
      </c>
      <c r="C218" s="394" t="str">
        <f t="shared" si="2"/>
        <v>Current Year Estimate</v>
      </c>
      <c r="D218" s="394" t="str">
        <f t="shared" si="2"/>
        <v>Proposed Budget Year</v>
      </c>
    </row>
    <row r="219" spans="1:4" ht="15.75" hidden="1">
      <c r="A219" s="88" t="s">
        <v>93</v>
      </c>
      <c r="B219" s="285">
        <f t="shared" si="2"/>
        <v>2010</v>
      </c>
      <c r="C219" s="285">
        <f t="shared" si="2"/>
        <v>2011</v>
      </c>
      <c r="D219" s="285">
        <f t="shared" si="2"/>
        <v>2012</v>
      </c>
    </row>
    <row r="220" spans="1:4" ht="15.75" hidden="1">
      <c r="A220" s="271" t="s">
        <v>89</v>
      </c>
      <c r="B220" s="101"/>
      <c r="C220" s="101"/>
      <c r="D220" s="101"/>
    </row>
    <row r="221" spans="1:4" ht="15.75" hidden="1">
      <c r="A221" s="293"/>
      <c r="B221" s="101"/>
      <c r="C221" s="101"/>
      <c r="D221" s="101"/>
    </row>
    <row r="222" spans="1:4" ht="15.75" hidden="1">
      <c r="A222" s="84"/>
      <c r="B222" s="276"/>
      <c r="C222" s="276"/>
      <c r="D222" s="276"/>
    </row>
    <row r="223" spans="1:4" ht="15.75" hidden="1">
      <c r="A223" s="84"/>
      <c r="B223" s="276"/>
      <c r="C223" s="276"/>
      <c r="D223" s="276"/>
    </row>
    <row r="224" spans="1:4" ht="15.75" hidden="1">
      <c r="A224" s="84"/>
      <c r="B224" s="276"/>
      <c r="C224" s="276"/>
      <c r="D224" s="276"/>
    </row>
    <row r="225" spans="1:4" ht="15.75" hidden="1">
      <c r="A225" s="84"/>
      <c r="B225" s="276"/>
      <c r="C225" s="276"/>
      <c r="D225" s="276"/>
    </row>
    <row r="226" spans="1:4" ht="15.75" hidden="1">
      <c r="A226" s="271" t="s">
        <v>50</v>
      </c>
      <c r="B226" s="101">
        <f>SUM(B222:B225)</f>
        <v>0</v>
      </c>
      <c r="C226" s="101">
        <f>SUM(C222:C225)</f>
        <v>0</v>
      </c>
      <c r="D226" s="101">
        <f>SUM(D222:D225)</f>
        <v>0</v>
      </c>
    </row>
    <row r="227" spans="1:4" ht="15.75" hidden="1">
      <c r="A227" s="293"/>
      <c r="B227" s="101"/>
      <c r="C227" s="101"/>
      <c r="D227" s="101"/>
    </row>
    <row r="228" spans="1:4" ht="15.75" hidden="1">
      <c r="A228" s="84"/>
      <c r="B228" s="276"/>
      <c r="C228" s="276"/>
      <c r="D228" s="276"/>
    </row>
    <row r="229" spans="1:4" ht="15.75" hidden="1">
      <c r="A229" s="84"/>
      <c r="B229" s="276"/>
      <c r="C229" s="276"/>
      <c r="D229" s="276"/>
    </row>
    <row r="230" spans="1:4" ht="15.75" hidden="1">
      <c r="A230" s="84"/>
      <c r="B230" s="276"/>
      <c r="C230" s="276"/>
      <c r="D230" s="276"/>
    </row>
    <row r="231" spans="1:4" ht="15.75" hidden="1">
      <c r="A231" s="84"/>
      <c r="B231" s="276"/>
      <c r="C231" s="276"/>
      <c r="D231" s="276"/>
    </row>
    <row r="232" spans="1:4" ht="15.75" hidden="1">
      <c r="A232" s="271" t="s">
        <v>50</v>
      </c>
      <c r="B232" s="288">
        <f>SUM(B228:B231)</f>
        <v>0</v>
      </c>
      <c r="C232" s="288">
        <f>SUM(C228:C231)</f>
        <v>0</v>
      </c>
      <c r="D232" s="288">
        <f>SUM(D228:D231)</f>
        <v>0</v>
      </c>
    </row>
    <row r="233" spans="1:4" ht="15.75" hidden="1">
      <c r="A233" s="293"/>
      <c r="B233" s="101"/>
      <c r="C233" s="101"/>
      <c r="D233" s="101"/>
    </row>
    <row r="234" spans="1:4" ht="15.75" hidden="1">
      <c r="A234" s="84"/>
      <c r="B234" s="276"/>
      <c r="C234" s="276"/>
      <c r="D234" s="276"/>
    </row>
    <row r="235" spans="1:4" ht="15.75" hidden="1">
      <c r="A235" s="84"/>
      <c r="B235" s="276"/>
      <c r="C235" s="276"/>
      <c r="D235" s="276"/>
    </row>
    <row r="236" spans="1:4" ht="15.75" hidden="1">
      <c r="A236" s="84"/>
      <c r="B236" s="276"/>
      <c r="C236" s="276"/>
      <c r="D236" s="276"/>
    </row>
    <row r="237" spans="1:4" ht="15.75" hidden="1">
      <c r="A237" s="84"/>
      <c r="B237" s="276"/>
      <c r="C237" s="276"/>
      <c r="D237" s="276"/>
    </row>
    <row r="238" spans="1:4" ht="15.75" hidden="1">
      <c r="A238" s="271" t="s">
        <v>50</v>
      </c>
      <c r="B238" s="288">
        <f>SUM(B234:B237)</f>
        <v>0</v>
      </c>
      <c r="C238" s="288">
        <f>SUM(C234:C237)</f>
        <v>0</v>
      </c>
      <c r="D238" s="288">
        <f>SUM(D234:D237)</f>
        <v>0</v>
      </c>
    </row>
    <row r="239" spans="1:4" ht="15.75" hidden="1">
      <c r="A239" s="293"/>
      <c r="B239" s="101"/>
      <c r="C239" s="101"/>
      <c r="D239" s="101"/>
    </row>
    <row r="240" spans="1:4" ht="15.75" hidden="1">
      <c r="A240" s="84"/>
      <c r="B240" s="276"/>
      <c r="C240" s="276"/>
      <c r="D240" s="276"/>
    </row>
    <row r="241" spans="1:4" ht="15.75" hidden="1">
      <c r="A241" s="271" t="s">
        <v>50</v>
      </c>
      <c r="B241" s="288">
        <f>B240</f>
        <v>0</v>
      </c>
      <c r="C241" s="288">
        <f>C240</f>
        <v>0</v>
      </c>
      <c r="D241" s="288">
        <f>D240</f>
        <v>0</v>
      </c>
    </row>
    <row r="242" spans="1:4" ht="15.75" hidden="1">
      <c r="A242" s="293"/>
      <c r="B242" s="101"/>
      <c r="C242" s="101"/>
      <c r="D242" s="101"/>
    </row>
    <row r="243" spans="1:4" ht="15.75" hidden="1">
      <c r="A243" s="84"/>
      <c r="B243" s="276"/>
      <c r="C243" s="276"/>
      <c r="D243" s="276"/>
    </row>
    <row r="244" spans="1:4" ht="15.75" hidden="1">
      <c r="A244" s="84"/>
      <c r="B244" s="276"/>
      <c r="C244" s="276"/>
      <c r="D244" s="276"/>
    </row>
    <row r="245" spans="1:4" ht="15.75" hidden="1">
      <c r="A245" s="84"/>
      <c r="B245" s="276"/>
      <c r="C245" s="276"/>
      <c r="D245" s="276"/>
    </row>
    <row r="246" spans="1:4" ht="15.75" hidden="1">
      <c r="A246" s="84"/>
      <c r="B246" s="276"/>
      <c r="C246" s="276"/>
      <c r="D246" s="276"/>
    </row>
    <row r="247" spans="1:4" ht="15.75" hidden="1">
      <c r="A247" s="271" t="s">
        <v>50</v>
      </c>
      <c r="B247" s="288">
        <f>SUM(B243:B246)</f>
        <v>0</v>
      </c>
      <c r="C247" s="288">
        <f>SUM(C243:C246)</f>
        <v>0</v>
      </c>
      <c r="D247" s="288">
        <f>SUM(D243:D246)</f>
        <v>0</v>
      </c>
    </row>
    <row r="248" spans="1:4" ht="15.75" hidden="1">
      <c r="A248" s="293"/>
      <c r="B248" s="101"/>
      <c r="C248" s="101"/>
      <c r="D248" s="101"/>
    </row>
    <row r="249" spans="1:4" ht="15.75" hidden="1">
      <c r="A249" s="84"/>
      <c r="B249" s="276"/>
      <c r="C249" s="276"/>
      <c r="D249" s="276"/>
    </row>
    <row r="250" spans="1:4" ht="15.75" hidden="1">
      <c r="A250" s="84"/>
      <c r="B250" s="276"/>
      <c r="C250" s="276"/>
      <c r="D250" s="276"/>
    </row>
    <row r="251" spans="1:4" ht="15.75" hidden="1">
      <c r="A251" s="84"/>
      <c r="B251" s="276"/>
      <c r="C251" s="276"/>
      <c r="D251" s="276"/>
    </row>
    <row r="252" spans="1:4" ht="15.75" hidden="1">
      <c r="A252" s="84"/>
      <c r="B252" s="276"/>
      <c r="C252" s="276"/>
      <c r="D252" s="276"/>
    </row>
    <row r="253" spans="1:4" ht="15.75" hidden="1">
      <c r="A253" s="271" t="s">
        <v>50</v>
      </c>
      <c r="B253" s="288">
        <f>SUM(B249:B252)</f>
        <v>0</v>
      </c>
      <c r="C253" s="288">
        <f>SUM(C249:C252)</f>
        <v>0</v>
      </c>
      <c r="D253" s="288">
        <f>SUM(D249:D252)</f>
        <v>0</v>
      </c>
    </row>
    <row r="254" spans="1:4" ht="15.75" hidden="1">
      <c r="A254" s="271"/>
      <c r="B254" s="288"/>
      <c r="C254" s="288"/>
      <c r="D254" s="288"/>
    </row>
    <row r="255" spans="1:4" ht="15.75" hidden="1">
      <c r="A255" s="271" t="s">
        <v>236</v>
      </c>
      <c r="B255" s="288">
        <f>+B253+B247+B241+B238+B232+B226</f>
        <v>0</v>
      </c>
      <c r="C255" s="288">
        <f>+C253+C247+C241+C238+C232+C226</f>
        <v>0</v>
      </c>
      <c r="D255" s="288">
        <f>+D253+D247+D241+D238+D232+D226</f>
        <v>0</v>
      </c>
    </row>
    <row r="256" spans="1:4" ht="15.75" hidden="1">
      <c r="A256" s="59"/>
      <c r="B256" s="199"/>
      <c r="C256" s="199"/>
      <c r="D256" s="199"/>
    </row>
    <row r="257" spans="1:4" ht="15.75" hidden="1">
      <c r="A257" s="506" t="s">
        <v>218</v>
      </c>
      <c r="B257" s="506"/>
      <c r="C257" s="506"/>
      <c r="D257" s="506"/>
    </row>
    <row r="258" spans="1:4" ht="15.75" hidden="1">
      <c r="A258" s="199" t="str">
        <f>inputPrYr!C2</f>
        <v>Edwards County</v>
      </c>
      <c r="B258" s="199"/>
      <c r="C258" s="58"/>
      <c r="D258" s="295">
        <f>D1</f>
        <v>2012</v>
      </c>
    </row>
    <row r="259" spans="1:4" ht="15.75" hidden="1">
      <c r="A259" s="59"/>
      <c r="B259" s="199"/>
      <c r="C259" s="199"/>
      <c r="D259" s="58"/>
    </row>
    <row r="260" spans="1:4" ht="15.75" hidden="1">
      <c r="A260" s="283" t="s">
        <v>159</v>
      </c>
      <c r="B260" s="296"/>
      <c r="C260" s="296"/>
      <c r="D260" s="296"/>
    </row>
    <row r="261" spans="1:4" ht="15.75" hidden="1">
      <c r="A261" s="59" t="s">
        <v>78</v>
      </c>
      <c r="B261" s="292" t="str">
        <f aca="true" t="shared" si="3" ref="B261:D262">B4</f>
        <v>Prior Year Actual</v>
      </c>
      <c r="C261" s="196" t="str">
        <f t="shared" si="3"/>
        <v>Current Year Estimate</v>
      </c>
      <c r="D261" s="196" t="str">
        <f t="shared" si="3"/>
        <v>Proposed Budget Year</v>
      </c>
    </row>
    <row r="262" spans="1:4" ht="15.75" hidden="1">
      <c r="A262" s="88" t="s">
        <v>93</v>
      </c>
      <c r="B262" s="285">
        <f t="shared" si="3"/>
        <v>2010</v>
      </c>
      <c r="C262" s="285">
        <f t="shared" si="3"/>
        <v>2011</v>
      </c>
      <c r="D262" s="285">
        <f t="shared" si="3"/>
        <v>2012</v>
      </c>
    </row>
    <row r="263" spans="1:4" ht="15.75" hidden="1">
      <c r="A263" s="232" t="s">
        <v>89</v>
      </c>
      <c r="B263" s="101"/>
      <c r="C263" s="101"/>
      <c r="D263" s="101"/>
    </row>
    <row r="264" spans="1:4" ht="15.75" hidden="1">
      <c r="A264" s="293"/>
      <c r="B264" s="101"/>
      <c r="C264" s="101"/>
      <c r="D264" s="101"/>
    </row>
    <row r="265" spans="1:4" ht="15.75" hidden="1">
      <c r="A265" s="84"/>
      <c r="B265" s="276"/>
      <c r="C265" s="276"/>
      <c r="D265" s="276"/>
    </row>
    <row r="266" spans="1:4" ht="15.75" hidden="1">
      <c r="A266" s="84"/>
      <c r="B266" s="276"/>
      <c r="C266" s="276"/>
      <c r="D266" s="276"/>
    </row>
    <row r="267" spans="1:4" ht="15.75" hidden="1">
      <c r="A267" s="84"/>
      <c r="B267" s="276"/>
      <c r="C267" s="276"/>
      <c r="D267" s="276"/>
    </row>
    <row r="268" spans="1:4" ht="15.75" hidden="1">
      <c r="A268" s="84"/>
      <c r="B268" s="276"/>
      <c r="C268" s="276"/>
      <c r="D268" s="276"/>
    </row>
    <row r="269" spans="1:4" ht="15.75" hidden="1">
      <c r="A269" s="271" t="s">
        <v>50</v>
      </c>
      <c r="B269" s="288">
        <f>SUM(B265:B268)</f>
        <v>0</v>
      </c>
      <c r="C269" s="288">
        <f>SUM(C265:C268)</f>
        <v>0</v>
      </c>
      <c r="D269" s="288">
        <f>SUM(D265:D268)</f>
        <v>0</v>
      </c>
    </row>
    <row r="270" spans="1:4" ht="15.75" hidden="1">
      <c r="A270" s="293"/>
      <c r="B270" s="101"/>
      <c r="C270" s="101"/>
      <c r="D270" s="101"/>
    </row>
    <row r="271" spans="1:4" ht="15.75" hidden="1">
      <c r="A271" s="84"/>
      <c r="B271" s="276"/>
      <c r="C271" s="276"/>
      <c r="D271" s="276"/>
    </row>
    <row r="272" spans="1:4" ht="15.75" hidden="1">
      <c r="A272" s="84"/>
      <c r="B272" s="276"/>
      <c r="C272" s="276"/>
      <c r="D272" s="276"/>
    </row>
    <row r="273" spans="1:4" ht="15.75" hidden="1">
      <c r="A273" s="84"/>
      <c r="B273" s="276"/>
      <c r="C273" s="276"/>
      <c r="D273" s="276"/>
    </row>
    <row r="274" spans="1:4" ht="15.75" hidden="1">
      <c r="A274" s="84"/>
      <c r="B274" s="276"/>
      <c r="C274" s="276"/>
      <c r="D274" s="276"/>
    </row>
    <row r="275" spans="1:4" ht="15.75" hidden="1">
      <c r="A275" s="271" t="s">
        <v>50</v>
      </c>
      <c r="B275" s="288">
        <f>SUM(B271:B274)</f>
        <v>0</v>
      </c>
      <c r="C275" s="288">
        <f>SUM(C271:C274)</f>
        <v>0</v>
      </c>
      <c r="D275" s="288">
        <f>SUM(D271:D274)</f>
        <v>0</v>
      </c>
    </row>
    <row r="276" spans="1:4" ht="15.75" hidden="1">
      <c r="A276" s="293"/>
      <c r="B276" s="101"/>
      <c r="C276" s="101"/>
      <c r="D276" s="101"/>
    </row>
    <row r="277" spans="1:4" ht="15.75" hidden="1">
      <c r="A277" s="84"/>
      <c r="B277" s="276"/>
      <c r="C277" s="276"/>
      <c r="D277" s="276"/>
    </row>
    <row r="278" spans="1:4" ht="15.75" hidden="1">
      <c r="A278" s="84"/>
      <c r="B278" s="276"/>
      <c r="C278" s="276"/>
      <c r="D278" s="276"/>
    </row>
    <row r="279" spans="1:4" ht="15.75" hidden="1">
      <c r="A279" s="84"/>
      <c r="B279" s="276"/>
      <c r="C279" s="276"/>
      <c r="D279" s="276"/>
    </row>
    <row r="280" spans="1:4" ht="15.75" hidden="1">
      <c r="A280" s="84"/>
      <c r="B280" s="276"/>
      <c r="C280" s="276"/>
      <c r="D280" s="276"/>
    </row>
    <row r="281" spans="1:4" ht="15.75" hidden="1">
      <c r="A281" s="271" t="s">
        <v>50</v>
      </c>
      <c r="B281" s="288">
        <f>SUM(B277:B280)</f>
        <v>0</v>
      </c>
      <c r="C281" s="288">
        <f>SUM(C277:C280)</f>
        <v>0</v>
      </c>
      <c r="D281" s="288">
        <f>SUM(D277:D280)</f>
        <v>0</v>
      </c>
    </row>
    <row r="282" spans="1:4" ht="15.75" hidden="1">
      <c r="A282" s="293"/>
      <c r="B282" s="101"/>
      <c r="C282" s="101"/>
      <c r="D282" s="101"/>
    </row>
    <row r="283" spans="1:4" ht="15.75" hidden="1">
      <c r="A283" s="84"/>
      <c r="B283" s="276"/>
      <c r="C283" s="276"/>
      <c r="D283" s="276"/>
    </row>
    <row r="284" spans="1:4" ht="15.75" hidden="1">
      <c r="A284" s="84"/>
      <c r="B284" s="276"/>
      <c r="C284" s="276"/>
      <c r="D284" s="276"/>
    </row>
    <row r="285" spans="1:4" ht="15.75" hidden="1">
      <c r="A285" s="84"/>
      <c r="B285" s="276"/>
      <c r="C285" s="276"/>
      <c r="D285" s="276"/>
    </row>
    <row r="286" spans="1:4" ht="15.75" hidden="1">
      <c r="A286" s="84"/>
      <c r="B286" s="276"/>
      <c r="C286" s="276"/>
      <c r="D286" s="276"/>
    </row>
    <row r="287" spans="1:4" ht="15.75" hidden="1">
      <c r="A287" s="271" t="s">
        <v>50</v>
      </c>
      <c r="B287" s="288">
        <f>SUM(B283:B286)</f>
        <v>0</v>
      </c>
      <c r="C287" s="288">
        <f>SUM(C283:C286)</f>
        <v>0</v>
      </c>
      <c r="D287" s="288">
        <f>SUM(D283:D286)</f>
        <v>0</v>
      </c>
    </row>
    <row r="288" spans="1:4" ht="15.75" hidden="1">
      <c r="A288" s="293"/>
      <c r="B288" s="101"/>
      <c r="C288" s="101"/>
      <c r="D288" s="101"/>
    </row>
    <row r="289" spans="1:4" ht="15.75" hidden="1">
      <c r="A289" s="84"/>
      <c r="B289" s="276"/>
      <c r="C289" s="276"/>
      <c r="D289" s="276"/>
    </row>
    <row r="290" spans="1:4" ht="15.75" hidden="1">
      <c r="A290" s="84"/>
      <c r="B290" s="276"/>
      <c r="C290" s="276"/>
      <c r="D290" s="276"/>
    </row>
    <row r="291" spans="1:4" ht="15.75" hidden="1">
      <c r="A291" s="271" t="s">
        <v>50</v>
      </c>
      <c r="B291" s="288">
        <f>SUM(B289:B290)</f>
        <v>0</v>
      </c>
      <c r="C291" s="288">
        <f>SUM(C289:C290)</f>
        <v>0</v>
      </c>
      <c r="D291" s="288">
        <f>SUM(D289:D290)</f>
        <v>0</v>
      </c>
    </row>
    <row r="292" spans="1:4" ht="15.75" hidden="1">
      <c r="A292" s="293"/>
      <c r="B292" s="101"/>
      <c r="C292" s="101"/>
      <c r="D292" s="101"/>
    </row>
    <row r="293" spans="1:4" ht="15.75" hidden="1">
      <c r="A293" s="84"/>
      <c r="B293" s="276"/>
      <c r="C293" s="276"/>
      <c r="D293" s="276"/>
    </row>
    <row r="294" spans="1:4" ht="15.75" hidden="1">
      <c r="A294" s="84"/>
      <c r="B294" s="276"/>
      <c r="C294" s="276"/>
      <c r="D294" s="276"/>
    </row>
    <row r="295" spans="1:4" ht="15.75" hidden="1">
      <c r="A295" s="84"/>
      <c r="B295" s="276"/>
      <c r="C295" s="276"/>
      <c r="D295" s="276"/>
    </row>
    <row r="296" spans="1:4" ht="15.75" hidden="1">
      <c r="A296" s="84"/>
      <c r="B296" s="276"/>
      <c r="C296" s="276"/>
      <c r="D296" s="276"/>
    </row>
    <row r="297" spans="1:4" ht="15.75" hidden="1">
      <c r="A297" s="271" t="s">
        <v>50</v>
      </c>
      <c r="B297" s="288">
        <f>SUM(B293:B296)</f>
        <v>0</v>
      </c>
      <c r="C297" s="288">
        <f>SUM(C293:C296)</f>
        <v>0</v>
      </c>
      <c r="D297" s="288">
        <f>SUM(D293:D296)</f>
        <v>0</v>
      </c>
    </row>
    <row r="298" spans="1:4" ht="15.75" hidden="1">
      <c r="A298" s="293"/>
      <c r="B298" s="101"/>
      <c r="C298" s="101"/>
      <c r="D298" s="101"/>
    </row>
    <row r="299" spans="1:4" ht="15.75" hidden="1">
      <c r="A299" s="84"/>
      <c r="B299" s="276"/>
      <c r="C299" s="276"/>
      <c r="D299" s="276"/>
    </row>
    <row r="300" spans="1:4" ht="15.75" hidden="1">
      <c r="A300" s="84"/>
      <c r="B300" s="276"/>
      <c r="C300" s="276"/>
      <c r="D300" s="276"/>
    </row>
    <row r="301" spans="1:4" ht="15.75" hidden="1">
      <c r="A301" s="84"/>
      <c r="B301" s="276"/>
      <c r="C301" s="276"/>
      <c r="D301" s="276"/>
    </row>
    <row r="302" spans="1:4" ht="15.75" hidden="1">
      <c r="A302" s="84"/>
      <c r="B302" s="276"/>
      <c r="C302" s="276"/>
      <c r="D302" s="276"/>
    </row>
    <row r="303" spans="1:4" ht="15.75" hidden="1">
      <c r="A303" s="271" t="s">
        <v>50</v>
      </c>
      <c r="B303" s="288">
        <f>SUM(B299:B302)</f>
        <v>0</v>
      </c>
      <c r="C303" s="288">
        <f>SUM(C299:C302)</f>
        <v>0</v>
      </c>
      <c r="D303" s="288">
        <f>SUM(D299:D302)</f>
        <v>0</v>
      </c>
    </row>
    <row r="304" spans="1:4" ht="15.75" hidden="1">
      <c r="A304" s="271"/>
      <c r="B304" s="101"/>
      <c r="C304" s="101"/>
      <c r="D304" s="101"/>
    </row>
    <row r="305" spans="1:4" ht="15.75" hidden="1">
      <c r="A305" s="271" t="s">
        <v>237</v>
      </c>
      <c r="B305" s="288">
        <f>B269+B275+B281+B287+B291+B297+B303</f>
        <v>0</v>
      </c>
      <c r="C305" s="288">
        <f>C269+C275+C281+C287+C291+C297+C303</f>
        <v>0</v>
      </c>
      <c r="D305" s="288">
        <f>D269+D275+D281+D287+D291+D297+D303</f>
        <v>0</v>
      </c>
    </row>
    <row r="306" spans="1:4" ht="15.75" hidden="1">
      <c r="A306" s="271"/>
      <c r="B306" s="101"/>
      <c r="C306" s="101"/>
      <c r="D306" s="101"/>
    </row>
    <row r="307" spans="1:4" ht="15.75">
      <c r="A307" s="271" t="s">
        <v>238</v>
      </c>
      <c r="B307" s="288">
        <f>B64</f>
        <v>678430</v>
      </c>
      <c r="C307" s="288">
        <f>C64</f>
        <v>718800</v>
      </c>
      <c r="D307" s="288">
        <f>D64</f>
        <v>804969</v>
      </c>
    </row>
    <row r="308" spans="1:4" ht="15.75">
      <c r="A308" s="59"/>
      <c r="B308" s="101"/>
      <c r="C308" s="101"/>
      <c r="D308" s="101"/>
    </row>
    <row r="309" spans="1:4" ht="15.75">
      <c r="A309" s="271" t="s">
        <v>239</v>
      </c>
      <c r="B309" s="288">
        <f>B152</f>
        <v>711225</v>
      </c>
      <c r="C309" s="288">
        <f>C152</f>
        <v>716908</v>
      </c>
      <c r="D309" s="288">
        <f>D152</f>
        <v>805657</v>
      </c>
    </row>
    <row r="310" spans="1:4" ht="15.75">
      <c r="A310" s="59"/>
      <c r="B310" s="101"/>
      <c r="C310" s="101"/>
      <c r="D310" s="101"/>
    </row>
    <row r="311" spans="1:4" ht="15.75" hidden="1">
      <c r="A311" s="271" t="s">
        <v>235</v>
      </c>
      <c r="B311" s="288">
        <f>B212</f>
        <v>324577</v>
      </c>
      <c r="C311" s="288">
        <f>C212</f>
        <v>302420</v>
      </c>
      <c r="D311" s="288">
        <f>D212</f>
        <v>316920</v>
      </c>
    </row>
    <row r="312" spans="1:4" ht="15.75" hidden="1">
      <c r="A312" s="59"/>
      <c r="B312" s="101"/>
      <c r="C312" s="101"/>
      <c r="D312" s="101"/>
    </row>
    <row r="313" spans="1:4" ht="15.75" hidden="1">
      <c r="A313" s="271" t="s">
        <v>236</v>
      </c>
      <c r="B313" s="288">
        <f>B255</f>
        <v>0</v>
      </c>
      <c r="C313" s="288">
        <f>C255</f>
        <v>0</v>
      </c>
      <c r="D313" s="288">
        <f>D255</f>
        <v>0</v>
      </c>
    </row>
    <row r="314" spans="1:4" ht="15.75" hidden="1">
      <c r="A314" s="59"/>
      <c r="B314" s="101"/>
      <c r="C314" s="101"/>
      <c r="D314" s="101"/>
    </row>
    <row r="315" spans="1:4" ht="16.5" thickBot="1">
      <c r="A315" s="232" t="s">
        <v>24</v>
      </c>
      <c r="B315" s="298">
        <f>SUM(B305:B314)</f>
        <v>1714232</v>
      </c>
      <c r="C315" s="298">
        <f>SUM(C305:C314)</f>
        <v>1738128</v>
      </c>
      <c r="D315" s="298">
        <f>SUM(D305:D314)</f>
        <v>1927546</v>
      </c>
    </row>
    <row r="316" spans="1:4" ht="16.5" thickTop="1">
      <c r="A316" s="299" t="s">
        <v>25</v>
      </c>
      <c r="B316" s="300"/>
      <c r="C316" s="300"/>
      <c r="D316" s="300"/>
    </row>
    <row r="317" spans="1:4" ht="15.75">
      <c r="A317" s="506" t="s">
        <v>217</v>
      </c>
      <c r="B317" s="506"/>
      <c r="C317" s="506"/>
      <c r="D317" s="506"/>
    </row>
    <row r="318" spans="2:4" ht="15.75">
      <c r="B318" s="301"/>
      <c r="C318" s="301"/>
      <c r="D318" s="301"/>
    </row>
    <row r="319" spans="2:4" ht="15.75">
      <c r="B319" s="301"/>
      <c r="C319" s="301"/>
      <c r="D319" s="301"/>
    </row>
    <row r="320" spans="2:4" ht="15.75">
      <c r="B320" s="301"/>
      <c r="C320" s="301"/>
      <c r="D320" s="301"/>
    </row>
    <row r="321" spans="2:4" ht="15.75">
      <c r="B321" s="301"/>
      <c r="C321" s="301"/>
      <c r="D321" s="301"/>
    </row>
    <row r="322" spans="2:4" ht="15.75">
      <c r="B322" s="301"/>
      <c r="C322" s="301"/>
      <c r="D322" s="301"/>
    </row>
    <row r="323" spans="2:4" ht="15.75">
      <c r="B323" s="301"/>
      <c r="C323" s="301"/>
      <c r="D323" s="301"/>
    </row>
    <row r="324" spans="2:4" ht="15.75">
      <c r="B324" s="301"/>
      <c r="C324" s="301"/>
      <c r="D324" s="301"/>
    </row>
    <row r="325" spans="2:4" ht="15.75">
      <c r="B325" s="301"/>
      <c r="C325" s="301"/>
      <c r="D325" s="301"/>
    </row>
    <row r="326" spans="2:4" ht="15.75">
      <c r="B326" s="301"/>
      <c r="C326" s="301"/>
      <c r="D326" s="301"/>
    </row>
    <row r="327" spans="2:4" ht="15.75">
      <c r="B327" s="301"/>
      <c r="C327" s="301"/>
      <c r="D327" s="301"/>
    </row>
    <row r="328" spans="2:4" ht="15.75">
      <c r="B328" s="301"/>
      <c r="C328" s="301"/>
      <c r="D328" s="301"/>
    </row>
    <row r="329" spans="2:4" ht="15.75">
      <c r="B329" s="301"/>
      <c r="C329" s="301"/>
      <c r="D329" s="301"/>
    </row>
    <row r="330" spans="2:4" ht="15.75">
      <c r="B330" s="301"/>
      <c r="C330" s="301"/>
      <c r="D330" s="301"/>
    </row>
    <row r="331" spans="2:4" ht="15.75">
      <c r="B331" s="301"/>
      <c r="C331" s="301"/>
      <c r="D331" s="301"/>
    </row>
    <row r="332" spans="2:4" ht="15.75">
      <c r="B332" s="301"/>
      <c r="C332" s="301"/>
      <c r="D332" s="301"/>
    </row>
    <row r="333" spans="2:4" ht="15.75">
      <c r="B333" s="301"/>
      <c r="C333" s="301"/>
      <c r="D333" s="301"/>
    </row>
    <row r="334" spans="2:4" ht="15.75">
      <c r="B334" s="301"/>
      <c r="C334" s="301"/>
      <c r="D334" s="301"/>
    </row>
    <row r="335" spans="2:4" ht="15.75">
      <c r="B335" s="301"/>
      <c r="C335" s="301"/>
      <c r="D335" s="301"/>
    </row>
    <row r="336" spans="2:4" ht="15.75">
      <c r="B336" s="301"/>
      <c r="C336" s="301"/>
      <c r="D336" s="301"/>
    </row>
    <row r="337" spans="2:4" ht="15.75">
      <c r="B337" s="301"/>
      <c r="C337" s="301"/>
      <c r="D337" s="301"/>
    </row>
    <row r="338" spans="2:4" ht="15.75">
      <c r="B338" s="301"/>
      <c r="C338" s="301"/>
      <c r="D338" s="301"/>
    </row>
    <row r="339" spans="2:4" ht="15.75">
      <c r="B339" s="301"/>
      <c r="C339" s="301"/>
      <c r="D339" s="301"/>
    </row>
    <row r="340" spans="2:4" ht="15.75">
      <c r="B340" s="301"/>
      <c r="C340" s="301"/>
      <c r="D340" s="301"/>
    </row>
    <row r="341" spans="2:4" ht="15.75">
      <c r="B341" s="301"/>
      <c r="C341" s="301"/>
      <c r="D341" s="301"/>
    </row>
    <row r="342" spans="2:4" ht="15.75">
      <c r="B342" s="301"/>
      <c r="C342" s="301"/>
      <c r="D342" s="301"/>
    </row>
    <row r="343" spans="2:4" ht="15.75">
      <c r="B343" s="301"/>
      <c r="C343" s="301"/>
      <c r="D343" s="301"/>
    </row>
    <row r="344" spans="2:4" ht="15.75">
      <c r="B344" s="301"/>
      <c r="C344" s="301"/>
      <c r="D344" s="301"/>
    </row>
    <row r="345" spans="2:4" ht="15.75">
      <c r="B345" s="301"/>
      <c r="C345" s="301"/>
      <c r="D345" s="301"/>
    </row>
    <row r="346" spans="2:4" ht="15.75">
      <c r="B346" s="301"/>
      <c r="C346" s="301"/>
      <c r="D346" s="301"/>
    </row>
    <row r="347" spans="2:4" ht="15.75">
      <c r="B347" s="301"/>
      <c r="C347" s="301"/>
      <c r="D347" s="301"/>
    </row>
    <row r="348" spans="2:4" ht="15.75">
      <c r="B348" s="301"/>
      <c r="C348" s="301"/>
      <c r="D348" s="301"/>
    </row>
    <row r="349" spans="2:4" ht="15.75">
      <c r="B349" s="301"/>
      <c r="C349" s="301"/>
      <c r="D349" s="301"/>
    </row>
    <row r="350" spans="2:4" ht="15.75">
      <c r="B350" s="301"/>
      <c r="C350" s="301"/>
      <c r="D350" s="301"/>
    </row>
    <row r="351" spans="2:4" ht="15.75">
      <c r="B351" s="301"/>
      <c r="C351" s="301"/>
      <c r="D351" s="301"/>
    </row>
    <row r="352" spans="2:4" ht="15.75">
      <c r="B352" s="301"/>
      <c r="C352" s="301"/>
      <c r="D352" s="301"/>
    </row>
    <row r="353" spans="2:4" ht="15.75">
      <c r="B353" s="301"/>
      <c r="C353" s="301"/>
      <c r="D353" s="301"/>
    </row>
    <row r="354" spans="2:4" ht="15.75">
      <c r="B354" s="301"/>
      <c r="C354" s="301"/>
      <c r="D354" s="301"/>
    </row>
    <row r="355" spans="2:4" ht="15.75">
      <c r="B355" s="301"/>
      <c r="C355" s="301"/>
      <c r="D355" s="301"/>
    </row>
    <row r="356" spans="2:4" ht="15.75">
      <c r="B356" s="301"/>
      <c r="C356" s="301"/>
      <c r="D356" s="301"/>
    </row>
    <row r="357" spans="2:4" ht="15.75">
      <c r="B357" s="301"/>
      <c r="C357" s="301"/>
      <c r="D357" s="301"/>
    </row>
    <row r="358" spans="2:4" ht="15.75">
      <c r="B358" s="301"/>
      <c r="C358" s="301"/>
      <c r="D358" s="301"/>
    </row>
    <row r="359" spans="2:4" ht="15.75">
      <c r="B359" s="301"/>
      <c r="C359" s="301"/>
      <c r="D359" s="301"/>
    </row>
    <row r="360" spans="2:4" ht="15.75">
      <c r="B360" s="301"/>
      <c r="C360" s="301"/>
      <c r="D360" s="301"/>
    </row>
    <row r="361" spans="2:4" ht="15.75">
      <c r="B361" s="301"/>
      <c r="C361" s="301"/>
      <c r="D361" s="301"/>
    </row>
    <row r="362" spans="2:4" ht="15.75">
      <c r="B362" s="301"/>
      <c r="C362" s="301"/>
      <c r="D362" s="301"/>
    </row>
    <row r="363" spans="2:4" ht="15.75">
      <c r="B363" s="301"/>
      <c r="C363" s="301"/>
      <c r="D363" s="301"/>
    </row>
    <row r="364" spans="2:4" ht="15.75">
      <c r="B364" s="301"/>
      <c r="C364" s="301"/>
      <c r="D364" s="301"/>
    </row>
    <row r="365" spans="2:4" ht="15.75">
      <c r="B365" s="301"/>
      <c r="C365" s="301"/>
      <c r="D365" s="301"/>
    </row>
    <row r="366" spans="2:4" ht="15.75">
      <c r="B366" s="301"/>
      <c r="C366" s="301"/>
      <c r="D366" s="301"/>
    </row>
    <row r="367" spans="2:4" ht="15.75">
      <c r="B367" s="301"/>
      <c r="C367" s="301"/>
      <c r="D367" s="301"/>
    </row>
    <row r="368" spans="2:4" ht="15.75">
      <c r="B368" s="301"/>
      <c r="C368" s="301"/>
      <c r="D368" s="301"/>
    </row>
    <row r="369" spans="2:4" ht="15.75">
      <c r="B369" s="301"/>
      <c r="C369" s="301"/>
      <c r="D369" s="301"/>
    </row>
    <row r="370" spans="2:4" ht="15.75">
      <c r="B370" s="301"/>
      <c r="C370" s="301"/>
      <c r="D370" s="301"/>
    </row>
    <row r="371" spans="2:4" ht="15.75">
      <c r="B371" s="301"/>
      <c r="C371" s="301"/>
      <c r="D371" s="301"/>
    </row>
    <row r="372" spans="2:4" ht="15.75">
      <c r="B372" s="301"/>
      <c r="C372" s="301"/>
      <c r="D372" s="301"/>
    </row>
    <row r="373" spans="2:4" ht="15.75">
      <c r="B373" s="301"/>
      <c r="C373" s="301"/>
      <c r="D373" s="301"/>
    </row>
    <row r="374" spans="2:4" ht="15.75">
      <c r="B374" s="301"/>
      <c r="C374" s="301"/>
      <c r="D374" s="301"/>
    </row>
    <row r="375" spans="2:4" ht="15.75">
      <c r="B375" s="301"/>
      <c r="C375" s="301"/>
      <c r="D375" s="301"/>
    </row>
    <row r="376" spans="2:4" ht="15.75">
      <c r="B376" s="301"/>
      <c r="C376" s="301"/>
      <c r="D376" s="301"/>
    </row>
    <row r="377" spans="2:4" ht="15.75">
      <c r="B377" s="301"/>
      <c r="C377" s="301"/>
      <c r="D377" s="301"/>
    </row>
    <row r="378" spans="2:4" ht="15.75">
      <c r="B378" s="301"/>
      <c r="C378" s="301"/>
      <c r="D378" s="301"/>
    </row>
    <row r="379" spans="2:4" ht="15.75">
      <c r="B379" s="301"/>
      <c r="C379" s="301"/>
      <c r="D379" s="301"/>
    </row>
    <row r="380" spans="2:4" ht="15.75">
      <c r="B380" s="301"/>
      <c r="C380" s="301"/>
      <c r="D380" s="301"/>
    </row>
    <row r="381" spans="2:4" ht="15.75">
      <c r="B381" s="301"/>
      <c r="C381" s="301"/>
      <c r="D381" s="301"/>
    </row>
    <row r="382" spans="2:4" ht="15.75">
      <c r="B382" s="301"/>
      <c r="C382" s="301"/>
      <c r="D382" s="301"/>
    </row>
    <row r="383" spans="2:4" ht="15.75">
      <c r="B383" s="301"/>
      <c r="C383" s="301"/>
      <c r="D383" s="301"/>
    </row>
    <row r="384" spans="2:4" ht="15.75">
      <c r="B384" s="301"/>
      <c r="C384" s="301"/>
      <c r="D384" s="301"/>
    </row>
    <row r="385" spans="2:4" ht="15.75">
      <c r="B385" s="301"/>
      <c r="C385" s="301"/>
      <c r="D385" s="301"/>
    </row>
    <row r="386" spans="2:4" ht="15.75">
      <c r="B386" s="301"/>
      <c r="C386" s="301"/>
      <c r="D386" s="301"/>
    </row>
    <row r="387" spans="2:4" ht="15.75">
      <c r="B387" s="301"/>
      <c r="C387" s="301"/>
      <c r="D387" s="301"/>
    </row>
    <row r="388" spans="2:4" ht="15.75">
      <c r="B388" s="301"/>
      <c r="C388" s="301"/>
      <c r="D388" s="301"/>
    </row>
    <row r="389" spans="2:4" ht="15.75">
      <c r="B389" s="301"/>
      <c r="C389" s="301"/>
      <c r="D389" s="301"/>
    </row>
    <row r="390" spans="2:4" ht="15.75">
      <c r="B390" s="301"/>
      <c r="C390" s="301"/>
      <c r="D390" s="301"/>
    </row>
    <row r="391" spans="2:4" ht="15.75">
      <c r="B391" s="301"/>
      <c r="C391" s="301"/>
      <c r="D391" s="301"/>
    </row>
    <row r="392" spans="2:4" ht="15.75">
      <c r="B392" s="301"/>
      <c r="C392" s="301"/>
      <c r="D392" s="301"/>
    </row>
    <row r="393" spans="2:4" ht="15.75">
      <c r="B393" s="301"/>
      <c r="C393" s="301"/>
      <c r="D393" s="301"/>
    </row>
    <row r="394" spans="2:4" ht="15.75">
      <c r="B394" s="301"/>
      <c r="C394" s="301"/>
      <c r="D394" s="301"/>
    </row>
    <row r="395" spans="2:4" ht="15.75">
      <c r="B395" s="301"/>
      <c r="C395" s="301"/>
      <c r="D395" s="301"/>
    </row>
    <row r="396" spans="2:4" ht="15.75">
      <c r="B396" s="301"/>
      <c r="C396" s="301"/>
      <c r="D396" s="301"/>
    </row>
    <row r="397" spans="2:4" ht="15.75">
      <c r="B397" s="301"/>
      <c r="C397" s="301"/>
      <c r="D397" s="301"/>
    </row>
    <row r="398" spans="2:4" ht="15.75">
      <c r="B398" s="301"/>
      <c r="C398" s="301"/>
      <c r="D398" s="301"/>
    </row>
    <row r="399" spans="2:4" ht="15.75">
      <c r="B399" s="301"/>
      <c r="C399" s="301"/>
      <c r="D399" s="301"/>
    </row>
    <row r="400" spans="2:4" ht="15.75">
      <c r="B400" s="301"/>
      <c r="C400" s="301"/>
      <c r="D400" s="301"/>
    </row>
    <row r="401" spans="2:4" ht="15.75">
      <c r="B401" s="301"/>
      <c r="C401" s="301"/>
      <c r="D401" s="301"/>
    </row>
    <row r="402" spans="2:4" ht="15.75">
      <c r="B402" s="301"/>
      <c r="C402" s="301"/>
      <c r="D402" s="301"/>
    </row>
    <row r="403" spans="2:4" ht="15.75">
      <c r="B403" s="301"/>
      <c r="C403" s="301"/>
      <c r="D403" s="301"/>
    </row>
    <row r="404" spans="2:4" ht="15.75">
      <c r="B404" s="301"/>
      <c r="C404" s="301"/>
      <c r="D404" s="301"/>
    </row>
    <row r="405" spans="2:4" ht="15.75">
      <c r="B405" s="301"/>
      <c r="C405" s="301"/>
      <c r="D405" s="301"/>
    </row>
    <row r="406" spans="2:4" ht="15.75">
      <c r="B406" s="301"/>
      <c r="C406" s="301"/>
      <c r="D406" s="301"/>
    </row>
    <row r="407" spans="2:4" ht="15.75">
      <c r="B407" s="301"/>
      <c r="C407" s="301"/>
      <c r="D407" s="301"/>
    </row>
    <row r="408" spans="2:4" ht="15.75">
      <c r="B408" s="301"/>
      <c r="C408" s="301"/>
      <c r="D408" s="301"/>
    </row>
    <row r="409" spans="2:4" ht="15.75">
      <c r="B409" s="301"/>
      <c r="C409" s="301"/>
      <c r="D409" s="301"/>
    </row>
    <row r="410" spans="2:4" ht="15.75">
      <c r="B410" s="301"/>
      <c r="C410" s="301"/>
      <c r="D410" s="301"/>
    </row>
    <row r="411" spans="2:4" ht="15.75">
      <c r="B411" s="301"/>
      <c r="C411" s="301"/>
      <c r="D411" s="301"/>
    </row>
    <row r="412" spans="2:4" ht="15.75">
      <c r="B412" s="301"/>
      <c r="C412" s="301"/>
      <c r="D412" s="301"/>
    </row>
    <row r="413" spans="2:4" ht="15.75">
      <c r="B413" s="301"/>
      <c r="C413" s="301"/>
      <c r="D413" s="301"/>
    </row>
    <row r="414" spans="2:4" ht="15.75">
      <c r="B414" s="301"/>
      <c r="C414" s="301"/>
      <c r="D414" s="301"/>
    </row>
    <row r="415" spans="2:4" ht="15.75">
      <c r="B415" s="301"/>
      <c r="C415" s="301"/>
      <c r="D415" s="301"/>
    </row>
    <row r="416" spans="2:4" ht="15.75">
      <c r="B416" s="301"/>
      <c r="C416" s="301"/>
      <c r="D416" s="301"/>
    </row>
    <row r="417" spans="2:4" ht="15.75">
      <c r="B417" s="301"/>
      <c r="C417" s="301"/>
      <c r="D417" s="301"/>
    </row>
    <row r="418" spans="2:4" ht="15.75">
      <c r="B418" s="301"/>
      <c r="C418" s="301"/>
      <c r="D418" s="301"/>
    </row>
    <row r="419" spans="2:4" ht="15.75">
      <c r="B419" s="301"/>
      <c r="C419" s="301"/>
      <c r="D419" s="301"/>
    </row>
    <row r="420" spans="2:4" ht="15.75">
      <c r="B420" s="301"/>
      <c r="C420" s="301"/>
      <c r="D420" s="301"/>
    </row>
  </sheetData>
  <sheetProtection/>
  <mergeCells count="5">
    <mergeCell ref="A317:D317"/>
    <mergeCell ref="A66:D66"/>
    <mergeCell ref="A154:D154"/>
    <mergeCell ref="A214:D214"/>
    <mergeCell ref="A257:D257"/>
  </mergeCells>
  <printOptions/>
  <pageMargins left="1.12" right="0.5" top="0.74" bottom="0.34" header="0.5" footer="0"/>
  <pageSetup blackAndWhite="1" horizontalDpi="600" verticalDpi="600" orientation="portrait" scale="69" r:id="rId1"/>
  <headerFooter alignWithMargins="0">
    <oddHeader>&amp;RState of Kansas
County
</oddHeader>
  </headerFooter>
  <rowBreaks count="2" manualBreakCount="2">
    <brk id="66" max="4" man="1"/>
    <brk id="154" max="4" man="1"/>
  </rowBreaks>
</worksheet>
</file>

<file path=xl/worksheets/sheet12.xml><?xml version="1.0" encoding="utf-8"?>
<worksheet xmlns="http://schemas.openxmlformats.org/spreadsheetml/2006/main" xmlns:r="http://schemas.openxmlformats.org/officeDocument/2006/relationships">
  <sheetPr>
    <pageSetUpPr fitToPage="1"/>
  </sheetPr>
  <dimension ref="B1:F121"/>
  <sheetViews>
    <sheetView zoomScalePageLayoutView="0" workbookViewId="0" topLeftCell="A1">
      <selection activeCell="A1" sqref="A1"/>
    </sheetView>
  </sheetViews>
  <sheetFormatPr defaultColWidth="8.796875" defaultRowHeight="15"/>
  <cols>
    <col min="1" max="1" width="2.3984375" style="55" customWidth="1"/>
    <col min="2" max="2" width="31.09765625" style="55" customWidth="1"/>
    <col min="3" max="4" width="15.796875" style="55" customWidth="1"/>
    <col min="5" max="5" width="16.19921875" style="55" customWidth="1"/>
    <col min="6" max="6" width="7.59765625" style="55" customWidth="1"/>
    <col min="7"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162</v>
      </c>
      <c r="C3" s="59"/>
      <c r="D3" s="59"/>
      <c r="E3" s="270"/>
    </row>
    <row r="4" spans="2:5" ht="15.75">
      <c r="B4" s="271" t="s">
        <v>78</v>
      </c>
      <c r="C4" s="393" t="s">
        <v>114</v>
      </c>
      <c r="D4" s="392" t="s">
        <v>250</v>
      </c>
      <c r="E4" s="394" t="str">
        <f>general!E4</f>
        <v>Proposed Budget Year</v>
      </c>
    </row>
    <row r="5" spans="2:5" ht="15.75">
      <c r="B5" s="402" t="str">
        <f>inputPrYr!B18</f>
        <v>Road &amp; Bridge</v>
      </c>
      <c r="C5" s="231">
        <f>E1-2</f>
        <v>2010</v>
      </c>
      <c r="D5" s="231">
        <f>E1-1</f>
        <v>2011</v>
      </c>
      <c r="E5" s="272">
        <f>E1</f>
        <v>2012</v>
      </c>
    </row>
    <row r="6" spans="2:5" ht="15.75">
      <c r="B6" s="273" t="s">
        <v>204</v>
      </c>
      <c r="C6" s="377">
        <v>0</v>
      </c>
      <c r="D6" s="381">
        <f>C103</f>
        <v>3317</v>
      </c>
      <c r="E6" s="235">
        <f>D103</f>
        <v>21000</v>
      </c>
    </row>
    <row r="7" spans="2:5" ht="15.75">
      <c r="B7" s="260" t="s">
        <v>206</v>
      </c>
      <c r="C7" s="275"/>
      <c r="D7" s="275"/>
      <c r="E7" s="101"/>
    </row>
    <row r="8" spans="2:5" ht="15.75">
      <c r="B8" s="273" t="s">
        <v>79</v>
      </c>
      <c r="C8" s="377">
        <v>700299</v>
      </c>
      <c r="D8" s="381">
        <f>inputPrYr!E18-15000</f>
        <v>747719</v>
      </c>
      <c r="E8" s="197" t="s">
        <v>65</v>
      </c>
    </row>
    <row r="9" spans="2:5" ht="15.75">
      <c r="B9" s="273" t="s">
        <v>80</v>
      </c>
      <c r="C9" s="377">
        <v>11164</v>
      </c>
      <c r="D9" s="377">
        <v>5000</v>
      </c>
      <c r="E9" s="276">
        <v>5000</v>
      </c>
    </row>
    <row r="10" spans="2:5" ht="15.75">
      <c r="B10" s="273" t="s">
        <v>81</v>
      </c>
      <c r="C10" s="377">
        <v>55235</v>
      </c>
      <c r="D10" s="377">
        <v>51178</v>
      </c>
      <c r="E10" s="101">
        <f>mvalloc!D10</f>
        <v>61147</v>
      </c>
    </row>
    <row r="11" spans="2:5" ht="15.75">
      <c r="B11" s="273" t="s">
        <v>82</v>
      </c>
      <c r="C11" s="377">
        <v>1121</v>
      </c>
      <c r="D11" s="377">
        <v>996</v>
      </c>
      <c r="E11" s="101">
        <f>mvalloc!E10</f>
        <v>1231</v>
      </c>
    </row>
    <row r="12" spans="2:5" ht="15.75">
      <c r="B12" s="275" t="s">
        <v>186</v>
      </c>
      <c r="C12" s="377">
        <v>6906</v>
      </c>
      <c r="D12" s="377">
        <v>7867</v>
      </c>
      <c r="E12" s="101">
        <f>mvalloc!F10</f>
        <v>7969</v>
      </c>
    </row>
    <row r="13" spans="2:5" ht="15.75">
      <c r="B13" s="275" t="s">
        <v>256</v>
      </c>
      <c r="C13" s="377"/>
      <c r="D13" s="377"/>
      <c r="E13" s="101">
        <f>mvalloc!G10</f>
        <v>0</v>
      </c>
    </row>
    <row r="14" spans="2:5" ht="15.75">
      <c r="B14" s="273"/>
      <c r="C14" s="377"/>
      <c r="D14" s="377"/>
      <c r="E14" s="101"/>
    </row>
    <row r="15" spans="2:5" ht="15.75">
      <c r="B15" s="309" t="s">
        <v>382</v>
      </c>
      <c r="C15" s="377">
        <v>442</v>
      </c>
      <c r="D15" s="377"/>
      <c r="E15" s="121"/>
    </row>
    <row r="16" spans="2:5" ht="15.75">
      <c r="B16" s="309" t="s">
        <v>383</v>
      </c>
      <c r="C16" s="377"/>
      <c r="D16" s="377"/>
      <c r="E16" s="121"/>
    </row>
    <row r="17" spans="2:5" ht="15.75">
      <c r="B17" s="310" t="s">
        <v>384</v>
      </c>
      <c r="C17" s="377">
        <v>243341</v>
      </c>
      <c r="D17" s="377">
        <v>259923</v>
      </c>
      <c r="E17" s="121">
        <v>258369</v>
      </c>
    </row>
    <row r="18" spans="2:5" ht="15.75">
      <c r="B18" s="277" t="s">
        <v>7</v>
      </c>
      <c r="C18" s="377"/>
      <c r="D18" s="377"/>
      <c r="E18" s="276"/>
    </row>
    <row r="19" spans="2:5" ht="15.75">
      <c r="B19" s="277" t="s">
        <v>385</v>
      </c>
      <c r="C19" s="377">
        <v>150</v>
      </c>
      <c r="D19" s="377"/>
      <c r="E19" s="276"/>
    </row>
    <row r="20" spans="2:5" ht="15.75">
      <c r="B20" s="277" t="s">
        <v>386</v>
      </c>
      <c r="C20" s="377">
        <v>7422</v>
      </c>
      <c r="D20" s="377"/>
      <c r="E20" s="276"/>
    </row>
    <row r="21" spans="2:5" ht="15.75">
      <c r="B21" s="278"/>
      <c r="C21" s="377"/>
      <c r="D21" s="377"/>
      <c r="E21" s="276"/>
    </row>
    <row r="22" spans="2:5" ht="15.75">
      <c r="B22" s="278"/>
      <c r="C22" s="377"/>
      <c r="D22" s="377"/>
      <c r="E22" s="276"/>
    </row>
    <row r="23" spans="2:5" ht="15.75">
      <c r="B23" s="277"/>
      <c r="C23" s="377"/>
      <c r="D23" s="377"/>
      <c r="E23" s="276"/>
    </row>
    <row r="24" spans="2:5" ht="15.75">
      <c r="B24" s="277"/>
      <c r="C24" s="377"/>
      <c r="D24" s="377"/>
      <c r="E24" s="276"/>
    </row>
    <row r="25" spans="2:5" ht="15.75" hidden="1">
      <c r="B25" s="277"/>
      <c r="C25" s="377"/>
      <c r="D25" s="377"/>
      <c r="E25" s="276"/>
    </row>
    <row r="26" spans="2:5" ht="15.75" hidden="1">
      <c r="B26" s="277"/>
      <c r="C26" s="377"/>
      <c r="D26" s="377"/>
      <c r="E26" s="276"/>
    </row>
    <row r="27" spans="2:5" ht="15.75" hidden="1">
      <c r="B27" s="277"/>
      <c r="C27" s="377"/>
      <c r="D27" s="377"/>
      <c r="E27" s="276"/>
    </row>
    <row r="28" spans="2:5" ht="15.75" hidden="1">
      <c r="B28" s="277"/>
      <c r="C28" s="377"/>
      <c r="D28" s="377"/>
      <c r="E28" s="276"/>
    </row>
    <row r="29" spans="2:5" ht="15.75" hidden="1">
      <c r="B29" s="277"/>
      <c r="C29" s="377"/>
      <c r="D29" s="377"/>
      <c r="E29" s="276"/>
    </row>
    <row r="30" spans="2:5" ht="15.75" hidden="1">
      <c r="B30" s="277"/>
      <c r="C30" s="377"/>
      <c r="D30" s="377"/>
      <c r="E30" s="276"/>
    </row>
    <row r="31" spans="2:5" ht="15.75" hidden="1">
      <c r="B31" s="277"/>
      <c r="C31" s="377"/>
      <c r="D31" s="377"/>
      <c r="E31" s="276"/>
    </row>
    <row r="32" spans="2:5" ht="15.75" hidden="1">
      <c r="B32" s="277"/>
      <c r="C32" s="377"/>
      <c r="D32" s="377"/>
      <c r="E32" s="276"/>
    </row>
    <row r="33" spans="2:5" ht="15.75" hidden="1">
      <c r="B33" s="277"/>
      <c r="C33" s="377"/>
      <c r="D33" s="377"/>
      <c r="E33" s="276"/>
    </row>
    <row r="34" spans="2:5" ht="15.75" hidden="1">
      <c r="B34" s="277"/>
      <c r="C34" s="377"/>
      <c r="D34" s="377"/>
      <c r="E34" s="276"/>
    </row>
    <row r="35" spans="2:5" ht="15.75" hidden="1">
      <c r="B35" s="277"/>
      <c r="C35" s="377"/>
      <c r="D35" s="377"/>
      <c r="E35" s="276"/>
    </row>
    <row r="36" spans="2:5" ht="15.75" hidden="1">
      <c r="B36" s="277"/>
      <c r="C36" s="377"/>
      <c r="D36" s="377"/>
      <c r="E36" s="276"/>
    </row>
    <row r="37" spans="2:5" ht="15.75" hidden="1">
      <c r="B37" s="277"/>
      <c r="C37" s="377"/>
      <c r="D37" s="377"/>
      <c r="E37" s="276"/>
    </row>
    <row r="38" spans="2:5" ht="15.75" hidden="1">
      <c r="B38" s="277"/>
      <c r="C38" s="377"/>
      <c r="D38" s="377"/>
      <c r="E38" s="276"/>
    </row>
    <row r="39" spans="2:5" ht="15.75" hidden="1">
      <c r="B39" s="277"/>
      <c r="C39" s="377"/>
      <c r="D39" s="377"/>
      <c r="E39" s="276"/>
    </row>
    <row r="40" spans="2:5" ht="15.75" hidden="1">
      <c r="B40" s="277"/>
      <c r="C40" s="377"/>
      <c r="D40" s="377"/>
      <c r="E40" s="276"/>
    </row>
    <row r="41" spans="2:5" ht="15.75" hidden="1">
      <c r="B41" s="277"/>
      <c r="C41" s="377"/>
      <c r="D41" s="377"/>
      <c r="E41" s="276"/>
    </row>
    <row r="42" spans="2:5" ht="15.75" hidden="1">
      <c r="B42" s="277"/>
      <c r="C42" s="377"/>
      <c r="D42" s="377"/>
      <c r="E42" s="276"/>
    </row>
    <row r="43" spans="2:5" ht="15.75" hidden="1">
      <c r="B43" s="277"/>
      <c r="C43" s="377"/>
      <c r="D43" s="377"/>
      <c r="E43" s="276"/>
    </row>
    <row r="44" spans="2:5" ht="15.75" hidden="1">
      <c r="B44" s="277"/>
      <c r="C44" s="377"/>
      <c r="D44" s="377"/>
      <c r="E44" s="276"/>
    </row>
    <row r="45" spans="2:5" ht="15.75" hidden="1">
      <c r="B45" s="277"/>
      <c r="C45" s="377"/>
      <c r="D45" s="377"/>
      <c r="E45" s="276"/>
    </row>
    <row r="46" spans="2:5" ht="15.75" hidden="1">
      <c r="B46" s="277"/>
      <c r="C46" s="377"/>
      <c r="D46" s="377"/>
      <c r="E46" s="276"/>
    </row>
    <row r="47" spans="2:5" ht="15.75" hidden="1">
      <c r="B47" s="277"/>
      <c r="C47" s="377"/>
      <c r="D47" s="377"/>
      <c r="E47" s="276"/>
    </row>
    <row r="48" spans="2:5" ht="15.75" hidden="1">
      <c r="B48" s="277"/>
      <c r="C48" s="377"/>
      <c r="D48" s="377"/>
      <c r="E48" s="276"/>
    </row>
    <row r="49" spans="2:5" ht="15.75" hidden="1">
      <c r="B49" s="277"/>
      <c r="C49" s="377"/>
      <c r="D49" s="377"/>
      <c r="E49" s="276"/>
    </row>
    <row r="50" spans="2:5" ht="15.75" hidden="1">
      <c r="B50" s="277"/>
      <c r="C50" s="377"/>
      <c r="D50" s="377"/>
      <c r="E50" s="276"/>
    </row>
    <row r="51" spans="2:5" ht="15.75" hidden="1">
      <c r="B51" s="277"/>
      <c r="C51" s="377"/>
      <c r="D51" s="377"/>
      <c r="E51" s="276"/>
    </row>
    <row r="52" spans="2:5" ht="15.75">
      <c r="B52" s="278" t="s">
        <v>84</v>
      </c>
      <c r="C52" s="377"/>
      <c r="D52" s="377"/>
      <c r="E52" s="276"/>
    </row>
    <row r="53" spans="2:5" ht="15.75">
      <c r="B53" s="279" t="s">
        <v>42</v>
      </c>
      <c r="C53" s="377"/>
      <c r="D53" s="377"/>
      <c r="E53" s="276"/>
    </row>
    <row r="54" spans="2:5" ht="15.75">
      <c r="B54" s="279" t="s">
        <v>297</v>
      </c>
      <c r="C54" s="378">
        <f>IF(C55*0.1&lt;C53,"Exceed 10% Rule","")</f>
      </c>
      <c r="D54" s="378">
        <f>IF(D55*0.1&lt;D53,"Exceed 10% Rule","")</f>
      </c>
      <c r="E54" s="306">
        <f>IF(E55*0.1+E109&lt;E53,"Exceed 10% Rule","")</f>
      </c>
    </row>
    <row r="55" spans="2:5" ht="15.75">
      <c r="B55" s="281" t="s">
        <v>85</v>
      </c>
      <c r="C55" s="379">
        <f>SUM(C8:C53)</f>
        <v>1026080</v>
      </c>
      <c r="D55" s="379">
        <f>SUM(D8:D53)</f>
        <v>1072683</v>
      </c>
      <c r="E55" s="311">
        <f>SUM(E9:E53)</f>
        <v>333716</v>
      </c>
    </row>
    <row r="56" spans="2:5" ht="15.75">
      <c r="B56" s="281" t="s">
        <v>86</v>
      </c>
      <c r="C56" s="379">
        <f>C6+C55</f>
        <v>1026080</v>
      </c>
      <c r="D56" s="379">
        <f>D6+D55</f>
        <v>1076000</v>
      </c>
      <c r="E56" s="311">
        <f>E6+E55</f>
        <v>354716</v>
      </c>
    </row>
    <row r="57" spans="2:5" ht="15.75" hidden="1">
      <c r="B57" s="59"/>
      <c r="C57" s="199"/>
      <c r="D57" s="199"/>
      <c r="E57" s="199"/>
    </row>
    <row r="58" spans="2:5" ht="15.75" hidden="1">
      <c r="B58" s="257" t="s">
        <v>112</v>
      </c>
      <c r="C58" s="308">
        <v>8</v>
      </c>
      <c r="D58" s="71"/>
      <c r="E58" s="71"/>
    </row>
    <row r="59" spans="2:5" ht="15.75" hidden="1">
      <c r="B59" s="71"/>
      <c r="C59" s="71"/>
      <c r="D59" s="71"/>
      <c r="E59" s="71"/>
    </row>
    <row r="60" spans="2:5" ht="15.75" hidden="1">
      <c r="B60" s="199" t="str">
        <f>inputPrYr!C2</f>
        <v>Edwards County</v>
      </c>
      <c r="C60" s="199"/>
      <c r="D60" s="199"/>
      <c r="E60" s="256">
        <f>inputPrYr!C4</f>
        <v>2012</v>
      </c>
    </row>
    <row r="61" spans="2:5" ht="15.75" hidden="1">
      <c r="B61" s="59"/>
      <c r="C61" s="199"/>
      <c r="D61" s="199"/>
      <c r="E61" s="211"/>
    </row>
    <row r="62" spans="2:5" ht="15.75" hidden="1">
      <c r="B62" s="283" t="s">
        <v>161</v>
      </c>
      <c r="C62" s="284"/>
      <c r="D62" s="284"/>
      <c r="E62" s="284"/>
    </row>
    <row r="63" spans="2:5" ht="15.75" hidden="1">
      <c r="B63" s="59" t="s">
        <v>78</v>
      </c>
      <c r="C63" s="393" t="s">
        <v>114</v>
      </c>
      <c r="D63" s="392" t="s">
        <v>250</v>
      </c>
      <c r="E63" s="394" t="str">
        <f>E4</f>
        <v>Proposed Budget Year</v>
      </c>
    </row>
    <row r="64" spans="2:5" ht="15.75" hidden="1">
      <c r="B64" s="127" t="str">
        <f>B5</f>
        <v>Road &amp; Bridge</v>
      </c>
      <c r="C64" s="231">
        <f>E1-2</f>
        <v>2010</v>
      </c>
      <c r="D64" s="231">
        <f>E1-1</f>
        <v>2011</v>
      </c>
      <c r="E64" s="285">
        <f>E5</f>
        <v>2012</v>
      </c>
    </row>
    <row r="65" spans="2:5" ht="15.75" hidden="1">
      <c r="B65" s="281" t="s">
        <v>86</v>
      </c>
      <c r="C65" s="381">
        <f>C56</f>
        <v>1026080</v>
      </c>
      <c r="D65" s="381">
        <f>D56</f>
        <v>1076000</v>
      </c>
      <c r="E65" s="235">
        <f>E56</f>
        <v>354716</v>
      </c>
    </row>
    <row r="66" spans="2:5" ht="15.75">
      <c r="B66" s="313" t="s">
        <v>387</v>
      </c>
      <c r="C66" s="377"/>
      <c r="D66" s="377"/>
      <c r="E66" s="121"/>
    </row>
    <row r="67" spans="2:5" ht="15.75">
      <c r="B67" s="313" t="s">
        <v>94</v>
      </c>
      <c r="C67" s="377">
        <v>371265</v>
      </c>
      <c r="D67" s="377">
        <v>360000</v>
      </c>
      <c r="E67" s="121">
        <v>388100</v>
      </c>
    </row>
    <row r="68" spans="2:5" ht="15.75">
      <c r="B68" s="313" t="s">
        <v>95</v>
      </c>
      <c r="C68" s="377">
        <v>112580</v>
      </c>
      <c r="D68" s="377">
        <v>170000</v>
      </c>
      <c r="E68" s="121">
        <v>176000</v>
      </c>
    </row>
    <row r="69" spans="2:5" ht="15.75">
      <c r="B69" s="313" t="s">
        <v>96</v>
      </c>
      <c r="C69" s="377">
        <v>468247</v>
      </c>
      <c r="D69" s="377">
        <v>510000</v>
      </c>
      <c r="E69" s="121">
        <v>556700</v>
      </c>
    </row>
    <row r="70" spans="2:5" ht="15.75">
      <c r="B70" s="313" t="s">
        <v>97</v>
      </c>
      <c r="C70" s="377">
        <v>671</v>
      </c>
      <c r="D70" s="377">
        <v>15000</v>
      </c>
      <c r="E70" s="121">
        <v>15000</v>
      </c>
    </row>
    <row r="71" spans="2:5" ht="15.75">
      <c r="B71" s="313" t="s">
        <v>388</v>
      </c>
      <c r="C71" s="377">
        <v>10000</v>
      </c>
      <c r="D71" s="377"/>
      <c r="E71" s="121"/>
    </row>
    <row r="72" spans="2:5" ht="15.75">
      <c r="B72" s="313" t="s">
        <v>389</v>
      </c>
      <c r="C72" s="377">
        <v>60000</v>
      </c>
      <c r="D72" s="377"/>
      <c r="E72" s="121"/>
    </row>
    <row r="73" spans="2:5" ht="15.75">
      <c r="B73" s="313"/>
      <c r="C73" s="377"/>
      <c r="D73" s="377"/>
      <c r="E73" s="121"/>
    </row>
    <row r="74" spans="2:5" ht="15.75" hidden="1">
      <c r="B74" s="313"/>
      <c r="C74" s="377"/>
      <c r="D74" s="377"/>
      <c r="E74" s="121"/>
    </row>
    <row r="75" spans="2:5" ht="15.75" hidden="1">
      <c r="B75" s="313"/>
      <c r="C75" s="377"/>
      <c r="D75" s="377"/>
      <c r="E75" s="121"/>
    </row>
    <row r="76" spans="2:5" ht="15.75" hidden="1">
      <c r="B76" s="313"/>
      <c r="C76" s="377"/>
      <c r="D76" s="377"/>
      <c r="E76" s="121"/>
    </row>
    <row r="77" spans="2:5" ht="15.75" hidden="1">
      <c r="B77" s="313"/>
      <c r="C77" s="377"/>
      <c r="D77" s="377"/>
      <c r="E77" s="121"/>
    </row>
    <row r="78" spans="2:5" ht="15.75" hidden="1">
      <c r="B78" s="313"/>
      <c r="C78" s="377"/>
      <c r="D78" s="377"/>
      <c r="E78" s="121"/>
    </row>
    <row r="79" spans="2:5" ht="15.75" hidden="1">
      <c r="B79" s="313"/>
      <c r="C79" s="377"/>
      <c r="D79" s="377"/>
      <c r="E79" s="121"/>
    </row>
    <row r="80" spans="2:5" ht="15.75" hidden="1">
      <c r="B80" s="313"/>
      <c r="C80" s="377"/>
      <c r="D80" s="377"/>
      <c r="E80" s="121"/>
    </row>
    <row r="81" spans="2:5" ht="15.75" hidden="1">
      <c r="B81" s="313"/>
      <c r="C81" s="377"/>
      <c r="D81" s="377"/>
      <c r="E81" s="121"/>
    </row>
    <row r="82" spans="2:5" ht="15.75" hidden="1">
      <c r="B82" s="313"/>
      <c r="C82" s="377"/>
      <c r="D82" s="377"/>
      <c r="E82" s="121"/>
    </row>
    <row r="83" spans="2:5" ht="15.75" hidden="1">
      <c r="B83" s="313"/>
      <c r="C83" s="377"/>
      <c r="D83" s="377"/>
      <c r="E83" s="121"/>
    </row>
    <row r="84" spans="2:5" ht="15.75" hidden="1">
      <c r="B84" s="313"/>
      <c r="C84" s="377"/>
      <c r="D84" s="377"/>
      <c r="E84" s="121"/>
    </row>
    <row r="85" spans="2:5" ht="15.75" hidden="1">
      <c r="B85" s="313"/>
      <c r="C85" s="377"/>
      <c r="D85" s="377"/>
      <c r="E85" s="121"/>
    </row>
    <row r="86" spans="2:5" ht="15.75" hidden="1">
      <c r="B86" s="313"/>
      <c r="C86" s="377"/>
      <c r="D86" s="377"/>
      <c r="E86" s="121"/>
    </row>
    <row r="87" spans="2:5" ht="15.75" hidden="1">
      <c r="B87" s="313"/>
      <c r="C87" s="377"/>
      <c r="D87" s="377"/>
      <c r="E87" s="121"/>
    </row>
    <row r="88" spans="2:5" ht="15.75" hidden="1">
      <c r="B88" s="313"/>
      <c r="C88" s="377"/>
      <c r="D88" s="377"/>
      <c r="E88" s="121"/>
    </row>
    <row r="89" spans="2:5" ht="15.75" hidden="1">
      <c r="B89" s="313"/>
      <c r="C89" s="377"/>
      <c r="D89" s="377"/>
      <c r="E89" s="121"/>
    </row>
    <row r="90" spans="2:5" ht="15.75" hidden="1">
      <c r="B90" s="313"/>
      <c r="C90" s="377"/>
      <c r="D90" s="377"/>
      <c r="E90" s="121"/>
    </row>
    <row r="91" spans="2:5" ht="15.75" hidden="1">
      <c r="B91" s="313"/>
      <c r="C91" s="377"/>
      <c r="D91" s="377"/>
      <c r="E91" s="121"/>
    </row>
    <row r="92" spans="2:5" ht="15.75" hidden="1">
      <c r="B92" s="313"/>
      <c r="C92" s="377"/>
      <c r="D92" s="377"/>
      <c r="E92" s="121"/>
    </row>
    <row r="93" spans="2:5" ht="15.75" hidden="1">
      <c r="B93" s="313"/>
      <c r="C93" s="377"/>
      <c r="D93" s="377"/>
      <c r="E93" s="121"/>
    </row>
    <row r="94" spans="2:5" ht="15.75" hidden="1">
      <c r="B94" s="313"/>
      <c r="C94" s="377"/>
      <c r="D94" s="377"/>
      <c r="E94" s="121"/>
    </row>
    <row r="95" spans="2:5" ht="15.75" hidden="1">
      <c r="B95" s="313"/>
      <c r="C95" s="377"/>
      <c r="D95" s="377"/>
      <c r="E95" s="121"/>
    </row>
    <row r="96" spans="2:5" ht="15.75" hidden="1">
      <c r="B96" s="313"/>
      <c r="C96" s="377"/>
      <c r="D96" s="377"/>
      <c r="E96" s="121"/>
    </row>
    <row r="97" spans="2:5" ht="15.75" hidden="1">
      <c r="B97" s="313"/>
      <c r="C97" s="377"/>
      <c r="D97" s="377"/>
      <c r="E97" s="121"/>
    </row>
    <row r="98" spans="2:5" ht="15.75" hidden="1">
      <c r="B98" s="287"/>
      <c r="C98" s="377"/>
      <c r="D98" s="377"/>
      <c r="E98" s="276"/>
    </row>
    <row r="99" spans="2:5" ht="15.75">
      <c r="B99" s="279" t="s">
        <v>43</v>
      </c>
      <c r="C99" s="377"/>
      <c r="D99" s="377"/>
      <c r="E99" s="288">
        <f>Nhood!E8</f>
        <v>5876</v>
      </c>
    </row>
    <row r="100" spans="2:5" ht="15.75">
      <c r="B100" s="279" t="s">
        <v>42</v>
      </c>
      <c r="C100" s="377"/>
      <c r="D100" s="377"/>
      <c r="E100" s="276"/>
    </row>
    <row r="101" spans="2:5" ht="15.75">
      <c r="B101" s="279" t="s">
        <v>296</v>
      </c>
      <c r="C101" s="378">
        <f>IF(C102*0.1&lt;C100,"Exceed 10% Rule","")</f>
      </c>
      <c r="D101" s="378">
        <f>IF(D102*0.1&lt;D100,"Exceed 10% Rule","")</f>
      </c>
      <c r="E101" s="306">
        <f>IF(E102*0.1&lt;E100,"Exceed 10% Rule","")</f>
      </c>
    </row>
    <row r="102" spans="2:5" ht="15.75">
      <c r="B102" s="281" t="s">
        <v>90</v>
      </c>
      <c r="C102" s="379">
        <f>SUM(C66:C100)</f>
        <v>1022763</v>
      </c>
      <c r="D102" s="379">
        <f>SUM(D66:D100)</f>
        <v>1055000</v>
      </c>
      <c r="E102" s="311">
        <f>SUM(E66:E100)</f>
        <v>1141676</v>
      </c>
    </row>
    <row r="103" spans="2:5" ht="15.75">
      <c r="B103" s="122" t="s">
        <v>205</v>
      </c>
      <c r="C103" s="382">
        <f>C56-C102</f>
        <v>3317</v>
      </c>
      <c r="D103" s="382">
        <f>D56-D102</f>
        <v>21000</v>
      </c>
      <c r="E103" s="197" t="s">
        <v>65</v>
      </c>
    </row>
    <row r="104" spans="2:6" ht="15.75">
      <c r="B104" s="257" t="str">
        <f>CONCATENATE("",E$1-2,"/",E$1-1," Budget Authority Amount:")</f>
        <v>2010/2011 Budget Authority Amount:</v>
      </c>
      <c r="C104" s="249">
        <f>inputOth!$B33</f>
        <v>1096723</v>
      </c>
      <c r="D104" s="249">
        <f>inputPrYr!D18</f>
        <v>1092200</v>
      </c>
      <c r="E104" s="197" t="s">
        <v>65</v>
      </c>
      <c r="F104" s="289"/>
    </row>
    <row r="105" spans="2:6" ht="15.75">
      <c r="B105" s="257"/>
      <c r="C105" s="499" t="s">
        <v>299</v>
      </c>
      <c r="D105" s="500"/>
      <c r="E105" s="86"/>
      <c r="F105" s="404">
        <f>IF(E102/0.95-E102&lt;E105,"Exceeds 5%","")</f>
      </c>
    </row>
    <row r="106" spans="2:5" ht="15.75">
      <c r="B106" s="407" t="str">
        <f>CONCATENATE(C120,"     ",D120)</f>
        <v>     </v>
      </c>
      <c r="C106" s="501" t="s">
        <v>300</v>
      </c>
      <c r="D106" s="502"/>
      <c r="E106" s="235">
        <f>E102+E105</f>
        <v>1141676</v>
      </c>
    </row>
    <row r="107" spans="2:5" ht="15.75">
      <c r="B107" s="407" t="str">
        <f>CONCATENATE(C121,"     ",D121)</f>
        <v>     </v>
      </c>
      <c r="C107" s="290"/>
      <c r="D107" s="211" t="s">
        <v>91</v>
      </c>
      <c r="E107" s="94">
        <f>IF(E106-E56&gt;0,E106-E56,0)</f>
        <v>786960</v>
      </c>
    </row>
    <row r="108" spans="2:5" ht="15.75">
      <c r="B108" s="257"/>
      <c r="C108" s="405" t="s">
        <v>301</v>
      </c>
      <c r="D108" s="455">
        <f>inputOth!$E$24</f>
        <v>0.01</v>
      </c>
      <c r="E108" s="235">
        <f>IF(D108&gt;0,(E107*D108),0)</f>
        <v>7869.6</v>
      </c>
    </row>
    <row r="109" spans="2:5" ht="15.75">
      <c r="B109" s="59"/>
      <c r="C109" s="504" t="str">
        <f>CONCATENATE("Amount of  ",$E$1-1," Ad Valorem Tax")</f>
        <v>Amount of  2011 Ad Valorem Tax</v>
      </c>
      <c r="D109" s="505"/>
      <c r="E109" s="307">
        <f>E107+E108</f>
        <v>794829.6</v>
      </c>
    </row>
    <row r="110" spans="2:5" ht="15.75">
      <c r="B110" s="59"/>
      <c r="C110" s="59"/>
      <c r="D110" s="59"/>
      <c r="E110" s="59"/>
    </row>
    <row r="111" spans="2:5" ht="15.75">
      <c r="B111" s="71"/>
      <c r="C111" s="71" t="str">
        <f>CONCATENATE("Page No. ",C58," ")</f>
        <v>Page No. 8 </v>
      </c>
      <c r="D111" s="312"/>
      <c r="E111" s="312"/>
    </row>
    <row r="120" spans="3:4" ht="15.75" hidden="1">
      <c r="C120" s="55">
        <f>IF(C102&gt;C104,"See Tab A","")</f>
      </c>
      <c r="D120" s="55">
        <f>IF(D102&gt;D104,"See Tab C","")</f>
      </c>
    </row>
    <row r="121" spans="3:4" ht="15.75" hidden="1">
      <c r="C121" s="55">
        <f>IF(C103&lt;0,"See Tab B","")</f>
      </c>
      <c r="D121" s="55">
        <f>IF(D103&lt;0,"See Tab D","")</f>
      </c>
    </row>
  </sheetData>
  <sheetProtection/>
  <mergeCells count="3">
    <mergeCell ref="C105:D105"/>
    <mergeCell ref="C106:D106"/>
    <mergeCell ref="C109:D109"/>
  </mergeCells>
  <conditionalFormatting sqref="E100">
    <cfRule type="cellIs" priority="2" dxfId="142" operator="greaterThan" stopIfTrue="1">
      <formula>$E$102*0.1</formula>
    </cfRule>
  </conditionalFormatting>
  <conditionalFormatting sqref="E105">
    <cfRule type="cellIs" priority="3" dxfId="142" operator="greaterThan" stopIfTrue="1">
      <formula>$E$102/0.95-$E$102</formula>
    </cfRule>
  </conditionalFormatting>
  <conditionalFormatting sqref="C53">
    <cfRule type="cellIs" priority="4" dxfId="2" operator="greaterThan" stopIfTrue="1">
      <formula>$C$55*0.1</formula>
    </cfRule>
  </conditionalFormatting>
  <conditionalFormatting sqref="D53">
    <cfRule type="cellIs" priority="5" dxfId="2" operator="greaterThan" stopIfTrue="1">
      <formula>$D$55*0.1</formula>
    </cfRule>
  </conditionalFormatting>
  <conditionalFormatting sqref="E53">
    <cfRule type="cellIs" priority="6" dxfId="142" operator="greaterThan" stopIfTrue="1">
      <formula>$E$55*0.1+E109</formula>
    </cfRule>
  </conditionalFormatting>
  <conditionalFormatting sqref="C100">
    <cfRule type="cellIs" priority="7" dxfId="2" operator="greaterThan" stopIfTrue="1">
      <formula>$C$102*0.1</formula>
    </cfRule>
  </conditionalFormatting>
  <conditionalFormatting sqref="D100">
    <cfRule type="cellIs" priority="8" dxfId="2" operator="greaterThan" stopIfTrue="1">
      <formula>$D$102*0.1</formula>
    </cfRule>
  </conditionalFormatting>
  <conditionalFormatting sqref="C102">
    <cfRule type="cellIs" priority="9" dxfId="2" operator="greaterThan" stopIfTrue="1">
      <formula>$C$104</formula>
    </cfRule>
  </conditionalFormatting>
  <conditionalFormatting sqref="C103">
    <cfRule type="cellIs" priority="10" dxfId="2" operator="lessThan" stopIfTrue="1">
      <formula>0</formula>
    </cfRule>
  </conditionalFormatting>
  <conditionalFormatting sqref="D102">
    <cfRule type="cellIs" priority="11" dxfId="2" operator="greaterThan" stopIfTrue="1">
      <formula>$D$104</formula>
    </cfRule>
  </conditionalFormatting>
  <conditionalFormatting sqref="D103">
    <cfRule type="cellIs" priority="1" dxfId="0" operator="lessThan" stopIfTrue="1">
      <formula>0</formula>
    </cfRule>
  </conditionalFormatting>
  <printOptions/>
  <pageMargins left="0.75" right="0.75" top="1" bottom="0.5" header="0.5" footer="0.5"/>
  <pageSetup blackAndWhite="1" fitToHeight="1" fitToWidth="1" horizontalDpi="600" verticalDpi="600" orientation="portrait" scale="83" r:id="rId1"/>
  <headerFooter alignWithMargins="0">
    <oddHeader>&amp;RState of Kansas
County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6"/>
  <sheetViews>
    <sheetView zoomScalePageLayoutView="0" workbookViewId="0" topLeftCell="A1">
      <selection activeCell="E30" sqref="E30"/>
    </sheetView>
  </sheetViews>
  <sheetFormatPr defaultColWidth="8.796875" defaultRowHeight="15"/>
  <cols>
    <col min="1" max="1" width="2.3984375" style="55" customWidth="1"/>
    <col min="2" max="2" width="31.09765625" style="55" customWidth="1"/>
    <col min="3" max="4" width="15.796875" style="55" customWidth="1"/>
    <col min="5" max="5" width="16.0976562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162</v>
      </c>
      <c r="C3" s="302"/>
      <c r="D3" s="302"/>
      <c r="E3" s="303"/>
    </row>
    <row r="4" spans="2:5" ht="15.75">
      <c r="B4" s="59"/>
      <c r="C4" s="296"/>
      <c r="D4" s="296"/>
      <c r="E4" s="296"/>
    </row>
    <row r="5" spans="2:5" ht="15.75">
      <c r="B5" s="58" t="s">
        <v>78</v>
      </c>
      <c r="C5" s="393" t="str">
        <f>general!C4</f>
        <v>Prior Year Actual</v>
      </c>
      <c r="D5" s="392" t="str">
        <f>general!D4</f>
        <v>Current Year Estimate</v>
      </c>
      <c r="E5" s="394" t="str">
        <f>general!E4</f>
        <v>Proposed Budget Year</v>
      </c>
    </row>
    <row r="6" spans="2:5" ht="15.75">
      <c r="B6" s="402" t="str">
        <f>inputPrYr!B19</f>
        <v>Noxious Weed</v>
      </c>
      <c r="C6" s="380">
        <f>general!$C$5</f>
        <v>2010</v>
      </c>
      <c r="D6" s="380">
        <f>general!D5</f>
        <v>2011</v>
      </c>
      <c r="E6" s="272">
        <f>general!E5</f>
        <v>2012</v>
      </c>
    </row>
    <row r="7" spans="2:5" ht="15.75">
      <c r="B7" s="122" t="s">
        <v>204</v>
      </c>
      <c r="C7" s="377">
        <v>7116</v>
      </c>
      <c r="D7" s="381">
        <f>C35</f>
        <v>15095</v>
      </c>
      <c r="E7" s="235">
        <f>D35</f>
        <v>11553</v>
      </c>
    </row>
    <row r="8" spans="2:5" ht="15.75">
      <c r="B8" s="260" t="s">
        <v>206</v>
      </c>
      <c r="C8" s="275"/>
      <c r="D8" s="275"/>
      <c r="E8" s="101"/>
    </row>
    <row r="9" spans="2:5" ht="15.75">
      <c r="B9" s="122" t="s">
        <v>79</v>
      </c>
      <c r="C9" s="377">
        <v>68994</v>
      </c>
      <c r="D9" s="381">
        <f>inputPrYr!E19-1500</f>
        <v>63942</v>
      </c>
      <c r="E9" s="305" t="s">
        <v>65</v>
      </c>
    </row>
    <row r="10" spans="2:5" ht="15.75">
      <c r="B10" s="122" t="s">
        <v>80</v>
      </c>
      <c r="C10" s="377">
        <v>966</v>
      </c>
      <c r="D10" s="377">
        <v>500</v>
      </c>
      <c r="E10" s="86">
        <v>500</v>
      </c>
    </row>
    <row r="11" spans="2:5" ht="15.75">
      <c r="B11" s="122" t="s">
        <v>81</v>
      </c>
      <c r="C11" s="377">
        <v>4991</v>
      </c>
      <c r="D11" s="377">
        <v>5043</v>
      </c>
      <c r="E11" s="235">
        <f>mvalloc!D11</f>
        <v>5247</v>
      </c>
    </row>
    <row r="12" spans="2:5" ht="15.75">
      <c r="B12" s="122" t="s">
        <v>82</v>
      </c>
      <c r="C12" s="377">
        <v>101</v>
      </c>
      <c r="D12" s="377">
        <v>98</v>
      </c>
      <c r="E12" s="235">
        <f>mvalloc!E11</f>
        <v>106</v>
      </c>
    </row>
    <row r="13" spans="2:5" ht="15.75">
      <c r="B13" s="275" t="s">
        <v>154</v>
      </c>
      <c r="C13" s="377">
        <v>475</v>
      </c>
      <c r="D13" s="377">
        <v>775</v>
      </c>
      <c r="E13" s="235">
        <f>mvalloc!F11</f>
        <v>684</v>
      </c>
    </row>
    <row r="14" spans="2:5" ht="15.75">
      <c r="B14" s="275" t="s">
        <v>256</v>
      </c>
      <c r="C14" s="377"/>
      <c r="D14" s="377"/>
      <c r="E14" s="235">
        <f>mvalloc!G11</f>
        <v>0</v>
      </c>
    </row>
    <row r="15" spans="2:5" ht="15.75">
      <c r="B15" s="287" t="s">
        <v>382</v>
      </c>
      <c r="C15" s="377">
        <v>44</v>
      </c>
      <c r="D15" s="377"/>
      <c r="E15" s="86"/>
    </row>
    <row r="16" spans="2:5" ht="15.75" hidden="1">
      <c r="B16" s="287"/>
      <c r="C16" s="377"/>
      <c r="D16" s="377"/>
      <c r="E16" s="86"/>
    </row>
    <row r="17" spans="2:5" ht="15.75" hidden="1">
      <c r="B17" s="287"/>
      <c r="C17" s="377"/>
      <c r="D17" s="377"/>
      <c r="E17" s="86"/>
    </row>
    <row r="18" spans="2:5" ht="15.75">
      <c r="B18" s="278" t="s">
        <v>84</v>
      </c>
      <c r="C18" s="377"/>
      <c r="D18" s="377"/>
      <c r="E18" s="86"/>
    </row>
    <row r="19" spans="2:5" ht="15.75">
      <c r="B19" s="279" t="s">
        <v>42</v>
      </c>
      <c r="C19" s="377"/>
      <c r="D19" s="377"/>
      <c r="E19" s="86"/>
    </row>
    <row r="20" spans="2:5" ht="15.75">
      <c r="B20" s="279" t="s">
        <v>297</v>
      </c>
      <c r="C20" s="378">
        <f>IF(C21*0.1&lt;C19,"Exceed 10% Rule","")</f>
      </c>
      <c r="D20" s="378">
        <f>IF(D21*0.1&lt;D19,"Exceed 10% Rule","")</f>
      </c>
      <c r="E20" s="306">
        <f>IF(E21*0.1+E41&lt;E19,"Exceed 10% Rule","")</f>
      </c>
    </row>
    <row r="21" spans="2:5" ht="15.75">
      <c r="B21" s="281" t="s">
        <v>85</v>
      </c>
      <c r="C21" s="379">
        <f>SUM(C9:C19)</f>
        <v>75571</v>
      </c>
      <c r="D21" s="379">
        <f>SUM(D9:D19)</f>
        <v>70358</v>
      </c>
      <c r="E21" s="311">
        <f>SUM(E9:E19)</f>
        <v>6537</v>
      </c>
    </row>
    <row r="22" spans="2:5" ht="15.75">
      <c r="B22" s="281" t="s">
        <v>86</v>
      </c>
      <c r="C22" s="379">
        <f>C7+C21</f>
        <v>82687</v>
      </c>
      <c r="D22" s="379">
        <f>D7+D21</f>
        <v>85453</v>
      </c>
      <c r="E22" s="311">
        <f>E7+E21</f>
        <v>18090</v>
      </c>
    </row>
    <row r="23" spans="2:5" ht="15.75">
      <c r="B23" s="122" t="s">
        <v>89</v>
      </c>
      <c r="C23" s="279"/>
      <c r="D23" s="279"/>
      <c r="E23" s="82"/>
    </row>
    <row r="24" spans="2:5" ht="15.75">
      <c r="B24" s="287" t="s">
        <v>390</v>
      </c>
      <c r="C24" s="377"/>
      <c r="D24" s="377"/>
      <c r="E24" s="86"/>
    </row>
    <row r="25" spans="2:5" ht="15.75">
      <c r="B25" s="287" t="s">
        <v>94</v>
      </c>
      <c r="C25" s="377">
        <v>24813</v>
      </c>
      <c r="D25" s="377">
        <v>33000</v>
      </c>
      <c r="E25" s="86">
        <v>34000</v>
      </c>
    </row>
    <row r="26" spans="2:5" ht="15.75">
      <c r="B26" s="287" t="s">
        <v>95</v>
      </c>
      <c r="C26" s="377">
        <v>7069</v>
      </c>
      <c r="D26" s="377">
        <v>6900</v>
      </c>
      <c r="E26" s="86">
        <v>6950</v>
      </c>
    </row>
    <row r="27" spans="2:5" ht="15.75">
      <c r="B27" s="287" t="s">
        <v>96</v>
      </c>
      <c r="C27" s="377">
        <v>76436</v>
      </c>
      <c r="D27" s="377">
        <v>78500</v>
      </c>
      <c r="E27" s="86">
        <v>79100</v>
      </c>
    </row>
    <row r="28" spans="2:5" ht="15.75">
      <c r="B28" s="287" t="s">
        <v>97</v>
      </c>
      <c r="C28" s="377"/>
      <c r="D28" s="377"/>
      <c r="E28" s="86">
        <v>6500</v>
      </c>
    </row>
    <row r="29" spans="2:5" ht="15.75">
      <c r="B29" s="287" t="s">
        <v>376</v>
      </c>
      <c r="C29" s="377">
        <v>-43726</v>
      </c>
      <c r="D29" s="377">
        <v>-44500</v>
      </c>
      <c r="E29" s="86">
        <v>-44500</v>
      </c>
    </row>
    <row r="30" spans="2:5" ht="15.75">
      <c r="B30" s="287" t="s">
        <v>391</v>
      </c>
      <c r="C30" s="377">
        <v>3000</v>
      </c>
      <c r="D30" s="377"/>
      <c r="E30" s="86"/>
    </row>
    <row r="31" spans="2:5" ht="15.75">
      <c r="B31" s="279" t="s">
        <v>43</v>
      </c>
      <c r="C31" s="377"/>
      <c r="D31" s="377"/>
      <c r="E31" s="94">
        <f>Nhood!E9</f>
        <v>486</v>
      </c>
    </row>
    <row r="32" spans="2:5" ht="15.75">
      <c r="B32" s="279" t="s">
        <v>42</v>
      </c>
      <c r="C32" s="377"/>
      <c r="D32" s="377"/>
      <c r="E32" s="86"/>
    </row>
    <row r="33" spans="2:5" ht="15.75">
      <c r="B33" s="279" t="s">
        <v>296</v>
      </c>
      <c r="C33" s="378">
        <f>IF(C34*0.1&lt;C32,"Exceed 10% Rule","")</f>
      </c>
      <c r="D33" s="378">
        <f>IF(D34*0.1&lt;D32,"Exceed 10% Rule","")</f>
      </c>
      <c r="E33" s="306">
        <f>IF(E34*0.1&lt;E32,"Exceed 10% Rule","")</f>
      </c>
    </row>
    <row r="34" spans="2:5" ht="15.75">
      <c r="B34" s="281" t="s">
        <v>90</v>
      </c>
      <c r="C34" s="379">
        <f>SUM(C24:C32)</f>
        <v>67592</v>
      </c>
      <c r="D34" s="379">
        <f>SUM(D24:D32)</f>
        <v>73900</v>
      </c>
      <c r="E34" s="311">
        <f>SUM(E24:E32)</f>
        <v>82536</v>
      </c>
    </row>
    <row r="35" spans="2:5" ht="15.75">
      <c r="B35" s="122" t="s">
        <v>205</v>
      </c>
      <c r="C35" s="382">
        <f>C22-C34</f>
        <v>15095</v>
      </c>
      <c r="D35" s="382">
        <f>D22-D34</f>
        <v>11553</v>
      </c>
      <c r="E35" s="305" t="s">
        <v>65</v>
      </c>
    </row>
    <row r="36" spans="2:6" ht="15.75">
      <c r="B36" s="257" t="str">
        <f>CONCATENATE("",E$1-2,"/",E$1-1," Budget Authority Amount:")</f>
        <v>2010/2011 Budget Authority Amount:</v>
      </c>
      <c r="C36" s="249">
        <f>inputOth!B34</f>
        <v>78926</v>
      </c>
      <c r="D36" s="249">
        <f>inputPrYr!D19</f>
        <v>82315</v>
      </c>
      <c r="E36" s="305" t="s">
        <v>65</v>
      </c>
      <c r="F36" s="289"/>
    </row>
    <row r="37" spans="2:6" ht="15.75">
      <c r="B37" s="257"/>
      <c r="C37" s="499" t="s">
        <v>299</v>
      </c>
      <c r="D37" s="500"/>
      <c r="E37" s="86"/>
      <c r="F37" s="289">
        <f>IF(E34/0.95-E34&lt;E37,"Exceeds 5%","")</f>
      </c>
    </row>
    <row r="38" spans="2:5" ht="15.75">
      <c r="B38" s="407" t="str">
        <f>CONCATENATE(C93,"     ",D93)</f>
        <v>     </v>
      </c>
      <c r="C38" s="501" t="s">
        <v>300</v>
      </c>
      <c r="D38" s="502"/>
      <c r="E38" s="235">
        <f>E34+E37</f>
        <v>82536</v>
      </c>
    </row>
    <row r="39" spans="2:5" ht="15.75">
      <c r="B39" s="407" t="str">
        <f>CONCATENATE(C94,"     ",D94)</f>
        <v>     </v>
      </c>
      <c r="C39" s="290"/>
      <c r="D39" s="211" t="s">
        <v>91</v>
      </c>
      <c r="E39" s="94">
        <f>IF(E38-E22&gt;0,E38-E22,0)</f>
        <v>64446</v>
      </c>
    </row>
    <row r="40" spans="2:5" ht="15.75">
      <c r="B40" s="211"/>
      <c r="C40" s="405" t="s">
        <v>301</v>
      </c>
      <c r="D40" s="455">
        <v>0.02</v>
      </c>
      <c r="E40" s="235">
        <f>ROUND(IF(D40&gt;0,($E$39*D40),0),0)</f>
        <v>1289</v>
      </c>
    </row>
    <row r="41" spans="2:5" ht="15.75">
      <c r="B41" s="59"/>
      <c r="C41" s="504" t="str">
        <f>CONCATENATE("Amount of  ",$E$1-1," Ad Valorem Tax")</f>
        <v>Amount of  2011 Ad Valorem Tax</v>
      </c>
      <c r="D41" s="505"/>
      <c r="E41" s="307">
        <f>E39+E40</f>
        <v>65735</v>
      </c>
    </row>
    <row r="42" spans="2:5" ht="15.75">
      <c r="B42" s="59"/>
      <c r="C42" s="296"/>
      <c r="D42" s="296"/>
      <c r="E42" s="296"/>
    </row>
    <row r="43" spans="2:5" ht="15.75">
      <c r="B43" s="58" t="s">
        <v>78</v>
      </c>
      <c r="C43" s="393" t="str">
        <f aca="true" t="shared" si="0" ref="C43:E44">C5</f>
        <v>Prior Year Actual</v>
      </c>
      <c r="D43" s="392" t="str">
        <f t="shared" si="0"/>
        <v>Current Year Estimate</v>
      </c>
      <c r="E43" s="394" t="str">
        <f t="shared" si="0"/>
        <v>Proposed Budget Year</v>
      </c>
    </row>
    <row r="44" spans="2:5" ht="15.75">
      <c r="B44" s="401" t="str">
        <f>(inputPrYr!B20)</f>
        <v>Employee Benefits</v>
      </c>
      <c r="C44" s="380">
        <f t="shared" si="0"/>
        <v>2010</v>
      </c>
      <c r="D44" s="380">
        <f t="shared" si="0"/>
        <v>2011</v>
      </c>
      <c r="E44" s="285">
        <f t="shared" si="0"/>
        <v>2012</v>
      </c>
    </row>
    <row r="45" spans="2:5" ht="15.75">
      <c r="B45" s="122" t="s">
        <v>204</v>
      </c>
      <c r="C45" s="377">
        <v>132754</v>
      </c>
      <c r="D45" s="381">
        <f>C76</f>
        <v>133712</v>
      </c>
      <c r="E45" s="235">
        <f>D76</f>
        <v>47148</v>
      </c>
    </row>
    <row r="46" spans="2:5" ht="15.75">
      <c r="B46" s="273" t="s">
        <v>206</v>
      </c>
      <c r="C46" s="275"/>
      <c r="D46" s="275"/>
      <c r="E46" s="101"/>
    </row>
    <row r="47" spans="2:5" ht="15.75">
      <c r="B47" s="122" t="s">
        <v>79</v>
      </c>
      <c r="C47" s="377">
        <v>680783</v>
      </c>
      <c r="D47" s="381">
        <f>inputPrYr!E20-14000</f>
        <v>678769</v>
      </c>
      <c r="E47" s="305" t="s">
        <v>65</v>
      </c>
    </row>
    <row r="48" spans="2:5" ht="15.75">
      <c r="B48" s="122" t="s">
        <v>80</v>
      </c>
      <c r="C48" s="377">
        <v>10067</v>
      </c>
      <c r="D48" s="377">
        <v>4000</v>
      </c>
      <c r="E48" s="86">
        <v>4000</v>
      </c>
    </row>
    <row r="49" spans="2:5" ht="15.75">
      <c r="B49" s="122" t="s">
        <v>81</v>
      </c>
      <c r="C49" s="377">
        <v>48618</v>
      </c>
      <c r="D49" s="377">
        <v>49752</v>
      </c>
      <c r="E49" s="235">
        <f>mvalloc!D12</f>
        <v>55539</v>
      </c>
    </row>
    <row r="50" spans="2:5" ht="15.75">
      <c r="B50" s="122" t="s">
        <v>82</v>
      </c>
      <c r="C50" s="377">
        <v>988</v>
      </c>
      <c r="D50" s="377">
        <v>968</v>
      </c>
      <c r="E50" s="235">
        <f>mvalloc!E12</f>
        <v>1118</v>
      </c>
    </row>
    <row r="51" spans="2:5" ht="15.75">
      <c r="B51" s="275" t="s">
        <v>154</v>
      </c>
      <c r="C51" s="377">
        <v>6239</v>
      </c>
      <c r="D51" s="377">
        <v>7647</v>
      </c>
      <c r="E51" s="235">
        <f>mvalloc!F12</f>
        <v>7238</v>
      </c>
    </row>
    <row r="52" spans="2:5" ht="15.75">
      <c r="B52" s="275" t="s">
        <v>256</v>
      </c>
      <c r="C52" s="377"/>
      <c r="D52" s="377"/>
      <c r="E52" s="235">
        <f>mvalloc!G12</f>
        <v>0</v>
      </c>
    </row>
    <row r="53" spans="2:5" ht="15.75">
      <c r="B53" s="287" t="s">
        <v>382</v>
      </c>
      <c r="C53" s="377">
        <v>430</v>
      </c>
      <c r="D53" s="377"/>
      <c r="E53" s="86"/>
    </row>
    <row r="54" spans="2:5" ht="15.75" hidden="1">
      <c r="B54" s="287"/>
      <c r="C54" s="377"/>
      <c r="D54" s="377"/>
      <c r="E54" s="86"/>
    </row>
    <row r="55" spans="2:5" ht="15.75" hidden="1">
      <c r="B55" s="287"/>
      <c r="C55" s="377"/>
      <c r="D55" s="377"/>
      <c r="E55" s="86"/>
    </row>
    <row r="56" spans="2:5" ht="15.75" hidden="1">
      <c r="B56" s="278" t="s">
        <v>84</v>
      </c>
      <c r="C56" s="377"/>
      <c r="D56" s="377"/>
      <c r="E56" s="86"/>
    </row>
    <row r="57" spans="2:5" ht="15.75">
      <c r="B57" s="279" t="s">
        <v>42</v>
      </c>
      <c r="C57" s="377"/>
      <c r="D57" s="377"/>
      <c r="E57" s="86"/>
    </row>
    <row r="58" spans="2:5" ht="15.75">
      <c r="B58" s="279" t="s">
        <v>297</v>
      </c>
      <c r="C58" s="378">
        <f>IF(C59*0.1&lt;C57,"Exceed 10% Rule","")</f>
      </c>
      <c r="D58" s="378">
        <f>IF(D59*0.1&lt;D57,"Exceed 10% Rule","")</f>
      </c>
      <c r="E58" s="306">
        <f>IF(E59*0.1+E82&lt;E57,"Exceed 10% Rule","")</f>
      </c>
    </row>
    <row r="59" spans="2:5" ht="15.75">
      <c r="B59" s="281" t="s">
        <v>85</v>
      </c>
      <c r="C59" s="379">
        <f>SUM(C47:C57)</f>
        <v>747125</v>
      </c>
      <c r="D59" s="379">
        <f>SUM(D47:D57)</f>
        <v>741136</v>
      </c>
      <c r="E59" s="311">
        <f>SUM(E47:E57)</f>
        <v>67895</v>
      </c>
    </row>
    <row r="60" spans="2:5" ht="15.75">
      <c r="B60" s="281" t="s">
        <v>86</v>
      </c>
      <c r="C60" s="379">
        <f>C45+C59</f>
        <v>879879</v>
      </c>
      <c r="D60" s="379">
        <f>D45+D59</f>
        <v>874848</v>
      </c>
      <c r="E60" s="311">
        <f>E45+E59</f>
        <v>115043</v>
      </c>
    </row>
    <row r="61" spans="2:5" ht="15.75">
      <c r="B61" s="122" t="s">
        <v>89</v>
      </c>
      <c r="C61" s="279"/>
      <c r="D61" s="279"/>
      <c r="E61" s="82"/>
    </row>
    <row r="62" spans="2:5" ht="15.75">
      <c r="B62" s="287" t="s">
        <v>392</v>
      </c>
      <c r="C62" s="377"/>
      <c r="D62" s="377"/>
      <c r="E62" s="86"/>
    </row>
    <row r="63" spans="2:5" ht="15.75">
      <c r="B63" s="287" t="s">
        <v>105</v>
      </c>
      <c r="C63" s="377">
        <v>103806</v>
      </c>
      <c r="D63" s="377">
        <v>108000</v>
      </c>
      <c r="E63" s="86">
        <v>115000</v>
      </c>
    </row>
    <row r="64" spans="2:5" ht="15.75">
      <c r="B64" s="287" t="s">
        <v>393</v>
      </c>
      <c r="C64" s="377">
        <v>90652</v>
      </c>
      <c r="D64" s="377">
        <v>93000</v>
      </c>
      <c r="E64" s="86">
        <v>105000</v>
      </c>
    </row>
    <row r="65" spans="2:5" ht="15.75">
      <c r="B65" s="287" t="s">
        <v>394</v>
      </c>
      <c r="C65" s="377">
        <v>9355</v>
      </c>
      <c r="D65" s="377">
        <v>11000</v>
      </c>
      <c r="E65" s="86">
        <v>11000</v>
      </c>
    </row>
    <row r="66" spans="2:5" ht="15.75">
      <c r="B66" s="287" t="s">
        <v>395</v>
      </c>
      <c r="C66" s="377">
        <v>472103</v>
      </c>
      <c r="D66" s="377">
        <v>575000</v>
      </c>
      <c r="E66" s="86">
        <v>620000</v>
      </c>
    </row>
    <row r="67" spans="2:5" ht="15.75">
      <c r="B67" s="287" t="s">
        <v>396</v>
      </c>
      <c r="C67" s="377">
        <v>27454</v>
      </c>
      <c r="D67" s="377"/>
      <c r="E67" s="86"/>
    </row>
    <row r="68" spans="2:5" ht="15.75">
      <c r="B68" s="287" t="s">
        <v>397</v>
      </c>
      <c r="C68" s="377">
        <v>1132</v>
      </c>
      <c r="D68" s="377">
        <v>1200</v>
      </c>
      <c r="E68" s="86">
        <v>1500</v>
      </c>
    </row>
    <row r="69" spans="2:5" ht="15.75">
      <c r="B69" s="287" t="s">
        <v>398</v>
      </c>
      <c r="C69" s="377">
        <v>33622</v>
      </c>
      <c r="D69" s="377">
        <v>31000</v>
      </c>
      <c r="E69" s="86">
        <v>35000</v>
      </c>
    </row>
    <row r="70" spans="2:5" ht="15.75">
      <c r="B70" s="287" t="s">
        <v>399</v>
      </c>
      <c r="C70" s="377">
        <v>7268</v>
      </c>
      <c r="D70" s="377">
        <v>8500</v>
      </c>
      <c r="E70" s="86">
        <v>9000</v>
      </c>
    </row>
    <row r="71" spans="2:5" ht="15.75">
      <c r="B71" s="287" t="s">
        <v>400</v>
      </c>
      <c r="C71" s="377">
        <v>775</v>
      </c>
      <c r="D71" s="377" t="s">
        <v>429</v>
      </c>
      <c r="E71" s="86"/>
    </row>
    <row r="72" spans="2:5" ht="15.75">
      <c r="B72" s="279" t="s">
        <v>43</v>
      </c>
      <c r="C72" s="377"/>
      <c r="D72" s="377"/>
      <c r="E72" s="94">
        <f>Nhood!E10</f>
        <v>5879</v>
      </c>
    </row>
    <row r="73" spans="2:5" ht="15.75">
      <c r="B73" s="279" t="s">
        <v>42</v>
      </c>
      <c r="C73" s="377"/>
      <c r="D73" s="377"/>
      <c r="E73" s="86"/>
    </row>
    <row r="74" spans="2:5" ht="15.75">
      <c r="B74" s="279" t="s">
        <v>296</v>
      </c>
      <c r="C74" s="378">
        <f>IF(C75*0.1&lt;C73,"Exceed 10% Rule","")</f>
      </c>
      <c r="D74" s="378">
        <f>IF(D75*0.1&lt;D73,"Exceed 10% Rule","")</f>
      </c>
      <c r="E74" s="306">
        <f>IF(E75*0.1&lt;E73,"Exceed 10% Rule","")</f>
      </c>
    </row>
    <row r="75" spans="2:5" ht="15.75">
      <c r="B75" s="281" t="s">
        <v>90</v>
      </c>
      <c r="C75" s="379">
        <f>SUM(C62:C73)</f>
        <v>746167</v>
      </c>
      <c r="D75" s="379">
        <f>SUM(D62:D73)</f>
        <v>827700</v>
      </c>
      <c r="E75" s="311">
        <f>SUM(E62:E73)</f>
        <v>902379</v>
      </c>
    </row>
    <row r="76" spans="2:5" ht="15.75">
      <c r="B76" s="122" t="s">
        <v>205</v>
      </c>
      <c r="C76" s="382">
        <f>C60-C75</f>
        <v>133712</v>
      </c>
      <c r="D76" s="382">
        <f>D60-D75</f>
        <v>47148</v>
      </c>
      <c r="E76" s="305" t="s">
        <v>65</v>
      </c>
    </row>
    <row r="77" spans="2:6" ht="15.75">
      <c r="B77" s="257" t="str">
        <f>CONCATENATE("",E$1-2,"/",E$1-1," Budget Authority Amount:")</f>
        <v>2010/2011 Budget Authority Amount:</v>
      </c>
      <c r="C77" s="249">
        <f>inputOth!B35</f>
        <v>819979</v>
      </c>
      <c r="D77" s="249">
        <f>inputPrYr!D20</f>
        <v>838000</v>
      </c>
      <c r="E77" s="305" t="s">
        <v>65</v>
      </c>
      <c r="F77" s="289"/>
    </row>
    <row r="78" spans="2:6" ht="15.75">
      <c r="B78" s="257"/>
      <c r="C78" s="499" t="s">
        <v>299</v>
      </c>
      <c r="D78" s="500"/>
      <c r="E78" s="86"/>
      <c r="F78" s="289">
        <f>IF(E75/0.95-E75&lt;E78,"Exceeds 5%","")</f>
      </c>
    </row>
    <row r="79" spans="2:5" ht="15.75">
      <c r="B79" s="406" t="str">
        <f>CONCATENATE(C95,"     ",D95)</f>
        <v>     </v>
      </c>
      <c r="C79" s="501" t="s">
        <v>300</v>
      </c>
      <c r="D79" s="502"/>
      <c r="E79" s="235">
        <f>E75+E78</f>
        <v>902379</v>
      </c>
    </row>
    <row r="80" spans="2:5" ht="15.75">
      <c r="B80" s="406" t="str">
        <f>CONCATENATE(C96,"     ",D96)</f>
        <v>     </v>
      </c>
      <c r="C80" s="290"/>
      <c r="D80" s="211" t="s">
        <v>91</v>
      </c>
      <c r="E80" s="94">
        <f>IF(E79-E60&gt;0,E79-E60,0)</f>
        <v>787336</v>
      </c>
    </row>
    <row r="81" spans="2:5" ht="15.75">
      <c r="B81" s="211"/>
      <c r="C81" s="405" t="s">
        <v>301</v>
      </c>
      <c r="D81" s="455">
        <f>inputOth!$E$24</f>
        <v>0.01</v>
      </c>
      <c r="E81" s="235">
        <f>ROUND(IF(D81&gt;0,($E$80*D81),0),0)</f>
        <v>7873</v>
      </c>
    </row>
    <row r="82" spans="2:5" ht="15.75">
      <c r="B82" s="59"/>
      <c r="C82" s="504" t="str">
        <f>CONCATENATE("Amount of  ",$E$1-1," Ad Valorem Tax")</f>
        <v>Amount of  2011 Ad Valorem Tax</v>
      </c>
      <c r="D82" s="505"/>
      <c r="E82" s="307">
        <f>E80+E81</f>
        <v>795209</v>
      </c>
    </row>
    <row r="83" spans="2:5" ht="15.75">
      <c r="B83" s="257" t="s">
        <v>112</v>
      </c>
      <c r="C83" s="308">
        <v>9</v>
      </c>
      <c r="D83" s="59"/>
      <c r="E83" s="59"/>
    </row>
    <row r="93" spans="3:4" ht="15.75" hidden="1">
      <c r="C93" s="55">
        <f>IF(C34&gt;C36,"See Tab A","")</f>
      </c>
      <c r="D93" s="55">
        <f>IF(D34&gt;D36,"See Tab C","")</f>
      </c>
    </row>
    <row r="94" spans="3:4" ht="15.75" hidden="1">
      <c r="C94" s="55">
        <f>IF(C35&lt;0,"See Tab B","")</f>
      </c>
      <c r="D94" s="55">
        <f>IF(D35&lt;0,"See Tab D","")</f>
      </c>
    </row>
    <row r="95" spans="3:4" ht="15.75" hidden="1">
      <c r="C95" s="55">
        <f>IF(C75&gt;C77,"See Tab A","")</f>
      </c>
      <c r="D95" s="55">
        <f>IF(D75&gt;D77,"See Tab C","")</f>
      </c>
    </row>
    <row r="96" spans="3:4" ht="15.75" hidden="1">
      <c r="C96" s="55">
        <f>IF(C76&lt;0,"See Tab B","")</f>
      </c>
      <c r="D96" s="55">
        <f>IF(D76&lt;0,"See Tab D","")</f>
      </c>
    </row>
  </sheetData>
  <sheetProtection/>
  <mergeCells count="6">
    <mergeCell ref="C37:D37"/>
    <mergeCell ref="C38:D38"/>
    <mergeCell ref="C78:D78"/>
    <mergeCell ref="C79:D79"/>
    <mergeCell ref="C82:D82"/>
    <mergeCell ref="C41:D41"/>
  </mergeCells>
  <conditionalFormatting sqref="E73">
    <cfRule type="cellIs" priority="4" dxfId="142" operator="greaterThan" stopIfTrue="1">
      <formula>$E$75*0.1</formula>
    </cfRule>
  </conditionalFormatting>
  <conditionalFormatting sqref="E78">
    <cfRule type="cellIs" priority="5" dxfId="142" operator="greaterThan" stopIfTrue="1">
      <formula>$E$75/0.95-$E$75</formula>
    </cfRule>
  </conditionalFormatting>
  <conditionalFormatting sqref="E37">
    <cfRule type="cellIs" priority="6" dxfId="142" operator="greaterThan" stopIfTrue="1">
      <formula>$E$34/0.95-$E$34</formula>
    </cfRule>
  </conditionalFormatting>
  <conditionalFormatting sqref="E32">
    <cfRule type="cellIs" priority="7" dxfId="142" operator="greaterThan" stopIfTrue="1">
      <formula>$E$34*0.1</formula>
    </cfRule>
  </conditionalFormatting>
  <conditionalFormatting sqref="C34">
    <cfRule type="cellIs" priority="8" dxfId="2" operator="greaterThan" stopIfTrue="1">
      <formula>$C$36</formula>
    </cfRule>
  </conditionalFormatting>
  <conditionalFormatting sqref="C76 C35">
    <cfRule type="cellIs" priority="9" dxfId="2" operator="lessThan" stopIfTrue="1">
      <formula>0</formula>
    </cfRule>
  </conditionalFormatting>
  <conditionalFormatting sqref="D34">
    <cfRule type="cellIs" priority="10" dxfId="2" operator="greaterThan" stopIfTrue="1">
      <formula>$D$36</formula>
    </cfRule>
  </conditionalFormatting>
  <conditionalFormatting sqref="C75">
    <cfRule type="cellIs" priority="11" dxfId="2" operator="greaterThan" stopIfTrue="1">
      <formula>$C$77</formula>
    </cfRule>
  </conditionalFormatting>
  <conditionalFormatting sqref="D75">
    <cfRule type="cellIs" priority="12" dxfId="2" operator="greaterThan" stopIfTrue="1">
      <formula>$D$77</formula>
    </cfRule>
  </conditionalFormatting>
  <conditionalFormatting sqref="C73">
    <cfRule type="cellIs" priority="13" dxfId="2" operator="greaterThan" stopIfTrue="1">
      <formula>$C$75*0.1</formula>
    </cfRule>
  </conditionalFormatting>
  <conditionalFormatting sqref="D73">
    <cfRule type="cellIs" priority="14" dxfId="2" operator="greaterThan" stopIfTrue="1">
      <formula>$D$75*0.1</formula>
    </cfRule>
  </conditionalFormatting>
  <conditionalFormatting sqref="E57">
    <cfRule type="cellIs" priority="15" dxfId="142" operator="greaterThan" stopIfTrue="1">
      <formula>$E$59*0.1+E82</formula>
    </cfRule>
  </conditionalFormatting>
  <conditionalFormatting sqref="C57">
    <cfRule type="cellIs" priority="16" dxfId="2" operator="greaterThan" stopIfTrue="1">
      <formula>$C$59*0.1</formula>
    </cfRule>
  </conditionalFormatting>
  <conditionalFormatting sqref="D57">
    <cfRule type="cellIs" priority="17" dxfId="2" operator="greaterThan" stopIfTrue="1">
      <formula>$D$59*0.1</formula>
    </cfRule>
  </conditionalFormatting>
  <conditionalFormatting sqref="C32">
    <cfRule type="cellIs" priority="18" dxfId="2" operator="greaterThan" stopIfTrue="1">
      <formula>$C$34*0.1</formula>
    </cfRule>
  </conditionalFormatting>
  <conditionalFormatting sqref="D32">
    <cfRule type="cellIs" priority="19" dxfId="2" operator="greaterThan" stopIfTrue="1">
      <formula>$D$34*0.1</formula>
    </cfRule>
  </conditionalFormatting>
  <conditionalFormatting sqref="E19">
    <cfRule type="cellIs" priority="20" dxfId="142" operator="greaterThan" stopIfTrue="1">
      <formula>$E$21*0.1+E41</formula>
    </cfRule>
  </conditionalFormatting>
  <conditionalFormatting sqref="C19">
    <cfRule type="cellIs" priority="21" dxfId="2" operator="greaterThan" stopIfTrue="1">
      <formula>$C$21*0.1</formula>
    </cfRule>
  </conditionalFormatting>
  <conditionalFormatting sqref="D19">
    <cfRule type="cellIs" priority="22" dxfId="2" operator="greaterThan" stopIfTrue="1">
      <formula>$D$21*0.1</formula>
    </cfRule>
  </conditionalFormatting>
  <conditionalFormatting sqref="D35">
    <cfRule type="cellIs" priority="2" dxfId="0" operator="lessThan" stopIfTrue="1">
      <formula>0</formula>
    </cfRule>
    <cfRule type="cellIs" priority="3" dxfId="0" operator="lessThan" stopIfTrue="1">
      <formula>0</formula>
    </cfRule>
  </conditionalFormatting>
  <conditionalFormatting sqref="D76">
    <cfRule type="cellIs" priority="1" dxfId="0" operator="lessThan" stopIfTrue="1">
      <formula>0</formula>
    </cfRule>
  </conditionalFormatting>
  <printOptions/>
  <pageMargins left="1.12" right="0.5" top="0.74" bottom="0.34" header="0.5" footer="0"/>
  <pageSetup blackAndWhite="1" fitToHeight="1" fitToWidth="1" horizontalDpi="600" verticalDpi="600" orientation="portrait" scale="56" r:id="rId1"/>
  <headerFooter alignWithMargins="0">
    <oddHeader>&amp;RState of Kansas
County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A1" sqref="A1"/>
    </sheetView>
  </sheetViews>
  <sheetFormatPr defaultColWidth="8.796875" defaultRowHeight="15"/>
  <cols>
    <col min="1" max="1" width="2.3984375" style="55" customWidth="1"/>
    <col min="2" max="2" width="31.09765625" style="55" customWidth="1"/>
    <col min="3" max="4" width="15.796875" style="55" customWidth="1"/>
    <col min="5" max="5" width="16.0976562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162</v>
      </c>
      <c r="C3" s="302"/>
      <c r="D3" s="302"/>
      <c r="E3" s="303"/>
    </row>
    <row r="4" spans="2:5" ht="15.75">
      <c r="B4" s="59"/>
      <c r="C4" s="296"/>
      <c r="D4" s="296"/>
      <c r="E4" s="296"/>
    </row>
    <row r="5" spans="2:5" ht="15.75">
      <c r="B5" s="58" t="s">
        <v>78</v>
      </c>
      <c r="C5" s="393" t="str">
        <f>general!C4</f>
        <v>Prior Year Actual</v>
      </c>
      <c r="D5" s="392" t="str">
        <f>general!D4</f>
        <v>Current Year Estimate</v>
      </c>
      <c r="E5" s="394" t="str">
        <f>general!E4</f>
        <v>Proposed Budget Year</v>
      </c>
    </row>
    <row r="6" spans="2:5" ht="15.75">
      <c r="B6" s="402" t="str">
        <f>inputPrYr!B21</f>
        <v>County Health</v>
      </c>
      <c r="C6" s="380">
        <f>general!$C$5</f>
        <v>2010</v>
      </c>
      <c r="D6" s="380">
        <f>general!D5</f>
        <v>2011</v>
      </c>
      <c r="E6" s="272">
        <f>general!E5</f>
        <v>2012</v>
      </c>
    </row>
    <row r="7" spans="2:5" ht="15.75">
      <c r="B7" s="122" t="s">
        <v>204</v>
      </c>
      <c r="C7" s="377">
        <v>28210</v>
      </c>
      <c r="D7" s="381">
        <f>C36</f>
        <v>29917</v>
      </c>
      <c r="E7" s="235">
        <f>D36</f>
        <v>12453</v>
      </c>
    </row>
    <row r="8" spans="2:5" ht="15.75">
      <c r="B8" s="260" t="s">
        <v>206</v>
      </c>
      <c r="C8" s="275"/>
      <c r="D8" s="275"/>
      <c r="E8" s="101"/>
    </row>
    <row r="9" spans="2:5" ht="15.75">
      <c r="B9" s="122" t="s">
        <v>79</v>
      </c>
      <c r="C9" s="377">
        <v>128047</v>
      </c>
      <c r="D9" s="381">
        <f>inputPrYr!E21-2000</f>
        <v>127231</v>
      </c>
      <c r="E9" s="305" t="s">
        <v>65</v>
      </c>
    </row>
    <row r="10" spans="2:5" ht="15.75">
      <c r="B10" s="122" t="s">
        <v>80</v>
      </c>
      <c r="C10" s="377">
        <v>1896</v>
      </c>
      <c r="D10" s="377">
        <v>750</v>
      </c>
      <c r="E10" s="86">
        <v>750</v>
      </c>
    </row>
    <row r="11" spans="2:5" ht="15.75">
      <c r="B11" s="122" t="s">
        <v>81</v>
      </c>
      <c r="C11" s="377">
        <v>8343</v>
      </c>
      <c r="D11" s="377">
        <v>9359</v>
      </c>
      <c r="E11" s="235">
        <f>mvalloc!D13</f>
        <v>10360</v>
      </c>
    </row>
    <row r="12" spans="2:5" ht="15.75">
      <c r="B12" s="122" t="s">
        <v>82</v>
      </c>
      <c r="C12" s="377">
        <v>169</v>
      </c>
      <c r="D12" s="377">
        <v>182</v>
      </c>
      <c r="E12" s="235">
        <f>mvalloc!E13</f>
        <v>209</v>
      </c>
    </row>
    <row r="13" spans="2:5" ht="15.75">
      <c r="B13" s="275" t="s">
        <v>154</v>
      </c>
      <c r="C13" s="377">
        <v>1222</v>
      </c>
      <c r="D13" s="377">
        <v>1439</v>
      </c>
      <c r="E13" s="235">
        <f>mvalloc!F13</f>
        <v>1350</v>
      </c>
    </row>
    <row r="14" spans="2:5" ht="15.75">
      <c r="B14" s="275" t="s">
        <v>256</v>
      </c>
      <c r="C14" s="377"/>
      <c r="D14" s="377"/>
      <c r="E14" s="235">
        <f>mvalloc!G13</f>
        <v>0</v>
      </c>
    </row>
    <row r="15" spans="2:5" ht="15.75">
      <c r="B15" s="287" t="s">
        <v>382</v>
      </c>
      <c r="C15" s="377">
        <v>81</v>
      </c>
      <c r="D15" s="377"/>
      <c r="E15" s="86"/>
    </row>
    <row r="16" spans="2:5" ht="15.75">
      <c r="B16" s="287"/>
      <c r="C16" s="377"/>
      <c r="D16" s="377"/>
      <c r="E16" s="86"/>
    </row>
    <row r="17" spans="2:5" ht="15.75">
      <c r="B17" s="287" t="s">
        <v>386</v>
      </c>
      <c r="C17" s="377">
        <v>25196</v>
      </c>
      <c r="D17" s="377">
        <v>20000</v>
      </c>
      <c r="E17" s="86">
        <v>15000</v>
      </c>
    </row>
    <row r="18" spans="2:5" ht="15.75">
      <c r="B18" s="278" t="s">
        <v>84</v>
      </c>
      <c r="C18" s="377"/>
      <c r="D18" s="377"/>
      <c r="E18" s="86"/>
    </row>
    <row r="19" spans="2:5" ht="15.75">
      <c r="B19" s="279" t="s">
        <v>42</v>
      </c>
      <c r="C19" s="377">
        <v>1080</v>
      </c>
      <c r="D19" s="377"/>
      <c r="E19" s="86"/>
    </row>
    <row r="20" spans="2:5" ht="15.75">
      <c r="B20" s="279" t="s">
        <v>297</v>
      </c>
      <c r="C20" s="378">
        <f>IF(C21*0.1&lt;C19,"Exceed 10% Rule","")</f>
      </c>
      <c r="D20" s="378">
        <f>IF(D21*0.1&lt;D19,"Exceed 10% Rule","")</f>
      </c>
      <c r="E20" s="306">
        <f>IF(E21*0.1+E42&lt;E19,"Exceed 10% Rule","")</f>
      </c>
    </row>
    <row r="21" spans="2:5" ht="15.75">
      <c r="B21" s="281" t="s">
        <v>85</v>
      </c>
      <c r="C21" s="379">
        <f>SUM(C9:C19)</f>
        <v>166034</v>
      </c>
      <c r="D21" s="379">
        <f>SUM(D9:D19)</f>
        <v>158961</v>
      </c>
      <c r="E21" s="311">
        <f>SUM(E9:E19)</f>
        <v>27669</v>
      </c>
    </row>
    <row r="22" spans="2:5" ht="15.75">
      <c r="B22" s="281" t="s">
        <v>86</v>
      </c>
      <c r="C22" s="379">
        <f>C7+C21</f>
        <v>194244</v>
      </c>
      <c r="D22" s="379">
        <f>D7+D21</f>
        <v>188878</v>
      </c>
      <c r="E22" s="311">
        <f>E7+E21</f>
        <v>40122</v>
      </c>
    </row>
    <row r="23" spans="2:5" ht="15.75">
      <c r="B23" s="122" t="s">
        <v>89</v>
      </c>
      <c r="C23" s="279"/>
      <c r="D23" s="279"/>
      <c r="E23" s="82"/>
    </row>
    <row r="24" spans="2:5" ht="15.75">
      <c r="B24" s="287" t="s">
        <v>402</v>
      </c>
      <c r="C24" s="377"/>
      <c r="D24" s="377"/>
      <c r="E24" s="86"/>
    </row>
    <row r="25" spans="2:5" ht="15.75">
      <c r="B25" s="287" t="s">
        <v>94</v>
      </c>
      <c r="C25" s="377">
        <v>138887</v>
      </c>
      <c r="D25" s="377">
        <v>140425</v>
      </c>
      <c r="E25" s="86">
        <v>140425</v>
      </c>
    </row>
    <row r="26" spans="2:5" ht="15.75">
      <c r="B26" s="287" t="s">
        <v>95</v>
      </c>
      <c r="C26" s="377">
        <v>24832</v>
      </c>
      <c r="D26" s="377">
        <v>27000</v>
      </c>
      <c r="E26" s="86">
        <v>22000</v>
      </c>
    </row>
    <row r="27" spans="2:5" ht="15.75">
      <c r="B27" s="287" t="s">
        <v>96</v>
      </c>
      <c r="C27" s="377">
        <v>30469</v>
      </c>
      <c r="D27" s="377">
        <v>32000</v>
      </c>
      <c r="E27" s="86">
        <v>29300</v>
      </c>
    </row>
    <row r="28" spans="2:5" ht="15.75">
      <c r="B28" s="287" t="s">
        <v>97</v>
      </c>
      <c r="C28" s="377">
        <v>3254</v>
      </c>
      <c r="D28" s="377">
        <v>7000</v>
      </c>
      <c r="E28" s="86"/>
    </row>
    <row r="29" spans="2:5" ht="15.75">
      <c r="B29" s="287" t="s">
        <v>401</v>
      </c>
      <c r="C29" s="377">
        <v>-43115</v>
      </c>
      <c r="D29" s="377">
        <v>-30000</v>
      </c>
      <c r="E29" s="86">
        <v>-27000</v>
      </c>
    </row>
    <row r="30" spans="2:5" ht="15.75">
      <c r="B30" s="287" t="s">
        <v>372</v>
      </c>
      <c r="C30" s="377"/>
      <c r="D30" s="377"/>
      <c r="E30" s="86"/>
    </row>
    <row r="31" spans="2:5" ht="15.75">
      <c r="B31" s="287" t="s">
        <v>403</v>
      </c>
      <c r="C31" s="377">
        <v>10000</v>
      </c>
      <c r="D31" s="377"/>
      <c r="E31" s="86">
        <v>5000</v>
      </c>
    </row>
    <row r="32" spans="2:5" ht="15.75">
      <c r="B32" s="279" t="s">
        <v>43</v>
      </c>
      <c r="C32" s="377"/>
      <c r="D32" s="377"/>
      <c r="E32" s="94">
        <f>Nhood!E11</f>
        <v>965</v>
      </c>
    </row>
    <row r="33" spans="2:5" ht="15.75">
      <c r="B33" s="279" t="s">
        <v>42</v>
      </c>
      <c r="C33" s="377"/>
      <c r="D33" s="377"/>
      <c r="E33" s="86"/>
    </row>
    <row r="34" spans="2:5" ht="15.75">
      <c r="B34" s="279" t="s">
        <v>296</v>
      </c>
      <c r="C34" s="378">
        <f>IF(C35*0.1&lt;C33,"Exceed 10% Rule","")</f>
      </c>
      <c r="D34" s="378">
        <f>IF(D35*0.1&lt;D33,"Exceed 10% Rule","")</f>
      </c>
      <c r="E34" s="306">
        <f>IF(E35*0.1&lt;E33,"Exceed 10% Rule","")</f>
      </c>
    </row>
    <row r="35" spans="2:5" ht="15.75">
      <c r="B35" s="281" t="s">
        <v>90</v>
      </c>
      <c r="C35" s="379">
        <f>SUM(C24:C33)</f>
        <v>164327</v>
      </c>
      <c r="D35" s="379">
        <f>SUM(D24:D33)</f>
        <v>176425</v>
      </c>
      <c r="E35" s="311">
        <f>SUM(E24:E33)</f>
        <v>170690</v>
      </c>
    </row>
    <row r="36" spans="2:5" ht="15.75">
      <c r="B36" s="122" t="s">
        <v>205</v>
      </c>
      <c r="C36" s="382">
        <f>C22-C35</f>
        <v>29917</v>
      </c>
      <c r="D36" s="382">
        <f>D22-D35</f>
        <v>12453</v>
      </c>
      <c r="E36" s="305" t="s">
        <v>65</v>
      </c>
    </row>
    <row r="37" spans="2:6" ht="15.75">
      <c r="B37" s="257" t="str">
        <f>CONCATENATE("",E$1-2,"/",E$1-1," Budget Authority Amount:")</f>
        <v>2010/2011 Budget Authority Amount:</v>
      </c>
      <c r="C37" s="249">
        <f>inputOth!B36</f>
        <v>208105</v>
      </c>
      <c r="D37" s="249">
        <f>inputPrYr!D21</f>
        <v>177425</v>
      </c>
      <c r="E37" s="305" t="s">
        <v>65</v>
      </c>
      <c r="F37" s="289"/>
    </row>
    <row r="38" spans="2:6" ht="15.75">
      <c r="B38" s="257"/>
      <c r="C38" s="499" t="s">
        <v>299</v>
      </c>
      <c r="D38" s="500"/>
      <c r="E38" s="263"/>
      <c r="F38" s="289">
        <f>IF(E35/0.95-E35&lt;E38,"Exceeds 5%","")</f>
      </c>
    </row>
    <row r="39" spans="2:5" ht="15.75">
      <c r="B39" s="407" t="str">
        <f>CONCATENATE(C90,"     ",D90)</f>
        <v>     </v>
      </c>
      <c r="C39" s="501" t="s">
        <v>300</v>
      </c>
      <c r="D39" s="502"/>
      <c r="E39" s="235">
        <f>E35+E38</f>
        <v>170690</v>
      </c>
    </row>
    <row r="40" spans="2:5" ht="15.75">
      <c r="B40" s="407" t="str">
        <f>CONCATENATE(C91,"     ",D91)</f>
        <v>     </v>
      </c>
      <c r="C40" s="290"/>
      <c r="D40" s="211" t="s">
        <v>91</v>
      </c>
      <c r="E40" s="94">
        <f>IF(E39-E22&gt;0,E39-E22,0)</f>
        <v>130568</v>
      </c>
    </row>
    <row r="41" spans="2:5" ht="15.75">
      <c r="B41" s="211"/>
      <c r="C41" s="405" t="s">
        <v>301</v>
      </c>
      <c r="D41" s="455"/>
      <c r="E41" s="235">
        <f>ROUND(IF(D41&gt;0,($E$40*D41),0),0)</f>
        <v>0</v>
      </c>
    </row>
    <row r="42" spans="2:5" ht="15.75">
      <c r="B42" s="59"/>
      <c r="C42" s="504" t="str">
        <f>CONCATENATE("Amount of  ",$E$1-1," Ad Valorem Tax")</f>
        <v>Amount of  2011 Ad Valorem Tax</v>
      </c>
      <c r="D42" s="505"/>
      <c r="E42" s="307">
        <f>E40+E41</f>
        <v>130568</v>
      </c>
    </row>
    <row r="43" spans="2:5" ht="15.75">
      <c r="B43" s="58" t="s">
        <v>78</v>
      </c>
      <c r="C43" s="296"/>
      <c r="D43" s="296"/>
      <c r="E43" s="296"/>
    </row>
    <row r="44" spans="2:5" ht="15.75">
      <c r="B44" s="59"/>
      <c r="C44" s="393" t="str">
        <f aca="true" t="shared" si="0" ref="C44:E45">C5</f>
        <v>Prior Year Actual</v>
      </c>
      <c r="D44" s="392" t="str">
        <f t="shared" si="0"/>
        <v>Current Year Estimate</v>
      </c>
      <c r="E44" s="394" t="str">
        <f t="shared" si="0"/>
        <v>Proposed Budget Year</v>
      </c>
    </row>
    <row r="45" spans="2:5" ht="15.75">
      <c r="B45" s="401" t="str">
        <f>inputPrYr!B22</f>
        <v>Hospital Maintenance</v>
      </c>
      <c r="C45" s="380">
        <f t="shared" si="0"/>
        <v>2010</v>
      </c>
      <c r="D45" s="380">
        <f t="shared" si="0"/>
        <v>2011</v>
      </c>
      <c r="E45" s="272">
        <f t="shared" si="0"/>
        <v>2012</v>
      </c>
    </row>
    <row r="46" spans="2:5" ht="15.75">
      <c r="B46" s="122" t="s">
        <v>204</v>
      </c>
      <c r="C46" s="377">
        <v>3258</v>
      </c>
      <c r="D46" s="381">
        <f>C73</f>
        <v>0</v>
      </c>
      <c r="E46" s="235">
        <f>D73</f>
        <v>0</v>
      </c>
    </row>
    <row r="47" spans="2:5" ht="15.75">
      <c r="B47" s="273" t="s">
        <v>206</v>
      </c>
      <c r="C47" s="275"/>
      <c r="D47" s="275"/>
      <c r="E47" s="101"/>
    </row>
    <row r="48" spans="2:5" ht="15.75">
      <c r="B48" s="122" t="s">
        <v>79</v>
      </c>
      <c r="C48" s="377">
        <v>212506</v>
      </c>
      <c r="D48" s="381">
        <v>211011</v>
      </c>
      <c r="E48" s="305" t="s">
        <v>65</v>
      </c>
    </row>
    <row r="49" spans="2:5" ht="15.75">
      <c r="B49" s="122" t="s">
        <v>80</v>
      </c>
      <c r="C49" s="377">
        <v>3338</v>
      </c>
      <c r="D49" s="377">
        <v>1000</v>
      </c>
      <c r="E49" s="86">
        <v>1000</v>
      </c>
    </row>
    <row r="50" spans="2:5" ht="15.75">
      <c r="B50" s="122" t="s">
        <v>81</v>
      </c>
      <c r="C50" s="377">
        <v>15175</v>
      </c>
      <c r="D50" s="377">
        <v>15532</v>
      </c>
      <c r="E50" s="235">
        <f>mvalloc!D14</f>
        <v>17255</v>
      </c>
    </row>
    <row r="51" spans="2:5" ht="15.75">
      <c r="B51" s="122" t="s">
        <v>82</v>
      </c>
      <c r="C51" s="377">
        <v>308</v>
      </c>
      <c r="D51" s="377">
        <v>302</v>
      </c>
      <c r="E51" s="235">
        <f>mvalloc!E14</f>
        <v>347</v>
      </c>
    </row>
    <row r="52" spans="2:5" ht="15.75">
      <c r="B52" s="275" t="s">
        <v>154</v>
      </c>
      <c r="C52" s="377">
        <v>2161</v>
      </c>
      <c r="D52" s="377">
        <v>2387</v>
      </c>
      <c r="E52" s="235">
        <f>mvalloc!F14</f>
        <v>2249</v>
      </c>
    </row>
    <row r="53" spans="2:5" ht="15.75">
      <c r="B53" s="275" t="s">
        <v>256</v>
      </c>
      <c r="C53" s="377"/>
      <c r="D53" s="377"/>
      <c r="E53" s="235">
        <f>mvalloc!G14</f>
        <v>0</v>
      </c>
    </row>
    <row r="54" spans="2:5" ht="15.75">
      <c r="B54" s="287" t="s">
        <v>383</v>
      </c>
      <c r="C54" s="377">
        <v>134</v>
      </c>
      <c r="D54" s="377"/>
      <c r="E54" s="86"/>
    </row>
    <row r="55" spans="2:5" ht="15.75">
      <c r="B55" s="287"/>
      <c r="C55" s="377"/>
      <c r="D55" s="377"/>
      <c r="E55" s="86"/>
    </row>
    <row r="56" spans="2:5" ht="15.75">
      <c r="B56" s="287"/>
      <c r="C56" s="377"/>
      <c r="D56" s="377"/>
      <c r="E56" s="86"/>
    </row>
    <row r="57" spans="2:5" ht="15.75">
      <c r="B57" s="278" t="s">
        <v>84</v>
      </c>
      <c r="C57" s="377"/>
      <c r="D57" s="377"/>
      <c r="E57" s="86"/>
    </row>
    <row r="58" spans="2:5" ht="15.75">
      <c r="B58" s="279" t="s">
        <v>42</v>
      </c>
      <c r="C58" s="377"/>
      <c r="D58" s="377"/>
      <c r="E58" s="86"/>
    </row>
    <row r="59" spans="2:5" ht="15.75">
      <c r="B59" s="279" t="s">
        <v>297</v>
      </c>
      <c r="C59" s="378">
        <f>IF(C60*0.1&lt;C58,"Exceed 10% Rule","")</f>
      </c>
      <c r="D59" s="378">
        <f>IF(D60*0.1&lt;D58,"Exceed 10% Rule","")</f>
      </c>
      <c r="E59" s="306">
        <f>IF(E60*0.1+E79&lt;E58,"Exceed 10% Rule","")</f>
      </c>
    </row>
    <row r="60" spans="2:5" ht="15.75">
      <c r="B60" s="281" t="s">
        <v>85</v>
      </c>
      <c r="C60" s="379">
        <f>SUM(C48:C58)</f>
        <v>233622</v>
      </c>
      <c r="D60" s="379">
        <f>SUM(D48:D58)</f>
        <v>230232</v>
      </c>
      <c r="E60" s="311">
        <f>SUM(E49:E58)</f>
        <v>20851</v>
      </c>
    </row>
    <row r="61" spans="2:5" ht="15.75">
      <c r="B61" s="281" t="s">
        <v>86</v>
      </c>
      <c r="C61" s="379">
        <f>C46+C60</f>
        <v>236880</v>
      </c>
      <c r="D61" s="379">
        <f>D46+D60</f>
        <v>230232</v>
      </c>
      <c r="E61" s="311">
        <f>E46+E60</f>
        <v>20851</v>
      </c>
    </row>
    <row r="62" spans="2:5" ht="15.75">
      <c r="B62" s="122" t="s">
        <v>89</v>
      </c>
      <c r="C62" s="279"/>
      <c r="D62" s="279"/>
      <c r="E62" s="82"/>
    </row>
    <row r="63" spans="2:5" ht="15.75">
      <c r="B63" s="287" t="s">
        <v>404</v>
      </c>
      <c r="C63" s="377">
        <v>236880</v>
      </c>
      <c r="D63" s="377">
        <v>230232</v>
      </c>
      <c r="E63" s="86">
        <v>230232</v>
      </c>
    </row>
    <row r="64" spans="2:5" ht="15.75">
      <c r="B64" s="287"/>
      <c r="C64" s="377"/>
      <c r="D64" s="377"/>
      <c r="E64" s="86"/>
    </row>
    <row r="65" spans="2:5" ht="15.75">
      <c r="B65" s="287"/>
      <c r="C65" s="377"/>
      <c r="D65" s="377"/>
      <c r="E65" s="86"/>
    </row>
    <row r="66" spans="2:5" ht="15.75">
      <c r="B66" s="287"/>
      <c r="C66" s="377"/>
      <c r="D66" s="377"/>
      <c r="E66" s="86"/>
    </row>
    <row r="67" spans="2:5" ht="15.75">
      <c r="B67" s="287"/>
      <c r="C67" s="377"/>
      <c r="D67" s="377"/>
      <c r="E67" s="86"/>
    </row>
    <row r="68" spans="2:5" ht="15.75">
      <c r="B68" s="287"/>
      <c r="C68" s="377"/>
      <c r="D68" s="377"/>
      <c r="E68" s="86"/>
    </row>
    <row r="69" spans="2:5" ht="15.75">
      <c r="B69" s="279" t="s">
        <v>43</v>
      </c>
      <c r="C69" s="377"/>
      <c r="D69" s="377"/>
      <c r="E69" s="94">
        <f>Nhood!E12</f>
        <v>1575</v>
      </c>
    </row>
    <row r="70" spans="2:5" ht="15.75">
      <c r="B70" s="279" t="s">
        <v>42</v>
      </c>
      <c r="C70" s="377"/>
      <c r="D70" s="377"/>
      <c r="E70" s="86"/>
    </row>
    <row r="71" spans="2:5" ht="15.75">
      <c r="B71" s="279" t="s">
        <v>296</v>
      </c>
      <c r="C71" s="378">
        <f>IF(C72*0.1&lt;C70,"Exceed 10% Rule","")</f>
      </c>
      <c r="D71" s="378">
        <f>IF(D72*0.1&lt;D70,"Exceed 10% Rule","")</f>
      </c>
      <c r="E71" s="306">
        <f>IF(E72*0.1&lt;E70,"Exceed 10% Rule","")</f>
      </c>
    </row>
    <row r="72" spans="2:5" ht="15.75">
      <c r="B72" s="281" t="s">
        <v>90</v>
      </c>
      <c r="C72" s="379">
        <f>SUM(C63:C70)</f>
        <v>236880</v>
      </c>
      <c r="D72" s="379">
        <f>SUM(D63:D70)</f>
        <v>230232</v>
      </c>
      <c r="E72" s="311">
        <f>SUM(E63:E70)</f>
        <v>231807</v>
      </c>
    </row>
    <row r="73" spans="2:5" ht="15.75">
      <c r="B73" s="122" t="s">
        <v>205</v>
      </c>
      <c r="C73" s="382">
        <f>C61-C72</f>
        <v>0</v>
      </c>
      <c r="D73" s="382">
        <f>D61-D72</f>
        <v>0</v>
      </c>
      <c r="E73" s="305" t="s">
        <v>65</v>
      </c>
    </row>
    <row r="74" spans="2:6" ht="15.75">
      <c r="B74" s="257" t="str">
        <f>CONCATENATE("",E$1-2,"/",E$1-1," Budget Authority Amount:")</f>
        <v>2010/2011 Budget Authority Amount:</v>
      </c>
      <c r="C74" s="249">
        <f>inputOth!B37</f>
        <v>242338</v>
      </c>
      <c r="D74" s="249">
        <f>inputPrYr!D22</f>
        <v>230232</v>
      </c>
      <c r="E74" s="305" t="s">
        <v>65</v>
      </c>
      <c r="F74" s="289"/>
    </row>
    <row r="75" spans="2:6" ht="15.75">
      <c r="B75" s="257"/>
      <c r="C75" s="499" t="s">
        <v>299</v>
      </c>
      <c r="D75" s="500"/>
      <c r="E75" s="86"/>
      <c r="F75" s="289">
        <f>IF(E72/0.95-E72&lt;E75,"Exceeds 5%","")</f>
      </c>
    </row>
    <row r="76" spans="2:5" ht="15.75">
      <c r="B76" s="406" t="str">
        <f>CONCATENATE(C92,"     ",D92)</f>
        <v>     </v>
      </c>
      <c r="C76" s="501" t="s">
        <v>300</v>
      </c>
      <c r="D76" s="502"/>
      <c r="E76" s="235">
        <f>E72+E75</f>
        <v>231807</v>
      </c>
    </row>
    <row r="77" spans="2:5" ht="15.75">
      <c r="B77" s="406" t="str">
        <f>CONCATENATE(C93,"     ",D93)</f>
        <v>     </v>
      </c>
      <c r="C77" s="290"/>
      <c r="D77" s="211" t="s">
        <v>91</v>
      </c>
      <c r="E77" s="94">
        <f>IF(E76-E61&gt;0,E76-E61,0)</f>
        <v>210956</v>
      </c>
    </row>
    <row r="78" spans="2:5" ht="15.75">
      <c r="B78" s="211"/>
      <c r="C78" s="405" t="s">
        <v>301</v>
      </c>
      <c r="D78" s="455">
        <f>inputOth!$E$24</f>
        <v>0.01</v>
      </c>
      <c r="E78" s="235">
        <f>ROUND(IF(D78&gt;0,($E$77*D78),0),0)</f>
        <v>2110</v>
      </c>
    </row>
    <row r="79" spans="2:5" ht="15.75">
      <c r="B79" s="59"/>
      <c r="C79" s="504" t="str">
        <f>CONCATENATE("Amount of  ",$E$1-1," Ad Valorem Tax")</f>
        <v>Amount of  2011 Ad Valorem Tax</v>
      </c>
      <c r="D79" s="505"/>
      <c r="E79" s="307">
        <f>E77+E78</f>
        <v>213066</v>
      </c>
    </row>
    <row r="80" spans="2:5" ht="15.75">
      <c r="B80" s="257" t="s">
        <v>112</v>
      </c>
      <c r="C80" s="308">
        <v>10</v>
      </c>
      <c r="D80" s="59"/>
      <c r="E80" s="59"/>
    </row>
    <row r="90" spans="3:4" ht="15.75" hidden="1">
      <c r="C90" s="55">
        <f>IF(C35&gt;C37,"See Tab A","")</f>
      </c>
      <c r="D90" s="55">
        <f>IF(D35&gt;D37,"See Tab C","")</f>
      </c>
    </row>
    <row r="91" spans="3:4" ht="15.75" hidden="1">
      <c r="C91" s="55">
        <f>IF(C36&lt;0,"See Tab B","")</f>
      </c>
      <c r="D91" s="55">
        <f>IF(D36&lt;0,"See Tab D","")</f>
      </c>
    </row>
    <row r="92" spans="3:4" ht="15.75" hidden="1">
      <c r="C92" s="55">
        <f>IF(C72&gt;C74,"See Tab A","")</f>
      </c>
      <c r="D92" s="55">
        <f>IF(D72&gt;D74,"See Tab C","")</f>
      </c>
    </row>
    <row r="93" spans="3:4" ht="15.75" hidden="1">
      <c r="C93" s="55">
        <f>IF(C73&lt;0,"See Tab B","")</f>
      </c>
      <c r="D93" s="55">
        <f>IF(D73&lt;0,"See Tab D","")</f>
      </c>
    </row>
  </sheetData>
  <sheetProtection/>
  <mergeCells count="6">
    <mergeCell ref="C38:D38"/>
    <mergeCell ref="C39:D39"/>
    <mergeCell ref="C75:D75"/>
    <mergeCell ref="C76:D76"/>
    <mergeCell ref="C79:D79"/>
    <mergeCell ref="C42:D42"/>
  </mergeCells>
  <conditionalFormatting sqref="E70">
    <cfRule type="cellIs" priority="3" dxfId="142" operator="greaterThan" stopIfTrue="1">
      <formula>$E$72*0.1</formula>
    </cfRule>
  </conditionalFormatting>
  <conditionalFormatting sqref="E75">
    <cfRule type="cellIs" priority="4" dxfId="142" operator="greaterThan" stopIfTrue="1">
      <formula>$E$72/0.95-$E$72</formula>
    </cfRule>
  </conditionalFormatting>
  <conditionalFormatting sqref="E38">
    <cfRule type="cellIs" priority="5" dxfId="142" operator="greaterThan" stopIfTrue="1">
      <formula>$E$35/0.95-$E$35</formula>
    </cfRule>
  </conditionalFormatting>
  <conditionalFormatting sqref="E33">
    <cfRule type="cellIs" priority="6" dxfId="142" operator="greaterThan" stopIfTrue="1">
      <formula>$E$35*0.1</formula>
    </cfRule>
  </conditionalFormatting>
  <conditionalFormatting sqref="C35">
    <cfRule type="cellIs" priority="7" dxfId="2" operator="greaterThan" stopIfTrue="1">
      <formula>$C$37</formula>
    </cfRule>
  </conditionalFormatting>
  <conditionalFormatting sqref="C73 C36">
    <cfRule type="cellIs" priority="8" dxfId="2" operator="lessThan" stopIfTrue="1">
      <formula>0</formula>
    </cfRule>
  </conditionalFormatting>
  <conditionalFormatting sqref="D35">
    <cfRule type="cellIs" priority="9" dxfId="2" operator="greaterThan" stopIfTrue="1">
      <formula>$D$37</formula>
    </cfRule>
  </conditionalFormatting>
  <conditionalFormatting sqref="C72">
    <cfRule type="cellIs" priority="10" dxfId="2" operator="greaterThan" stopIfTrue="1">
      <formula>$C$74</formula>
    </cfRule>
  </conditionalFormatting>
  <conditionalFormatting sqref="D72">
    <cfRule type="cellIs" priority="11" dxfId="2" operator="greaterThan" stopIfTrue="1">
      <formula>$D$74</formula>
    </cfRule>
  </conditionalFormatting>
  <conditionalFormatting sqref="C70">
    <cfRule type="cellIs" priority="12" dxfId="2" operator="greaterThan" stopIfTrue="1">
      <formula>$C$72*0.1</formula>
    </cfRule>
  </conditionalFormatting>
  <conditionalFormatting sqref="D70">
    <cfRule type="cellIs" priority="13" dxfId="2" operator="greaterThan" stopIfTrue="1">
      <formula>$D$72*0.1</formula>
    </cfRule>
  </conditionalFormatting>
  <conditionalFormatting sqref="E58">
    <cfRule type="cellIs" priority="14" dxfId="142" operator="greaterThan" stopIfTrue="1">
      <formula>$E$60*0.1+E79</formula>
    </cfRule>
  </conditionalFormatting>
  <conditionalFormatting sqref="C58">
    <cfRule type="cellIs" priority="15" dxfId="2" operator="greaterThan" stopIfTrue="1">
      <formula>$C$60*0.1</formula>
    </cfRule>
  </conditionalFormatting>
  <conditionalFormatting sqref="D58">
    <cfRule type="cellIs" priority="16" dxfId="2" operator="greaterThan" stopIfTrue="1">
      <formula>$D$60*0.1</formula>
    </cfRule>
  </conditionalFormatting>
  <conditionalFormatting sqref="C33">
    <cfRule type="cellIs" priority="17" dxfId="2" operator="greaterThan" stopIfTrue="1">
      <formula>$C$35*0.1</formula>
    </cfRule>
  </conditionalFormatting>
  <conditionalFormatting sqref="D33">
    <cfRule type="cellIs" priority="18" dxfId="2" operator="greaterThan" stopIfTrue="1">
      <formula>$D$35*0.1</formula>
    </cfRule>
  </conditionalFormatting>
  <conditionalFormatting sqref="E19">
    <cfRule type="cellIs" priority="19" dxfId="142" operator="greaterThan" stopIfTrue="1">
      <formula>$E$21*0.1+E42</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6 D73">
    <cfRule type="cellIs" priority="2" dxfId="0" operator="lessThan" stopIfTrue="1">
      <formula>0</formula>
    </cfRule>
  </conditionalFormatting>
  <printOptions/>
  <pageMargins left="1.12" right="0.5" top="0.74" bottom="0.34" header="0.5" footer="0"/>
  <pageSetup blackAndWhite="1" fitToHeight="1" fitToWidth="1" horizontalDpi="600" verticalDpi="600" orientation="portrait" scale="54" r:id="rId1"/>
  <headerFooter alignWithMargins="0">
    <oddHeader>&amp;RState of Kansas
County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A1" sqref="A1"/>
    </sheetView>
  </sheetViews>
  <sheetFormatPr defaultColWidth="8.796875" defaultRowHeight="15"/>
  <cols>
    <col min="1" max="1" width="2.3984375" style="55" customWidth="1"/>
    <col min="2" max="2" width="31.09765625" style="55" customWidth="1"/>
    <col min="3" max="4" width="15.796875" style="55" customWidth="1"/>
    <col min="5" max="5" width="16.0976562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163</v>
      </c>
      <c r="C3" s="302"/>
      <c r="D3" s="302"/>
      <c r="E3" s="303"/>
    </row>
    <row r="4" spans="2:5" ht="15.75">
      <c r="B4" s="59"/>
      <c r="C4" s="296"/>
      <c r="D4" s="296"/>
      <c r="E4" s="296"/>
    </row>
    <row r="5" spans="2:5" ht="15.75">
      <c r="B5" s="58" t="s">
        <v>78</v>
      </c>
      <c r="C5" s="434" t="str">
        <f>general!C4</f>
        <v>Prior Year Actual</v>
      </c>
      <c r="D5" s="394" t="str">
        <f>general!D4</f>
        <v>Current Year Estimate</v>
      </c>
      <c r="E5" s="394" t="str">
        <f>general!E4</f>
        <v>Proposed Budget Year</v>
      </c>
    </row>
    <row r="6" spans="2:5" ht="15.75">
      <c r="B6" s="402" t="str">
        <f>inputPrYr!B43</f>
        <v>Special Drug and Alcohol</v>
      </c>
      <c r="C6" s="285">
        <f>general!C5</f>
        <v>2010</v>
      </c>
      <c r="D6" s="285">
        <f>general!D5</f>
        <v>2011</v>
      </c>
      <c r="E6" s="272">
        <f>general!E5</f>
        <v>2012</v>
      </c>
    </row>
    <row r="7" spans="2:5" ht="15.75">
      <c r="B7" s="122" t="s">
        <v>204</v>
      </c>
      <c r="C7" s="86">
        <v>6974</v>
      </c>
      <c r="D7" s="235">
        <f>C30</f>
        <v>6854</v>
      </c>
      <c r="E7" s="235">
        <f>D30</f>
        <v>6500</v>
      </c>
    </row>
    <row r="8" spans="2:5" ht="15.75">
      <c r="B8" s="304" t="s">
        <v>206</v>
      </c>
      <c r="C8" s="82"/>
      <c r="D8" s="82"/>
      <c r="E8" s="82"/>
    </row>
    <row r="9" spans="2:5" ht="15.75">
      <c r="B9" s="287" t="s">
        <v>405</v>
      </c>
      <c r="C9" s="86">
        <v>4680</v>
      </c>
      <c r="D9" s="86">
        <v>4500</v>
      </c>
      <c r="E9" s="86">
        <v>4500</v>
      </c>
    </row>
    <row r="10" spans="2:5" ht="15.75">
      <c r="B10" s="287"/>
      <c r="C10" s="86"/>
      <c r="D10" s="86"/>
      <c r="E10" s="86"/>
    </row>
    <row r="11" spans="2:5" ht="15.75">
      <c r="B11" s="287"/>
      <c r="C11" s="86"/>
      <c r="D11" s="86"/>
      <c r="E11" s="86"/>
    </row>
    <row r="12" spans="2:5" ht="15.75">
      <c r="B12" s="278" t="s">
        <v>84</v>
      </c>
      <c r="C12" s="86"/>
      <c r="D12" s="86"/>
      <c r="E12" s="86"/>
    </row>
    <row r="13" spans="2:5" ht="15.75">
      <c r="B13" s="279" t="s">
        <v>42</v>
      </c>
      <c r="C13" s="86"/>
      <c r="D13" s="274"/>
      <c r="E13" s="274"/>
    </row>
    <row r="14" spans="2:5" ht="15.75">
      <c r="B14" s="279" t="s">
        <v>297</v>
      </c>
      <c r="C14" s="399">
        <f>IF(C15*0.1&lt;C13,"Exceed 10% Rule","")</f>
      </c>
      <c r="D14" s="280">
        <f>IF(D15*0.1&lt;D13,"Exceed 10% Rule","")</f>
      </c>
      <c r="E14" s="280">
        <f>IF(E15*0.1&lt;E13,"Exceed 10% Rule","")</f>
      </c>
    </row>
    <row r="15" spans="2:5" ht="15.75">
      <c r="B15" s="281" t="s">
        <v>85</v>
      </c>
      <c r="C15" s="311">
        <f>SUM(C9:C13)</f>
        <v>4680</v>
      </c>
      <c r="D15" s="311">
        <f>SUM(D9:D13)</f>
        <v>4500</v>
      </c>
      <c r="E15" s="311">
        <f>SUM(E9:E13)</f>
        <v>4500</v>
      </c>
    </row>
    <row r="16" spans="2:5" ht="15.75">
      <c r="B16" s="281" t="s">
        <v>86</v>
      </c>
      <c r="C16" s="311">
        <f>C15+C7</f>
        <v>11654</v>
      </c>
      <c r="D16" s="311">
        <f>D15+D7</f>
        <v>11354</v>
      </c>
      <c r="E16" s="311">
        <f>E15+E7</f>
        <v>11000</v>
      </c>
    </row>
    <row r="17" spans="2:5" ht="15.75">
      <c r="B17" s="122" t="s">
        <v>89</v>
      </c>
      <c r="C17" s="235"/>
      <c r="D17" s="235"/>
      <c r="E17" s="235"/>
    </row>
    <row r="18" spans="2:5" ht="15.75">
      <c r="B18" s="287" t="s">
        <v>402</v>
      </c>
      <c r="C18" s="86"/>
      <c r="D18" s="86"/>
      <c r="E18" s="86"/>
    </row>
    <row r="19" spans="2:5" ht="15.75">
      <c r="B19" s="287" t="s">
        <v>95</v>
      </c>
      <c r="C19" s="86">
        <v>4800</v>
      </c>
      <c r="D19" s="86">
        <v>4854</v>
      </c>
      <c r="E19" s="86">
        <v>11000</v>
      </c>
    </row>
    <row r="20" spans="2:5" ht="15.75">
      <c r="B20" s="287"/>
      <c r="C20" s="86"/>
      <c r="D20" s="86"/>
      <c r="E20" s="86"/>
    </row>
    <row r="21" spans="2:5" ht="15.75">
      <c r="B21" s="287"/>
      <c r="C21" s="86"/>
      <c r="D21" s="86"/>
      <c r="E21" s="86"/>
    </row>
    <row r="22" spans="2:5" ht="15.75">
      <c r="B22" s="287"/>
      <c r="C22" s="86"/>
      <c r="D22" s="86"/>
      <c r="E22" s="86"/>
    </row>
    <row r="23" spans="2:5" ht="15.75">
      <c r="B23" s="287"/>
      <c r="C23" s="86"/>
      <c r="D23" s="86"/>
      <c r="E23" s="86"/>
    </row>
    <row r="24" spans="2:5" ht="15.75">
      <c r="B24" s="287"/>
      <c r="C24" s="86"/>
      <c r="D24" s="86"/>
      <c r="E24" s="86"/>
    </row>
    <row r="25" spans="2:5" ht="15.75">
      <c r="B25" s="287"/>
      <c r="C25" s="86"/>
      <c r="D25" s="86"/>
      <c r="E25" s="86"/>
    </row>
    <row r="26" spans="2:5" ht="15.75">
      <c r="B26" s="287"/>
      <c r="C26" s="86"/>
      <c r="D26" s="86"/>
      <c r="E26" s="86"/>
    </row>
    <row r="27" spans="2:5" ht="15.75">
      <c r="B27" s="279" t="s">
        <v>42</v>
      </c>
      <c r="C27" s="86"/>
      <c r="D27" s="274"/>
      <c r="E27" s="274"/>
    </row>
    <row r="28" spans="2:5" ht="15.75">
      <c r="B28" s="279" t="s">
        <v>296</v>
      </c>
      <c r="C28" s="399">
        <f>IF(C29*0.1&lt;C27,"Exceed 10% Rule","")</f>
      </c>
      <c r="D28" s="280">
        <f>IF(D29*0.1&lt;D27,"Exceed 10% Rule","")</f>
      </c>
      <c r="E28" s="280">
        <f>IF(E29*0.1&lt;E27,"Exceed 10% Rule","")</f>
      </c>
    </row>
    <row r="29" spans="2:5" ht="15.75">
      <c r="B29" s="281" t="s">
        <v>90</v>
      </c>
      <c r="C29" s="311">
        <f>SUM(C18:C27)</f>
        <v>4800</v>
      </c>
      <c r="D29" s="311">
        <f>SUM(D18:D27)</f>
        <v>4854</v>
      </c>
      <c r="E29" s="311">
        <f>SUM(E18:E27)</f>
        <v>11000</v>
      </c>
    </row>
    <row r="30" spans="2:5" ht="15.75">
      <c r="B30" s="122" t="s">
        <v>205</v>
      </c>
      <c r="C30" s="94">
        <f>C16-C29</f>
        <v>6854</v>
      </c>
      <c r="D30" s="94">
        <f>D16-D29</f>
        <v>6500</v>
      </c>
      <c r="E30" s="94">
        <f>E16-E29</f>
        <v>0</v>
      </c>
    </row>
    <row r="31" spans="2:5" ht="15.75">
      <c r="B31" s="257" t="str">
        <f>CONCATENATE("",E$1-2,"/",E$1-1," Budget Authority Amount:")</f>
        <v>2010/2011 Budget Authority Amount:</v>
      </c>
      <c r="C31" s="249">
        <f>inputOth!B56</f>
        <v>11000</v>
      </c>
      <c r="D31" s="249">
        <f>inputPrYr!D43</f>
        <v>12000</v>
      </c>
      <c r="E31" s="398">
        <f>IF(E30&lt;0,"See Tab E","")</f>
      </c>
    </row>
    <row r="32" spans="2:5" ht="15.75">
      <c r="B32" s="257"/>
      <c r="C32" s="290">
        <f>IF(C29&gt;C31,"See Tab A","")</f>
      </c>
      <c r="D32" s="290">
        <f>IF(D29&gt;D31,"See Tab C","")</f>
      </c>
      <c r="E32" s="119"/>
    </row>
    <row r="33" spans="2:5" ht="15.75">
      <c r="B33" s="257"/>
      <c r="C33" s="290">
        <f>IF(C30&lt;0,"See Tab B","")</f>
      </c>
      <c r="D33" s="290">
        <f>IF(D30&lt;0,"See Tab D","")</f>
      </c>
      <c r="E33" s="119"/>
    </row>
    <row r="34" spans="2:5" ht="15.75">
      <c r="B34" s="59"/>
      <c r="C34" s="119"/>
      <c r="D34" s="119"/>
      <c r="E34" s="119"/>
    </row>
    <row r="35" spans="2:5" ht="15.75">
      <c r="B35" s="58" t="s">
        <v>78</v>
      </c>
      <c r="C35" s="296"/>
      <c r="D35" s="296"/>
      <c r="E35" s="296"/>
    </row>
    <row r="36" spans="2:5" ht="15.75">
      <c r="B36" s="59"/>
      <c r="C36" s="434" t="str">
        <f aca="true" t="shared" si="0" ref="C36:E37">C5</f>
        <v>Prior Year Actual</v>
      </c>
      <c r="D36" s="394" t="str">
        <f t="shared" si="0"/>
        <v>Current Year Estimate</v>
      </c>
      <c r="E36" s="394" t="str">
        <f t="shared" si="0"/>
        <v>Proposed Budget Year</v>
      </c>
    </row>
    <row r="37" spans="2:5" ht="15.75">
      <c r="B37" s="401" t="str">
        <f>inputPrYr!B44</f>
        <v>Special Parks and Recreation</v>
      </c>
      <c r="C37" s="285">
        <f t="shared" si="0"/>
        <v>2010</v>
      </c>
      <c r="D37" s="285">
        <f t="shared" si="0"/>
        <v>2011</v>
      </c>
      <c r="E37" s="272">
        <f t="shared" si="0"/>
        <v>2012</v>
      </c>
    </row>
    <row r="38" spans="2:5" ht="15.75">
      <c r="B38" s="122" t="s">
        <v>204</v>
      </c>
      <c r="C38" s="86">
        <v>5112</v>
      </c>
      <c r="D38" s="235">
        <f>C61</f>
        <v>6146</v>
      </c>
      <c r="E38" s="235">
        <f>D61</f>
        <v>6200</v>
      </c>
    </row>
    <row r="39" spans="2:5" ht="15.75">
      <c r="B39" s="122" t="s">
        <v>206</v>
      </c>
      <c r="C39" s="82"/>
      <c r="D39" s="82"/>
      <c r="E39" s="82"/>
    </row>
    <row r="40" spans="2:5" ht="15.75">
      <c r="B40" s="287" t="s">
        <v>405</v>
      </c>
      <c r="C40" s="86">
        <v>1034</v>
      </c>
      <c r="D40" s="86">
        <v>800</v>
      </c>
      <c r="E40" s="86">
        <v>800</v>
      </c>
    </row>
    <row r="41" spans="2:5" ht="15.75">
      <c r="B41" s="287"/>
      <c r="C41" s="86"/>
      <c r="D41" s="86"/>
      <c r="E41" s="86"/>
    </row>
    <row r="42" spans="2:5" ht="15.75">
      <c r="B42" s="287"/>
      <c r="C42" s="86"/>
      <c r="D42" s="86"/>
      <c r="E42" s="86"/>
    </row>
    <row r="43" spans="2:5" ht="15.75">
      <c r="B43" s="278" t="s">
        <v>84</v>
      </c>
      <c r="C43" s="86"/>
      <c r="D43" s="86"/>
      <c r="E43" s="86"/>
    </row>
    <row r="44" spans="2:5" ht="15.75">
      <c r="B44" s="279" t="s">
        <v>42</v>
      </c>
      <c r="C44" s="86"/>
      <c r="D44" s="274"/>
      <c r="E44" s="274"/>
    </row>
    <row r="45" spans="2:5" ht="15.75">
      <c r="B45" s="279" t="s">
        <v>297</v>
      </c>
      <c r="C45" s="399">
        <f>IF(C46*0.1&lt;C44,"Exceed 10% Rule","")</f>
      </c>
      <c r="D45" s="280">
        <f>IF(D46*0.1&lt;D44,"Exceed 10% Rule","")</f>
      </c>
      <c r="E45" s="280">
        <f>IF(E46*0.1&lt;E44,"Exceed 10% Rule","")</f>
      </c>
    </row>
    <row r="46" spans="2:5" ht="15.75">
      <c r="B46" s="281" t="s">
        <v>85</v>
      </c>
      <c r="C46" s="311">
        <f>SUM(C40:C44)</f>
        <v>1034</v>
      </c>
      <c r="D46" s="311">
        <f>SUM(D40:D44)</f>
        <v>800</v>
      </c>
      <c r="E46" s="311">
        <f>SUM(E40:E44)</f>
        <v>800</v>
      </c>
    </row>
    <row r="47" spans="2:5" ht="15.75">
      <c r="B47" s="281" t="s">
        <v>86</v>
      </c>
      <c r="C47" s="311">
        <f>C38+C46</f>
        <v>6146</v>
      </c>
      <c r="D47" s="311">
        <f>D38+D46</f>
        <v>6946</v>
      </c>
      <c r="E47" s="311">
        <f>E38+E46</f>
        <v>7000</v>
      </c>
    </row>
    <row r="48" spans="2:5" ht="15.75">
      <c r="B48" s="122" t="s">
        <v>89</v>
      </c>
      <c r="C48" s="235"/>
      <c r="D48" s="235"/>
      <c r="E48" s="235"/>
    </row>
    <row r="49" spans="2:5" ht="15.75">
      <c r="B49" s="287" t="s">
        <v>406</v>
      </c>
      <c r="C49" s="86"/>
      <c r="D49" s="86"/>
      <c r="E49" s="86"/>
    </row>
    <row r="50" spans="2:5" ht="15.75">
      <c r="B50" s="287" t="s">
        <v>95</v>
      </c>
      <c r="C50" s="86"/>
      <c r="D50" s="86">
        <v>746</v>
      </c>
      <c r="E50" s="86">
        <v>7000</v>
      </c>
    </row>
    <row r="51" spans="2:5" ht="15.75">
      <c r="B51" s="287"/>
      <c r="C51" s="86"/>
      <c r="D51" s="86"/>
      <c r="E51" s="86"/>
    </row>
    <row r="52" spans="2:5" ht="15.75">
      <c r="B52" s="287"/>
      <c r="C52" s="86"/>
      <c r="D52" s="86"/>
      <c r="E52" s="86"/>
    </row>
    <row r="53" spans="2:5" ht="15.75">
      <c r="B53" s="287"/>
      <c r="C53" s="86"/>
      <c r="D53" s="86"/>
      <c r="E53" s="86"/>
    </row>
    <row r="54" spans="2:5" ht="15.75">
      <c r="B54" s="287"/>
      <c r="C54" s="86"/>
      <c r="D54" s="86"/>
      <c r="E54" s="86"/>
    </row>
    <row r="55" spans="2:5" ht="15.75">
      <c r="B55" s="287"/>
      <c r="C55" s="86"/>
      <c r="D55" s="86"/>
      <c r="E55" s="86"/>
    </row>
    <row r="56" spans="2:5" ht="15.75">
      <c r="B56" s="287"/>
      <c r="C56" s="86"/>
      <c r="D56" s="86"/>
      <c r="E56" s="86"/>
    </row>
    <row r="57" spans="2:5" ht="15.75">
      <c r="B57" s="287"/>
      <c r="C57" s="86"/>
      <c r="D57" s="86"/>
      <c r="E57" s="86"/>
    </row>
    <row r="58" spans="2:5" ht="15.75">
      <c r="B58" s="279" t="s">
        <v>42</v>
      </c>
      <c r="C58" s="86"/>
      <c r="D58" s="274"/>
      <c r="E58" s="274"/>
    </row>
    <row r="59" spans="2:5" ht="15.75">
      <c r="B59" s="279" t="s">
        <v>296</v>
      </c>
      <c r="C59" s="399">
        <f>IF(C60*0.1&lt;C58,"Exceed 10% Rule","")</f>
      </c>
      <c r="D59" s="280">
        <f>IF(D60*0.1&lt;D58,"Exceed 10% Rule","")</f>
      </c>
      <c r="E59" s="280">
        <f>IF(E60*0.1&lt;E58,"Exceed 10% Rule","")</f>
      </c>
    </row>
    <row r="60" spans="2:5" ht="15.75">
      <c r="B60" s="281" t="s">
        <v>90</v>
      </c>
      <c r="C60" s="311">
        <f>SUM(C49:C58)</f>
        <v>0</v>
      </c>
      <c r="D60" s="311">
        <f>SUM(D49:D58)</f>
        <v>746</v>
      </c>
      <c r="E60" s="311">
        <f>SUM(E49:E58)</f>
        <v>7000</v>
      </c>
    </row>
    <row r="61" spans="2:5" ht="15.75">
      <c r="B61" s="122" t="s">
        <v>205</v>
      </c>
      <c r="C61" s="94">
        <f>C47-C60</f>
        <v>6146</v>
      </c>
      <c r="D61" s="94">
        <f>D47-D60</f>
        <v>6200</v>
      </c>
      <c r="E61" s="94">
        <f>E47-E60</f>
        <v>0</v>
      </c>
    </row>
    <row r="62" spans="2:5" ht="15.75">
      <c r="B62" s="257" t="str">
        <f>CONCATENATE("",E$1-2,"/",E$1-1," Budget Authority Amount:")</f>
        <v>2010/2011 Budget Authority Amount:</v>
      </c>
      <c r="C62" s="249">
        <f>inputOth!B57</f>
        <v>6000</v>
      </c>
      <c r="D62" s="249">
        <f>inputPrYr!D44</f>
        <v>7000</v>
      </c>
      <c r="E62" s="397">
        <f>IF(E61&lt;0,"See Tab E","")</f>
      </c>
    </row>
    <row r="63" spans="2:5" ht="15.75">
      <c r="B63" s="257"/>
      <c r="C63" s="290">
        <f>IF(C60&gt;C62,"See Tab A","")</f>
      </c>
      <c r="D63" s="290">
        <f>IF(D60&gt;D62,"See Tab C","")</f>
      </c>
      <c r="E63" s="59"/>
    </row>
    <row r="64" spans="2:5" ht="15.75">
      <c r="B64" s="257"/>
      <c r="C64" s="290">
        <f>IF(C61&lt;0,"See Tab B","")</f>
      </c>
      <c r="D64" s="290">
        <f>IF(D61&lt;0,"See Tab D","")</f>
      </c>
      <c r="E64" s="59"/>
    </row>
    <row r="65" spans="2:5" ht="15.75">
      <c r="B65" s="59"/>
      <c r="C65" s="59"/>
      <c r="D65" s="59"/>
      <c r="E65" s="59"/>
    </row>
    <row r="66" spans="2:5" ht="15.75">
      <c r="B66" s="257" t="s">
        <v>112</v>
      </c>
      <c r="C66" s="308">
        <v>11</v>
      </c>
      <c r="D66" s="59"/>
      <c r="E66" s="59"/>
    </row>
  </sheetData>
  <sheetProtection sheet="1"/>
  <conditionalFormatting sqref="C27">
    <cfRule type="cellIs" priority="7" dxfId="142" operator="greaterThan" stopIfTrue="1">
      <formula>$C$29*0.1</formula>
    </cfRule>
  </conditionalFormatting>
  <conditionalFormatting sqref="D27">
    <cfRule type="cellIs" priority="8" dxfId="142" operator="greaterThan" stopIfTrue="1">
      <formula>$D$29*0.1</formula>
    </cfRule>
  </conditionalFormatting>
  <conditionalFormatting sqref="E27">
    <cfRule type="cellIs" priority="9" dxfId="142" operator="greaterThan" stopIfTrue="1">
      <formula>$E$29*0.1</formula>
    </cfRule>
  </conditionalFormatting>
  <conditionalFormatting sqref="C13">
    <cfRule type="cellIs" priority="10" dxfId="142" operator="greaterThan" stopIfTrue="1">
      <formula>$C$15*0.1</formula>
    </cfRule>
  </conditionalFormatting>
  <conditionalFormatting sqref="D13">
    <cfRule type="cellIs" priority="11" dxfId="142" operator="greaterThan" stopIfTrue="1">
      <formula>$D$15*0.1</formula>
    </cfRule>
  </conditionalFormatting>
  <conditionalFormatting sqref="E13">
    <cfRule type="cellIs" priority="12" dxfId="142" operator="greaterThan" stopIfTrue="1">
      <formula>$E$15*0.1</formula>
    </cfRule>
  </conditionalFormatting>
  <conditionalFormatting sqref="C44">
    <cfRule type="cellIs" priority="13" dxfId="142" operator="greaterThan" stopIfTrue="1">
      <formula>$C$46*0.1</formula>
    </cfRule>
  </conditionalFormatting>
  <conditionalFormatting sqref="D44">
    <cfRule type="cellIs" priority="14" dxfId="142" operator="greaterThan" stopIfTrue="1">
      <formula>$D$46*0.1</formula>
    </cfRule>
  </conditionalFormatting>
  <conditionalFormatting sqref="E44">
    <cfRule type="cellIs" priority="15" dxfId="142" operator="greaterThan" stopIfTrue="1">
      <formula>$E$46*0.1</formula>
    </cfRule>
  </conditionalFormatting>
  <conditionalFormatting sqref="C58">
    <cfRule type="cellIs" priority="16" dxfId="142" operator="greaterThan" stopIfTrue="1">
      <formula>$C$60*0.1</formula>
    </cfRule>
  </conditionalFormatting>
  <conditionalFormatting sqref="D58">
    <cfRule type="cellIs" priority="17" dxfId="142" operator="greaterThan" stopIfTrue="1">
      <formula>$D$60*0.1</formula>
    </cfRule>
  </conditionalFormatting>
  <conditionalFormatting sqref="E58">
    <cfRule type="cellIs" priority="18" dxfId="142"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600" verticalDpi="600" orientation="portrait" scale="66"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A1" sqref="A1"/>
    </sheetView>
  </sheetViews>
  <sheetFormatPr defaultColWidth="8.796875" defaultRowHeight="15"/>
  <cols>
    <col min="1" max="1" width="2.3984375" style="55" customWidth="1"/>
    <col min="2" max="2" width="31.09765625" style="55" customWidth="1"/>
    <col min="3" max="4" width="15.796875" style="55" customWidth="1"/>
    <col min="5" max="5" width="16.0976562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163</v>
      </c>
      <c r="C3" s="302"/>
      <c r="D3" s="302"/>
      <c r="E3" s="303"/>
    </row>
    <row r="4" spans="2:5" ht="15.75">
      <c r="B4" s="59"/>
      <c r="C4" s="296"/>
      <c r="D4" s="296"/>
      <c r="E4" s="296"/>
    </row>
    <row r="5" spans="2:5" ht="15.75">
      <c r="B5" s="58" t="s">
        <v>78</v>
      </c>
      <c r="C5" s="434" t="str">
        <f>general!C4</f>
        <v>Prior Year Actual</v>
      </c>
      <c r="D5" s="394" t="str">
        <f>general!D4</f>
        <v>Current Year Estimate</v>
      </c>
      <c r="E5" s="394" t="str">
        <f>general!E4</f>
        <v>Proposed Budget Year</v>
      </c>
    </row>
    <row r="6" spans="2:5" ht="15.75">
      <c r="B6" s="402" t="str">
        <f>inputPrYr!B45</f>
        <v>Noxious Weed Capital Outlay</v>
      </c>
      <c r="C6" s="285">
        <f>general!C5</f>
        <v>2010</v>
      </c>
      <c r="D6" s="285">
        <f>general!D5</f>
        <v>2011</v>
      </c>
      <c r="E6" s="272">
        <f>general!E5</f>
        <v>2012</v>
      </c>
    </row>
    <row r="7" spans="2:5" ht="15.75">
      <c r="B7" s="122" t="s">
        <v>204</v>
      </c>
      <c r="C7" s="86">
        <v>31294</v>
      </c>
      <c r="D7" s="235">
        <f>C30</f>
        <v>19139</v>
      </c>
      <c r="E7" s="235">
        <f>D30</f>
        <v>19139</v>
      </c>
    </row>
    <row r="8" spans="2:5" ht="15.75">
      <c r="B8" s="304" t="s">
        <v>206</v>
      </c>
      <c r="C8" s="82"/>
      <c r="D8" s="82"/>
      <c r="E8" s="82"/>
    </row>
    <row r="9" spans="2:5" ht="15.75">
      <c r="B9" s="287" t="s">
        <v>407</v>
      </c>
      <c r="C9" s="86">
        <v>3000</v>
      </c>
      <c r="D9" s="86"/>
      <c r="E9" s="86"/>
    </row>
    <row r="10" spans="2:5" ht="15.75">
      <c r="B10" s="287"/>
      <c r="C10" s="86"/>
      <c r="D10" s="86"/>
      <c r="E10" s="86"/>
    </row>
    <row r="11" spans="2:5" ht="15.75">
      <c r="B11" s="287"/>
      <c r="C11" s="86"/>
      <c r="D11" s="86"/>
      <c r="E11" s="86"/>
    </row>
    <row r="12" spans="2:5" ht="15.75">
      <c r="B12" s="278" t="s">
        <v>84</v>
      </c>
      <c r="C12" s="86"/>
      <c r="D12" s="86"/>
      <c r="E12" s="86"/>
    </row>
    <row r="13" spans="2:5" ht="15.75">
      <c r="B13" s="279" t="s">
        <v>42</v>
      </c>
      <c r="C13" s="86"/>
      <c r="D13" s="274"/>
      <c r="E13" s="274"/>
    </row>
    <row r="14" spans="2:5" ht="15.75">
      <c r="B14" s="279" t="s">
        <v>297</v>
      </c>
      <c r="C14" s="399">
        <f>IF(C15*0.1&lt;C13,"Exceed 10% Rule","")</f>
      </c>
      <c r="D14" s="280">
        <f>IF(D15*0.1&lt;D13,"Exceed 10% Rule","")</f>
      </c>
      <c r="E14" s="280">
        <f>IF(E15*0.1&lt;E13,"Exceed 10% Rule","")</f>
      </c>
    </row>
    <row r="15" spans="2:5" ht="15.75">
      <c r="B15" s="281" t="s">
        <v>85</v>
      </c>
      <c r="C15" s="311">
        <f>SUM(C9:C13)</f>
        <v>3000</v>
      </c>
      <c r="D15" s="311">
        <f>SUM(D9:D13)</f>
        <v>0</v>
      </c>
      <c r="E15" s="311">
        <f>SUM(E9:E13)</f>
        <v>0</v>
      </c>
    </row>
    <row r="16" spans="2:5" ht="15.75">
      <c r="B16" s="281" t="s">
        <v>86</v>
      </c>
      <c r="C16" s="311">
        <f>C15+C7</f>
        <v>34294</v>
      </c>
      <c r="D16" s="311">
        <f>D15+D7</f>
        <v>19139</v>
      </c>
      <c r="E16" s="311">
        <f>E15+E7</f>
        <v>19139</v>
      </c>
    </row>
    <row r="17" spans="2:5" ht="15.75">
      <c r="B17" s="122" t="s">
        <v>89</v>
      </c>
      <c r="C17" s="235"/>
      <c r="D17" s="235"/>
      <c r="E17" s="235"/>
    </row>
    <row r="18" spans="2:5" ht="15.75">
      <c r="B18" s="287" t="s">
        <v>390</v>
      </c>
      <c r="C18" s="86"/>
      <c r="D18" s="86"/>
      <c r="E18" s="86"/>
    </row>
    <row r="19" spans="2:5" ht="15.75">
      <c r="B19" s="287" t="s">
        <v>97</v>
      </c>
      <c r="C19" s="86">
        <v>15155</v>
      </c>
      <c r="D19" s="86"/>
      <c r="E19" s="86">
        <v>19139</v>
      </c>
    </row>
    <row r="20" spans="2:5" ht="15.75">
      <c r="B20" s="287"/>
      <c r="C20" s="86"/>
      <c r="D20" s="86"/>
      <c r="E20" s="86"/>
    </row>
    <row r="21" spans="2:5" ht="15.75">
      <c r="B21" s="287"/>
      <c r="C21" s="86"/>
      <c r="D21" s="86"/>
      <c r="E21" s="86"/>
    </row>
    <row r="22" spans="2:5" ht="15.75">
      <c r="B22" s="287"/>
      <c r="C22" s="86"/>
      <c r="D22" s="86"/>
      <c r="E22" s="86"/>
    </row>
    <row r="23" spans="2:5" ht="15.75">
      <c r="B23" s="287"/>
      <c r="C23" s="86"/>
      <c r="D23" s="86"/>
      <c r="E23" s="86"/>
    </row>
    <row r="24" spans="2:5" ht="15.75">
      <c r="B24" s="287"/>
      <c r="C24" s="86"/>
      <c r="D24" s="86"/>
      <c r="E24" s="86"/>
    </row>
    <row r="25" spans="2:5" ht="15.75">
      <c r="B25" s="287"/>
      <c r="C25" s="86"/>
      <c r="D25" s="86"/>
      <c r="E25" s="86"/>
    </row>
    <row r="26" spans="2:5" ht="15.75">
      <c r="B26" s="287"/>
      <c r="C26" s="86"/>
      <c r="D26" s="86"/>
      <c r="E26" s="86"/>
    </row>
    <row r="27" spans="2:5" ht="15.75">
      <c r="B27" s="279" t="s">
        <v>42</v>
      </c>
      <c r="C27" s="86"/>
      <c r="D27" s="274"/>
      <c r="E27" s="274"/>
    </row>
    <row r="28" spans="2:5" ht="15.75">
      <c r="B28" s="279" t="s">
        <v>296</v>
      </c>
      <c r="C28" s="399">
        <f>IF(C29*0.1&lt;C27,"Exceed 10% Rule","")</f>
      </c>
      <c r="D28" s="280">
        <f>IF(D29*0.1&lt;D27,"Exceed 10% Rule","")</f>
      </c>
      <c r="E28" s="280">
        <f>IF(E29*0.1&lt;E27,"Exceed 10% Rule","")</f>
      </c>
    </row>
    <row r="29" spans="2:5" ht="15.75">
      <c r="B29" s="281" t="s">
        <v>90</v>
      </c>
      <c r="C29" s="311">
        <f>SUM(C18:C27)</f>
        <v>15155</v>
      </c>
      <c r="D29" s="311">
        <f>SUM(D18:D27)</f>
        <v>0</v>
      </c>
      <c r="E29" s="311">
        <f>SUM(E18:E27)</f>
        <v>19139</v>
      </c>
    </row>
    <row r="30" spans="2:5" ht="15.75">
      <c r="B30" s="122" t="s">
        <v>205</v>
      </c>
      <c r="C30" s="94">
        <f>C16-C29</f>
        <v>19139</v>
      </c>
      <c r="D30" s="94">
        <f>D16-D29</f>
        <v>19139</v>
      </c>
      <c r="E30" s="94">
        <f>E16-E29</f>
        <v>0</v>
      </c>
    </row>
    <row r="31" spans="2:5" ht="15.75">
      <c r="B31" s="257" t="str">
        <f>CONCATENATE("",E$1-2,"/",E$1-1," Budget Authority Amount:")</f>
        <v>2010/2011 Budget Authority Amount:</v>
      </c>
      <c r="C31" s="249">
        <f>inputOth!B58</f>
        <v>31294</v>
      </c>
      <c r="D31" s="249">
        <f>inputPrYr!D45</f>
        <v>22196</v>
      </c>
      <c r="E31" s="398">
        <f>IF(E30&lt;0,"See Tab E","")</f>
      </c>
    </row>
    <row r="32" spans="2:5" ht="15.75">
      <c r="B32" s="257"/>
      <c r="C32" s="290">
        <f>IF(C29&gt;C31,"See Tab A","")</f>
      </c>
      <c r="D32" s="290">
        <f>IF(D29&gt;D31,"See Tab C","")</f>
      </c>
      <c r="E32" s="119"/>
    </row>
    <row r="33" spans="2:5" ht="15.75">
      <c r="B33" s="257"/>
      <c r="C33" s="290">
        <f>IF(C30&lt;0,"See Tab B","")</f>
      </c>
      <c r="D33" s="290">
        <f>IF(D30&lt;0,"See Tab D","")</f>
      </c>
      <c r="E33" s="119"/>
    </row>
    <row r="34" spans="2:5" ht="15.75">
      <c r="B34" s="59"/>
      <c r="C34" s="119"/>
      <c r="D34" s="119"/>
      <c r="E34" s="119"/>
    </row>
    <row r="35" spans="2:5" ht="15.75">
      <c r="B35" s="58" t="s">
        <v>78</v>
      </c>
      <c r="C35" s="296"/>
      <c r="D35" s="296"/>
      <c r="E35" s="296"/>
    </row>
    <row r="36" spans="2:5" ht="15.75">
      <c r="B36" s="59"/>
      <c r="C36" s="434" t="str">
        <f aca="true" t="shared" si="0" ref="C36:E37">C5</f>
        <v>Prior Year Actual</v>
      </c>
      <c r="D36" s="394" t="str">
        <f t="shared" si="0"/>
        <v>Current Year Estimate</v>
      </c>
      <c r="E36" s="394" t="str">
        <f t="shared" si="0"/>
        <v>Proposed Budget Year</v>
      </c>
    </row>
    <row r="37" spans="2:5" ht="15.75">
      <c r="B37" s="401" t="str">
        <f>inputPrYr!B46</f>
        <v>911 Emergency Telephone Tax</v>
      </c>
      <c r="C37" s="285">
        <f t="shared" si="0"/>
        <v>2010</v>
      </c>
      <c r="D37" s="285">
        <f t="shared" si="0"/>
        <v>2011</v>
      </c>
      <c r="E37" s="285">
        <f t="shared" si="0"/>
        <v>2012</v>
      </c>
    </row>
    <row r="38" spans="2:5" ht="15.75">
      <c r="B38" s="122" t="s">
        <v>204</v>
      </c>
      <c r="C38" s="86">
        <v>67148</v>
      </c>
      <c r="D38" s="235">
        <f>C61</f>
        <v>63752</v>
      </c>
      <c r="E38" s="235">
        <f>D61</f>
        <v>43400</v>
      </c>
    </row>
    <row r="39" spans="2:5" ht="15.75">
      <c r="B39" s="122" t="s">
        <v>206</v>
      </c>
      <c r="C39" s="82"/>
      <c r="D39" s="82"/>
      <c r="E39" s="82"/>
    </row>
    <row r="40" spans="2:5" ht="15.75">
      <c r="B40" s="287" t="s">
        <v>385</v>
      </c>
      <c r="C40" s="86">
        <v>11647</v>
      </c>
      <c r="D40" s="86">
        <v>11500</v>
      </c>
      <c r="E40" s="86">
        <v>11500</v>
      </c>
    </row>
    <row r="41" spans="2:5" ht="15.75">
      <c r="B41" s="287"/>
      <c r="C41" s="86"/>
      <c r="D41" s="86"/>
      <c r="E41" s="86"/>
    </row>
    <row r="42" spans="2:5" ht="15.75">
      <c r="B42" s="287"/>
      <c r="C42" s="86"/>
      <c r="D42" s="86"/>
      <c r="E42" s="86"/>
    </row>
    <row r="43" spans="2:5" ht="15.75">
      <c r="B43" s="278" t="s">
        <v>84</v>
      </c>
      <c r="C43" s="86">
        <v>149</v>
      </c>
      <c r="D43" s="86">
        <v>148</v>
      </c>
      <c r="E43" s="86">
        <v>100</v>
      </c>
    </row>
    <row r="44" spans="2:5" ht="15.75">
      <c r="B44" s="279" t="s">
        <v>42</v>
      </c>
      <c r="C44" s="86"/>
      <c r="D44" s="274"/>
      <c r="E44" s="274"/>
    </row>
    <row r="45" spans="2:5" ht="15.75">
      <c r="B45" s="279" t="s">
        <v>297</v>
      </c>
      <c r="C45" s="399">
        <f>IF(C46*0.1&lt;C44,"Exceed 10% Rule","")</f>
      </c>
      <c r="D45" s="280">
        <f>IF(D46*0.1&lt;D44,"Exceed 10% Rule","")</f>
      </c>
      <c r="E45" s="280">
        <f>IF(E46*0.1&lt;E44,"Exceed 10% Rule","")</f>
      </c>
    </row>
    <row r="46" spans="2:5" ht="15.75">
      <c r="B46" s="281" t="s">
        <v>85</v>
      </c>
      <c r="C46" s="311">
        <f>SUM(C40:C44)</f>
        <v>11796</v>
      </c>
      <c r="D46" s="311">
        <f>SUM(D40:D44)</f>
        <v>11648</v>
      </c>
      <c r="E46" s="311">
        <f>SUM(E40:E44)</f>
        <v>11600</v>
      </c>
    </row>
    <row r="47" spans="2:5" ht="15.75">
      <c r="B47" s="281" t="s">
        <v>86</v>
      </c>
      <c r="C47" s="311">
        <f>C38+C46</f>
        <v>78944</v>
      </c>
      <c r="D47" s="311">
        <f>D38+D46</f>
        <v>75400</v>
      </c>
      <c r="E47" s="311">
        <f>E38+E46</f>
        <v>55000</v>
      </c>
    </row>
    <row r="48" spans="2:5" ht="15.75">
      <c r="B48" s="122" t="s">
        <v>89</v>
      </c>
      <c r="C48" s="235"/>
      <c r="D48" s="235"/>
      <c r="E48" s="235"/>
    </row>
    <row r="49" spans="2:5" ht="15.75">
      <c r="B49" s="287" t="s">
        <v>408</v>
      </c>
      <c r="C49" s="86"/>
      <c r="D49" s="86"/>
      <c r="E49" s="86"/>
    </row>
    <row r="50" spans="2:5" ht="15.75">
      <c r="B50" s="287" t="s">
        <v>95</v>
      </c>
      <c r="C50" s="86">
        <v>7612</v>
      </c>
      <c r="D50" s="86">
        <v>10000</v>
      </c>
      <c r="E50" s="86">
        <v>12000</v>
      </c>
    </row>
    <row r="51" spans="2:5" ht="15.75">
      <c r="B51" s="287" t="s">
        <v>96</v>
      </c>
      <c r="C51" s="86">
        <v>67</v>
      </c>
      <c r="D51" s="86">
        <v>2000</v>
      </c>
      <c r="E51" s="86">
        <v>3000</v>
      </c>
    </row>
    <row r="52" spans="2:5" ht="15.75">
      <c r="B52" s="287" t="s">
        <v>97</v>
      </c>
      <c r="C52" s="86">
        <v>7513</v>
      </c>
      <c r="D52" s="86">
        <v>20000</v>
      </c>
      <c r="E52" s="86">
        <v>40000</v>
      </c>
    </row>
    <row r="53" spans="2:5" ht="15.75">
      <c r="B53" s="287"/>
      <c r="C53" s="86"/>
      <c r="D53" s="86"/>
      <c r="E53" s="86"/>
    </row>
    <row r="54" spans="2:5" ht="15.75">
      <c r="B54" s="287"/>
      <c r="C54" s="86"/>
      <c r="D54" s="86"/>
      <c r="E54" s="86"/>
    </row>
    <row r="55" spans="2:5" ht="15.75">
      <c r="B55" s="287"/>
      <c r="C55" s="86"/>
      <c r="D55" s="86"/>
      <c r="E55" s="86"/>
    </row>
    <row r="56" spans="2:5" ht="15.75">
      <c r="B56" s="287"/>
      <c r="C56" s="86"/>
      <c r="D56" s="86"/>
      <c r="E56" s="86"/>
    </row>
    <row r="57" spans="2:5" ht="15.75">
      <c r="B57" s="287"/>
      <c r="C57" s="86"/>
      <c r="D57" s="86"/>
      <c r="E57" s="86"/>
    </row>
    <row r="58" spans="2:5" ht="15.75">
      <c r="B58" s="279" t="s">
        <v>42</v>
      </c>
      <c r="C58" s="86"/>
      <c r="D58" s="274"/>
      <c r="E58" s="274"/>
    </row>
    <row r="59" spans="2:5" ht="15.75">
      <c r="B59" s="279" t="s">
        <v>296</v>
      </c>
      <c r="C59" s="399">
        <f>IF(C60*0.1&lt;C58,"Exceed 10% Rule","")</f>
      </c>
      <c r="D59" s="280">
        <f>IF(D60*0.1&lt;D58,"Exceed 10% Rule","")</f>
      </c>
      <c r="E59" s="280">
        <f>IF(E60*0.1&lt;E58,"Exceed 10% Rule","")</f>
      </c>
    </row>
    <row r="60" spans="2:5" ht="15.75">
      <c r="B60" s="281" t="s">
        <v>90</v>
      </c>
      <c r="C60" s="311">
        <f>SUM(C49:C58)</f>
        <v>15192</v>
      </c>
      <c r="D60" s="311">
        <f>SUM(D49:D58)</f>
        <v>32000</v>
      </c>
      <c r="E60" s="311">
        <f>SUM(E49:E58)</f>
        <v>55000</v>
      </c>
    </row>
    <row r="61" spans="2:5" ht="15.75">
      <c r="B61" s="122" t="s">
        <v>205</v>
      </c>
      <c r="C61" s="94">
        <f>C47-C60</f>
        <v>63752</v>
      </c>
      <c r="D61" s="94">
        <f>D47-D60</f>
        <v>43400</v>
      </c>
      <c r="E61" s="94">
        <f>E47-E60</f>
        <v>0</v>
      </c>
    </row>
    <row r="62" spans="2:5" ht="15.75">
      <c r="B62" s="257" t="str">
        <f>CONCATENATE("",E$1-2,"/",E$1-1," Budget Authority Amount:")</f>
        <v>2010/2011 Budget Authority Amount:</v>
      </c>
      <c r="C62" s="249">
        <f>inputOth!B59</f>
        <v>77000</v>
      </c>
      <c r="D62" s="249">
        <f>inputPrYr!D46</f>
        <v>64000</v>
      </c>
      <c r="E62" s="397">
        <f>IF(E61&lt;0,"See Tab E","")</f>
      </c>
    </row>
    <row r="63" spans="2:5" ht="15.75">
      <c r="B63" s="257"/>
      <c r="C63" s="290">
        <f>IF(C60&gt;C62,"See Tab A","")</f>
      </c>
      <c r="D63" s="290">
        <f>IF(D60&gt;D62,"See Tab C","")</f>
      </c>
      <c r="E63" s="59"/>
    </row>
    <row r="64" spans="2:5" ht="15.75">
      <c r="B64" s="257"/>
      <c r="C64" s="290">
        <f>IF(C61&lt;0,"See Tab B","")</f>
      </c>
      <c r="D64" s="290">
        <f>IF(D61&lt;0,"See Tab D","")</f>
      </c>
      <c r="E64" s="59"/>
    </row>
    <row r="65" spans="2:5" ht="15.75">
      <c r="B65" s="59"/>
      <c r="C65" s="59"/>
      <c r="D65" s="59"/>
      <c r="E65" s="59"/>
    </row>
    <row r="66" spans="2:5" ht="15.75">
      <c r="B66" s="257" t="s">
        <v>112</v>
      </c>
      <c r="C66" s="308">
        <v>12</v>
      </c>
      <c r="D66" s="59"/>
      <c r="E66" s="59"/>
    </row>
  </sheetData>
  <sheetProtection sheet="1"/>
  <conditionalFormatting sqref="C27">
    <cfRule type="cellIs" priority="3" dxfId="142" operator="greaterThan" stopIfTrue="1">
      <formula>$C$29*0.1</formula>
    </cfRule>
  </conditionalFormatting>
  <conditionalFormatting sqref="D27">
    <cfRule type="cellIs" priority="4" dxfId="142" operator="greaterThan" stopIfTrue="1">
      <formula>$D$29*0.1</formula>
    </cfRule>
  </conditionalFormatting>
  <conditionalFormatting sqref="E27">
    <cfRule type="cellIs" priority="5" dxfId="142" operator="greaterThan" stopIfTrue="1">
      <formula>$E$29*0.1</formula>
    </cfRule>
  </conditionalFormatting>
  <conditionalFormatting sqref="C13">
    <cfRule type="cellIs" priority="6" dxfId="142" operator="greaterThan" stopIfTrue="1">
      <formula>$C$15*0.1</formula>
    </cfRule>
  </conditionalFormatting>
  <conditionalFormatting sqref="D13">
    <cfRule type="cellIs" priority="7" dxfId="142" operator="greaterThan" stopIfTrue="1">
      <formula>$D$15*0.1</formula>
    </cfRule>
  </conditionalFormatting>
  <conditionalFormatting sqref="E13">
    <cfRule type="cellIs" priority="8" dxfId="142" operator="greaterThan" stopIfTrue="1">
      <formula>$E$15*0.1</formula>
    </cfRule>
  </conditionalFormatting>
  <conditionalFormatting sqref="C44">
    <cfRule type="cellIs" priority="9" dxfId="142" operator="greaterThan" stopIfTrue="1">
      <formula>$C$46*0.1</formula>
    </cfRule>
  </conditionalFormatting>
  <conditionalFormatting sqref="D44">
    <cfRule type="cellIs" priority="10" dxfId="142" operator="greaterThan" stopIfTrue="1">
      <formula>$D$46*0.1</formula>
    </cfRule>
  </conditionalFormatting>
  <conditionalFormatting sqref="E44">
    <cfRule type="cellIs" priority="11" dxfId="142" operator="greaterThan" stopIfTrue="1">
      <formula>$E$46*0.1</formula>
    </cfRule>
  </conditionalFormatting>
  <conditionalFormatting sqref="C58">
    <cfRule type="cellIs" priority="12" dxfId="142" operator="greaterThan" stopIfTrue="1">
      <formula>$C$60*0.1</formula>
    </cfRule>
  </conditionalFormatting>
  <conditionalFormatting sqref="D58">
    <cfRule type="cellIs" priority="13" dxfId="142" operator="greaterThan" stopIfTrue="1">
      <formula>$D$60*0.1</formula>
    </cfRule>
  </conditionalFormatting>
  <conditionalFormatting sqref="E58">
    <cfRule type="cellIs" priority="14" dxfId="142"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600" verticalDpi="600" orientation="portrait" scale="66"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8">
      <selection activeCell="E54" sqref="E54"/>
    </sheetView>
  </sheetViews>
  <sheetFormatPr defaultColWidth="8.796875" defaultRowHeight="15"/>
  <cols>
    <col min="1" max="1" width="2.3984375" style="55" customWidth="1"/>
    <col min="2" max="2" width="31.09765625" style="55" customWidth="1"/>
    <col min="3" max="4" width="15.796875" style="55" customWidth="1"/>
    <col min="5" max="5" width="16.1992187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163</v>
      </c>
      <c r="C3" s="302"/>
      <c r="D3" s="302"/>
      <c r="E3" s="303"/>
    </row>
    <row r="4" spans="2:5" ht="15.75">
      <c r="B4" s="59"/>
      <c r="C4" s="296"/>
      <c r="D4" s="296"/>
      <c r="E4" s="296"/>
    </row>
    <row r="5" spans="2:5" ht="15.75">
      <c r="B5" s="58" t="s">
        <v>78</v>
      </c>
      <c r="C5" s="434" t="str">
        <f>general!C4</f>
        <v>Prior Year Actual</v>
      </c>
      <c r="D5" s="394" t="str">
        <f>general!D4</f>
        <v>Current Year Estimate</v>
      </c>
      <c r="E5" s="394" t="str">
        <f>general!E4</f>
        <v>Proposed Budget Year</v>
      </c>
    </row>
    <row r="6" spans="2:5" ht="15.75">
      <c r="B6" s="402" t="str">
        <f>inputPrYr!B47</f>
        <v>911 Wireless Phone Tax</v>
      </c>
      <c r="C6" s="285">
        <f>general!C5</f>
        <v>2010</v>
      </c>
      <c r="D6" s="285">
        <f>general!D5</f>
        <v>2011</v>
      </c>
      <c r="E6" s="272">
        <f>general!E5</f>
        <v>2012</v>
      </c>
    </row>
    <row r="7" spans="2:5" ht="15.75">
      <c r="B7" s="122" t="s">
        <v>204</v>
      </c>
      <c r="C7" s="86">
        <v>15299</v>
      </c>
      <c r="D7" s="235">
        <f>C30</f>
        <v>9795</v>
      </c>
      <c r="E7" s="235">
        <f>D30</f>
        <v>7400</v>
      </c>
    </row>
    <row r="8" spans="2:5" ht="15.75">
      <c r="B8" s="304" t="s">
        <v>206</v>
      </c>
      <c r="C8" s="82"/>
      <c r="D8" s="82"/>
      <c r="E8" s="82"/>
    </row>
    <row r="9" spans="2:5" ht="15.75">
      <c r="B9" s="287" t="s">
        <v>385</v>
      </c>
      <c r="C9" s="86">
        <v>5803</v>
      </c>
      <c r="D9" s="86">
        <v>5500</v>
      </c>
      <c r="E9" s="86">
        <v>5500</v>
      </c>
    </row>
    <row r="10" spans="2:5" ht="15.75">
      <c r="B10" s="287"/>
      <c r="C10" s="86"/>
      <c r="D10" s="86"/>
      <c r="E10" s="86"/>
    </row>
    <row r="11" spans="2:5" ht="15.75">
      <c r="B11" s="287"/>
      <c r="C11" s="86"/>
      <c r="D11" s="86"/>
      <c r="E11" s="86"/>
    </row>
    <row r="12" spans="2:5" ht="15.75">
      <c r="B12" s="278" t="s">
        <v>84</v>
      </c>
      <c r="C12" s="86">
        <v>29</v>
      </c>
      <c r="D12" s="86">
        <v>105</v>
      </c>
      <c r="E12" s="86">
        <v>100</v>
      </c>
    </row>
    <row r="13" spans="2:5" ht="15.75">
      <c r="B13" s="279" t="s">
        <v>42</v>
      </c>
      <c r="C13" s="86"/>
      <c r="D13" s="274"/>
      <c r="E13" s="274"/>
    </row>
    <row r="14" spans="2:5" ht="15.75">
      <c r="B14" s="279" t="s">
        <v>297</v>
      </c>
      <c r="C14" s="399">
        <f>IF(C15*0.1&lt;C13,"Exceed 10% Rule","")</f>
      </c>
      <c r="D14" s="280">
        <f>IF(D15*0.1&lt;D13,"Exceed 10% Rule","")</f>
      </c>
      <c r="E14" s="280">
        <f>IF(E15*0.1&lt;E13,"Exceed 10% Rule","")</f>
      </c>
    </row>
    <row r="15" spans="2:5" ht="15.75">
      <c r="B15" s="281" t="s">
        <v>85</v>
      </c>
      <c r="C15" s="311">
        <f>SUM(C9:C13)</f>
        <v>5832</v>
      </c>
      <c r="D15" s="311">
        <f>SUM(D9:D13)</f>
        <v>5605</v>
      </c>
      <c r="E15" s="311">
        <f>SUM(E9:E13)</f>
        <v>5600</v>
      </c>
    </row>
    <row r="16" spans="2:5" ht="15.75">
      <c r="B16" s="281" t="s">
        <v>86</v>
      </c>
      <c r="C16" s="311">
        <f>C15+C7</f>
        <v>21131</v>
      </c>
      <c r="D16" s="311">
        <f>D15+D7</f>
        <v>15400</v>
      </c>
      <c r="E16" s="311">
        <f>E15+E7</f>
        <v>13000</v>
      </c>
    </row>
    <row r="17" spans="2:5" ht="15.75">
      <c r="B17" s="122" t="s">
        <v>89</v>
      </c>
      <c r="C17" s="235"/>
      <c r="D17" s="235"/>
      <c r="E17" s="235"/>
    </row>
    <row r="18" spans="2:5" ht="15.75">
      <c r="B18" s="287" t="s">
        <v>408</v>
      </c>
      <c r="C18" s="86"/>
      <c r="D18" s="86"/>
      <c r="E18" s="86"/>
    </row>
    <row r="19" spans="2:5" ht="15.75">
      <c r="B19" s="287" t="s">
        <v>409</v>
      </c>
      <c r="C19" s="86">
        <v>11336</v>
      </c>
      <c r="D19" s="86">
        <v>8000</v>
      </c>
      <c r="E19" s="86">
        <v>13000</v>
      </c>
    </row>
    <row r="20" spans="2:5" ht="15.75">
      <c r="B20" s="287" t="s">
        <v>97</v>
      </c>
      <c r="C20" s="86"/>
      <c r="D20" s="86"/>
      <c r="E20" s="86"/>
    </row>
    <row r="21" spans="2:5" ht="15.75">
      <c r="B21" s="287"/>
      <c r="C21" s="86"/>
      <c r="D21" s="86"/>
      <c r="E21" s="86"/>
    </row>
    <row r="22" spans="2:5" ht="15.75">
      <c r="B22" s="287"/>
      <c r="C22" s="86"/>
      <c r="D22" s="86"/>
      <c r="E22" s="86"/>
    </row>
    <row r="23" spans="2:5" ht="15.75">
      <c r="B23" s="287"/>
      <c r="C23" s="86"/>
      <c r="D23" s="86"/>
      <c r="E23" s="86"/>
    </row>
    <row r="24" spans="2:5" ht="15.75">
      <c r="B24" s="287"/>
      <c r="C24" s="86"/>
      <c r="D24" s="86"/>
      <c r="E24" s="86"/>
    </row>
    <row r="25" spans="2:5" ht="15.75">
      <c r="B25" s="287"/>
      <c r="C25" s="86"/>
      <c r="D25" s="86"/>
      <c r="E25" s="86"/>
    </row>
    <row r="26" spans="2:5" ht="15.75">
      <c r="B26" s="287"/>
      <c r="C26" s="86"/>
      <c r="D26" s="86"/>
      <c r="E26" s="86"/>
    </row>
    <row r="27" spans="2:5" ht="15.75">
      <c r="B27" s="279" t="s">
        <v>42</v>
      </c>
      <c r="C27" s="86"/>
      <c r="D27" s="274"/>
      <c r="E27" s="274"/>
    </row>
    <row r="28" spans="2:5" ht="15.75">
      <c r="B28" s="279" t="s">
        <v>296</v>
      </c>
      <c r="C28" s="399">
        <f>IF(C29*0.1&lt;C27,"Exceed 10% Rule","")</f>
      </c>
      <c r="D28" s="280">
        <f>IF(D29*0.1&lt;D27,"Exceed 10% Rule","")</f>
      </c>
      <c r="E28" s="280">
        <f>IF(E29*0.1&lt;E27,"Exceed 10% Rule","")</f>
      </c>
    </row>
    <row r="29" spans="2:5" ht="15.75">
      <c r="B29" s="281" t="s">
        <v>90</v>
      </c>
      <c r="C29" s="311">
        <f>SUM(C18:C27)</f>
        <v>11336</v>
      </c>
      <c r="D29" s="311">
        <f>SUM(D18:D27)</f>
        <v>8000</v>
      </c>
      <c r="E29" s="311">
        <f>SUM(E18:E27)</f>
        <v>13000</v>
      </c>
    </row>
    <row r="30" spans="2:5" ht="15.75">
      <c r="B30" s="122" t="s">
        <v>205</v>
      </c>
      <c r="C30" s="94">
        <f>C16-C29</f>
        <v>9795</v>
      </c>
      <c r="D30" s="94">
        <f>D16-D29</f>
        <v>7400</v>
      </c>
      <c r="E30" s="94">
        <f>E16-E29</f>
        <v>0</v>
      </c>
    </row>
    <row r="31" spans="2:5" ht="15.75">
      <c r="B31" s="257" t="str">
        <f>CONCATENATE("",E$1-2,"/",E$1-1," Budget Authority Amount:")</f>
        <v>2010/2011 Budget Authority Amount:</v>
      </c>
      <c r="C31" s="249">
        <f>inputOth!B60</f>
        <v>21600</v>
      </c>
      <c r="D31" s="249">
        <f>inputPrYr!D47</f>
        <v>14500</v>
      </c>
      <c r="E31" s="398">
        <f>IF(E30&lt;0,"See Tab E","")</f>
      </c>
    </row>
    <row r="32" spans="2:5" ht="15.75">
      <c r="B32" s="257"/>
      <c r="C32" s="290">
        <f>IF(C29&gt;C31,"See Tab A","")</f>
      </c>
      <c r="D32" s="290">
        <f>IF(D29&gt;D31,"See Tab C","")</f>
      </c>
      <c r="E32" s="119"/>
    </row>
    <row r="33" spans="2:5" ht="15.75">
      <c r="B33" s="257"/>
      <c r="C33" s="290">
        <f>IF(C30&lt;0,"See Tab B","")</f>
      </c>
      <c r="D33" s="290">
        <f>IF(D30&lt;0,"See Tab D","")</f>
      </c>
      <c r="E33" s="119"/>
    </row>
    <row r="34" spans="2:5" ht="15.75">
      <c r="B34" s="59"/>
      <c r="C34" s="119"/>
      <c r="D34" s="119"/>
      <c r="E34" s="119"/>
    </row>
    <row r="35" spans="2:5" ht="15.75">
      <c r="B35" s="58" t="s">
        <v>78</v>
      </c>
      <c r="C35" s="296"/>
      <c r="D35" s="296"/>
      <c r="E35" s="296"/>
    </row>
    <row r="36" spans="2:5" ht="15.75">
      <c r="B36" s="59"/>
      <c r="C36" s="434" t="str">
        <f aca="true" t="shared" si="0" ref="C36:E37">C5</f>
        <v>Prior Year Actual</v>
      </c>
      <c r="D36" s="394" t="str">
        <f t="shared" si="0"/>
        <v>Current Year Estimate</v>
      </c>
      <c r="E36" s="394" t="str">
        <f t="shared" si="0"/>
        <v>Proposed Budget Year</v>
      </c>
    </row>
    <row r="37" spans="2:5" ht="15.75">
      <c r="B37" s="401" t="str">
        <f>inputPrYr!B48</f>
        <v>Special Motor Vehicle</v>
      </c>
      <c r="C37" s="285">
        <f t="shared" si="0"/>
        <v>2010</v>
      </c>
      <c r="D37" s="285">
        <f t="shared" si="0"/>
        <v>2011</v>
      </c>
      <c r="E37" s="285">
        <f t="shared" si="0"/>
        <v>2012</v>
      </c>
    </row>
    <row r="38" spans="2:5" ht="15.75">
      <c r="B38" s="122" t="s">
        <v>204</v>
      </c>
      <c r="C38" s="86">
        <v>13935</v>
      </c>
      <c r="D38" s="235">
        <f>C61</f>
        <v>13895</v>
      </c>
      <c r="E38" s="235">
        <f>D61</f>
        <v>15000</v>
      </c>
    </row>
    <row r="39" spans="2:5" ht="15.75">
      <c r="B39" s="122" t="s">
        <v>206</v>
      </c>
      <c r="C39" s="82"/>
      <c r="D39" s="82"/>
      <c r="E39" s="82"/>
    </row>
    <row r="40" spans="2:5" ht="15.75">
      <c r="B40" s="287" t="s">
        <v>385</v>
      </c>
      <c r="C40" s="86">
        <v>34685</v>
      </c>
      <c r="D40" s="86">
        <v>35000</v>
      </c>
      <c r="E40" s="86">
        <v>35000</v>
      </c>
    </row>
    <row r="41" spans="2:5" ht="15.75">
      <c r="B41" s="287"/>
      <c r="C41" s="86"/>
      <c r="D41" s="86"/>
      <c r="E41" s="86"/>
    </row>
    <row r="42" spans="2:5" ht="15.75">
      <c r="B42" s="287"/>
      <c r="C42" s="86"/>
      <c r="D42" s="86"/>
      <c r="E42" s="86"/>
    </row>
    <row r="43" spans="2:5" ht="15.75">
      <c r="B43" s="278" t="s">
        <v>84</v>
      </c>
      <c r="C43" s="86"/>
      <c r="D43" s="86"/>
      <c r="E43" s="86"/>
    </row>
    <row r="44" spans="2:5" ht="15.75">
      <c r="B44" s="279" t="s">
        <v>42</v>
      </c>
      <c r="C44" s="86"/>
      <c r="D44" s="274"/>
      <c r="E44" s="274"/>
    </row>
    <row r="45" spans="2:5" ht="15.75">
      <c r="B45" s="279" t="s">
        <v>297</v>
      </c>
      <c r="C45" s="399">
        <f>IF(C46*0.1&lt;C44,"Exceed 10% Rule","")</f>
      </c>
      <c r="D45" s="280">
        <f>IF(D46*0.1&lt;D44,"Exceed 10% Rule","")</f>
      </c>
      <c r="E45" s="280">
        <f>IF(E46*0.1&lt;E44,"Exceed 10% Rule","")</f>
      </c>
    </row>
    <row r="46" spans="2:5" ht="15.75">
      <c r="B46" s="281" t="s">
        <v>85</v>
      </c>
      <c r="C46" s="311">
        <f>SUM(C40:C44)</f>
        <v>34685</v>
      </c>
      <c r="D46" s="311">
        <f>SUM(D40:D44)</f>
        <v>35000</v>
      </c>
      <c r="E46" s="311">
        <f>SUM(E40:E44)</f>
        <v>35000</v>
      </c>
    </row>
    <row r="47" spans="2:5" ht="15.75">
      <c r="B47" s="281" t="s">
        <v>86</v>
      </c>
      <c r="C47" s="311">
        <f>C38+C46</f>
        <v>48620</v>
      </c>
      <c r="D47" s="311">
        <f>D38+D46</f>
        <v>48895</v>
      </c>
      <c r="E47" s="311">
        <f>E38+E46</f>
        <v>50000</v>
      </c>
    </row>
    <row r="48" spans="2:5" ht="15.75">
      <c r="B48" s="122" t="s">
        <v>89</v>
      </c>
      <c r="C48" s="235"/>
      <c r="D48" s="235"/>
      <c r="E48" s="235"/>
    </row>
    <row r="49" spans="2:5" ht="15.75">
      <c r="B49" s="287" t="s">
        <v>410</v>
      </c>
      <c r="C49" s="86">
        <v>7338</v>
      </c>
      <c r="D49" s="86">
        <v>8000</v>
      </c>
      <c r="E49" s="86">
        <v>9000</v>
      </c>
    </row>
    <row r="50" spans="2:5" ht="15.75">
      <c r="B50" s="287" t="s">
        <v>411</v>
      </c>
      <c r="C50" s="86">
        <v>3946</v>
      </c>
      <c r="D50" s="86">
        <v>5000</v>
      </c>
      <c r="E50" s="86">
        <v>8650</v>
      </c>
    </row>
    <row r="51" spans="2:5" ht="15.75">
      <c r="B51" s="287" t="s">
        <v>412</v>
      </c>
      <c r="C51" s="86">
        <v>3474</v>
      </c>
      <c r="D51" s="86">
        <v>4000</v>
      </c>
      <c r="E51" s="86">
        <v>7810</v>
      </c>
    </row>
    <row r="52" spans="2:5" ht="15.75">
      <c r="B52" s="287" t="s">
        <v>413</v>
      </c>
      <c r="C52" s="86">
        <v>6032</v>
      </c>
      <c r="D52" s="86">
        <v>3000</v>
      </c>
      <c r="E52" s="86">
        <v>6000</v>
      </c>
    </row>
    <row r="53" spans="2:5" ht="15.75">
      <c r="B53" s="287" t="s">
        <v>414</v>
      </c>
      <c r="C53" s="86">
        <v>13935</v>
      </c>
      <c r="D53" s="86">
        <v>13895</v>
      </c>
      <c r="E53" s="86">
        <v>15000</v>
      </c>
    </row>
    <row r="54" spans="2:5" ht="15.75">
      <c r="B54" s="287"/>
      <c r="C54" s="86"/>
      <c r="D54" s="86"/>
      <c r="E54" s="86"/>
    </row>
    <row r="55" spans="2:5" ht="15.75">
      <c r="B55" s="287"/>
      <c r="C55" s="86"/>
      <c r="D55" s="86"/>
      <c r="E55" s="86"/>
    </row>
    <row r="56" spans="2:5" ht="15.75">
      <c r="B56" s="287"/>
      <c r="C56" s="86"/>
      <c r="D56" s="86"/>
      <c r="E56" s="86"/>
    </row>
    <row r="57" spans="2:5" ht="15.75">
      <c r="B57" s="287"/>
      <c r="C57" s="86"/>
      <c r="D57" s="86"/>
      <c r="E57" s="86"/>
    </row>
    <row r="58" spans="2:5" ht="15.75">
      <c r="B58" s="279" t="s">
        <v>42</v>
      </c>
      <c r="C58" s="86"/>
      <c r="D58" s="274"/>
      <c r="E58" s="274"/>
    </row>
    <row r="59" spans="2:5" ht="15.75">
      <c r="B59" s="279" t="s">
        <v>296</v>
      </c>
      <c r="C59" s="399">
        <f>IF(C60*0.1&lt;C58,"Exceed 10% Rule","")</f>
      </c>
      <c r="D59" s="280">
        <f>IF(D60*0.1&lt;D58,"Exceed 10% Rule","")</f>
      </c>
      <c r="E59" s="280">
        <f>IF(E60*0.1&lt;E58,"Exceed 10% Rule","")</f>
      </c>
    </row>
    <row r="60" spans="2:5" ht="15.75">
      <c r="B60" s="281" t="s">
        <v>90</v>
      </c>
      <c r="C60" s="311">
        <f>SUM(C49:C58)</f>
        <v>34725</v>
      </c>
      <c r="D60" s="311">
        <f>SUM(D49:D58)</f>
        <v>33895</v>
      </c>
      <c r="E60" s="311">
        <f>SUM(E49:E58)</f>
        <v>46460</v>
      </c>
    </row>
    <row r="61" spans="2:5" ht="15.75">
      <c r="B61" s="122" t="s">
        <v>205</v>
      </c>
      <c r="C61" s="94">
        <f>C47-C60</f>
        <v>13895</v>
      </c>
      <c r="D61" s="94">
        <f>D47-D60</f>
        <v>15000</v>
      </c>
      <c r="E61" s="94">
        <f>E47-E60</f>
        <v>3540</v>
      </c>
    </row>
    <row r="62" spans="2:5" ht="15.75">
      <c r="B62" s="257" t="str">
        <f>CONCATENATE("",E$1-2,"/",E$1-1," Budget Authority Amount:")</f>
        <v>2010/2011 Budget Authority Amount:</v>
      </c>
      <c r="C62" s="249">
        <f>inputOth!B61</f>
        <v>0</v>
      </c>
      <c r="D62" s="249">
        <f>inputPrYr!D48</f>
        <v>48000</v>
      </c>
      <c r="E62" s="397">
        <f>IF(E61&lt;0,"See Tab E","")</f>
      </c>
    </row>
    <row r="63" spans="2:5" ht="15.75">
      <c r="B63" s="257"/>
      <c r="C63" s="290" t="str">
        <f>IF(C60&gt;C62,"See Tab A","")</f>
        <v>See Tab A</v>
      </c>
      <c r="D63" s="290">
        <f>IF(D60&gt;D62,"See Tab C","")</f>
      </c>
      <c r="E63" s="59"/>
    </row>
    <row r="64" spans="2:5" ht="15.75">
      <c r="B64" s="257"/>
      <c r="C64" s="290">
        <f>IF(C61&lt;0,"See Tab B","")</f>
      </c>
      <c r="D64" s="290">
        <f>IF(D61&lt;0,"See Tab D","")</f>
      </c>
      <c r="E64" s="59"/>
    </row>
    <row r="65" spans="2:5" ht="15.75">
      <c r="B65" s="59"/>
      <c r="C65" s="59"/>
      <c r="D65" s="59"/>
      <c r="E65" s="59"/>
    </row>
    <row r="66" spans="2:5" ht="15.75">
      <c r="B66" s="257" t="s">
        <v>112</v>
      </c>
      <c r="C66" s="308">
        <v>13</v>
      </c>
      <c r="D66" s="59"/>
      <c r="E66" s="59"/>
    </row>
  </sheetData>
  <sheetProtection sheet="1"/>
  <conditionalFormatting sqref="C27">
    <cfRule type="cellIs" priority="3" dxfId="142" operator="greaterThan" stopIfTrue="1">
      <formula>$C$29*0.1</formula>
    </cfRule>
  </conditionalFormatting>
  <conditionalFormatting sqref="D27">
    <cfRule type="cellIs" priority="4" dxfId="142" operator="greaterThan" stopIfTrue="1">
      <formula>$D$29*0.1</formula>
    </cfRule>
  </conditionalFormatting>
  <conditionalFormatting sqref="E27">
    <cfRule type="cellIs" priority="5" dxfId="142" operator="greaterThan" stopIfTrue="1">
      <formula>$E$29*0.1</formula>
    </cfRule>
  </conditionalFormatting>
  <conditionalFormatting sqref="C13">
    <cfRule type="cellIs" priority="6" dxfId="142" operator="greaterThan" stopIfTrue="1">
      <formula>$C$15*0.1</formula>
    </cfRule>
  </conditionalFormatting>
  <conditionalFormatting sqref="D13">
    <cfRule type="cellIs" priority="7" dxfId="142" operator="greaterThan" stopIfTrue="1">
      <formula>$D$15*0.1</formula>
    </cfRule>
  </conditionalFormatting>
  <conditionalFormatting sqref="E13">
    <cfRule type="cellIs" priority="8" dxfId="142" operator="greaterThan" stopIfTrue="1">
      <formula>$E$15*0.1</formula>
    </cfRule>
  </conditionalFormatting>
  <conditionalFormatting sqref="C44">
    <cfRule type="cellIs" priority="9" dxfId="142" operator="greaterThan" stopIfTrue="1">
      <formula>$C$46*0.1</formula>
    </cfRule>
  </conditionalFormatting>
  <conditionalFormatting sqref="D44">
    <cfRule type="cellIs" priority="10" dxfId="142" operator="greaterThan" stopIfTrue="1">
      <formula>$D$46*0.1</formula>
    </cfRule>
  </conditionalFormatting>
  <conditionalFormatting sqref="E44">
    <cfRule type="cellIs" priority="11" dxfId="142" operator="greaterThan" stopIfTrue="1">
      <formula>$E$46*0.1</formula>
    </cfRule>
  </conditionalFormatting>
  <conditionalFormatting sqref="C58">
    <cfRule type="cellIs" priority="12" dxfId="142" operator="greaterThan" stopIfTrue="1">
      <formula>$C$60*0.1</formula>
    </cfRule>
  </conditionalFormatting>
  <conditionalFormatting sqref="D58">
    <cfRule type="cellIs" priority="13" dxfId="142" operator="greaterThan" stopIfTrue="1">
      <formula>$D$60*0.1</formula>
    </cfRule>
  </conditionalFormatting>
  <conditionalFormatting sqref="E58">
    <cfRule type="cellIs" priority="14" dxfId="142"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600" verticalDpi="600" orientation="portrait" scale="66"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A1" sqref="A1"/>
    </sheetView>
  </sheetViews>
  <sheetFormatPr defaultColWidth="8.796875" defaultRowHeight="15"/>
  <cols>
    <col min="1" max="1" width="2.3984375" style="55" customWidth="1"/>
    <col min="2" max="2" width="31.09765625" style="55" customWidth="1"/>
    <col min="3" max="4" width="15.796875" style="55" customWidth="1"/>
    <col min="5" max="5" width="16.09765625" style="55" customWidth="1"/>
    <col min="6" max="16384" width="8.8984375" style="55" customWidth="1"/>
  </cols>
  <sheetData>
    <row r="1" spans="2:5" ht="15.75">
      <c r="B1" s="199" t="str">
        <f>(inputPrYr!C2)</f>
        <v>Edwards County</v>
      </c>
      <c r="C1" s="59"/>
      <c r="D1" s="59"/>
      <c r="E1" s="256">
        <f>inputPrYr!C4</f>
        <v>2012</v>
      </c>
    </row>
    <row r="2" spans="2:5" ht="15.75">
      <c r="B2" s="59"/>
      <c r="C2" s="59"/>
      <c r="D2" s="59"/>
      <c r="E2" s="211"/>
    </row>
    <row r="3" spans="2:5" ht="15.75">
      <c r="B3" s="126" t="s">
        <v>163</v>
      </c>
      <c r="C3" s="302"/>
      <c r="D3" s="302"/>
      <c r="E3" s="303"/>
    </row>
    <row r="4" spans="2:5" ht="15.75">
      <c r="B4" s="59"/>
      <c r="C4" s="296"/>
      <c r="D4" s="296"/>
      <c r="E4" s="296"/>
    </row>
    <row r="5" spans="2:5" ht="15.75">
      <c r="B5" s="58" t="s">
        <v>78</v>
      </c>
      <c r="C5" s="434" t="str">
        <f>general!C4</f>
        <v>Prior Year Actual</v>
      </c>
      <c r="D5" s="394" t="str">
        <f>general!D4</f>
        <v>Current Year Estimate</v>
      </c>
      <c r="E5" s="394" t="str">
        <f>general!E4</f>
        <v>Proposed Budget Year</v>
      </c>
    </row>
    <row r="6" spans="2:5" ht="15.75">
      <c r="B6" s="402" t="str">
        <f>inputPrYr!B49</f>
        <v>Risk Management Reserve</v>
      </c>
      <c r="C6" s="285">
        <f>general!C5</f>
        <v>2010</v>
      </c>
      <c r="D6" s="285">
        <f>general!D5</f>
        <v>2011</v>
      </c>
      <c r="E6" s="272">
        <f>general!E5</f>
        <v>2012</v>
      </c>
    </row>
    <row r="7" spans="2:5" ht="15.75">
      <c r="B7" s="122" t="s">
        <v>204</v>
      </c>
      <c r="C7" s="86">
        <v>8206</v>
      </c>
      <c r="D7" s="235">
        <f>C30</f>
        <v>8062</v>
      </c>
      <c r="E7" s="235">
        <f>D30</f>
        <v>7980</v>
      </c>
    </row>
    <row r="8" spans="2:5" ht="15.75">
      <c r="B8" s="304" t="s">
        <v>206</v>
      </c>
      <c r="C8" s="82"/>
      <c r="D8" s="82"/>
      <c r="E8" s="82"/>
    </row>
    <row r="9" spans="2:5" ht="15.75">
      <c r="B9" s="287" t="s">
        <v>386</v>
      </c>
      <c r="C9" s="86"/>
      <c r="D9" s="86"/>
      <c r="E9" s="86"/>
    </row>
    <row r="10" spans="2:5" ht="15.75">
      <c r="B10" s="287"/>
      <c r="C10" s="86"/>
      <c r="D10" s="86"/>
      <c r="E10" s="86"/>
    </row>
    <row r="11" spans="2:5" ht="15.75">
      <c r="B11" s="287"/>
      <c r="C11" s="86"/>
      <c r="D11" s="86"/>
      <c r="E11" s="86"/>
    </row>
    <row r="12" spans="2:5" ht="15.75">
      <c r="B12" s="278" t="s">
        <v>84</v>
      </c>
      <c r="C12" s="86">
        <v>21</v>
      </c>
      <c r="D12" s="86">
        <v>20</v>
      </c>
      <c r="E12" s="86">
        <v>20</v>
      </c>
    </row>
    <row r="13" spans="2:5" ht="15.75">
      <c r="B13" s="279" t="s">
        <v>42</v>
      </c>
      <c r="C13" s="86"/>
      <c r="D13" s="274"/>
      <c r="E13" s="274"/>
    </row>
    <row r="14" spans="2:5" ht="15.75">
      <c r="B14" s="279" t="s">
        <v>297</v>
      </c>
      <c r="C14" s="399">
        <f>IF(C15*0.1&lt;C13,"Exceed 10% Rule","")</f>
      </c>
      <c r="D14" s="280">
        <f>IF(D15*0.1&lt;D13,"Exceed 10% Rule","")</f>
      </c>
      <c r="E14" s="280">
        <f>IF(E15*0.1&lt;E13,"Exceed 10% Rule","")</f>
      </c>
    </row>
    <row r="15" spans="2:5" ht="15.75">
      <c r="B15" s="281" t="s">
        <v>85</v>
      </c>
      <c r="C15" s="311">
        <f>SUM(C9:C13)</f>
        <v>21</v>
      </c>
      <c r="D15" s="311">
        <f>SUM(D9:D13)</f>
        <v>20</v>
      </c>
      <c r="E15" s="311">
        <f>SUM(E9:E13)</f>
        <v>20</v>
      </c>
    </row>
    <row r="16" spans="2:5" ht="15.75">
      <c r="B16" s="281" t="s">
        <v>86</v>
      </c>
      <c r="C16" s="311">
        <f>C15+C7</f>
        <v>8227</v>
      </c>
      <c r="D16" s="311">
        <f>D15+D7</f>
        <v>8082</v>
      </c>
      <c r="E16" s="311">
        <f>E15+E7</f>
        <v>8000</v>
      </c>
    </row>
    <row r="17" spans="2:5" ht="15.75">
      <c r="B17" s="122" t="s">
        <v>89</v>
      </c>
      <c r="C17" s="235"/>
      <c r="D17" s="235"/>
      <c r="E17" s="235"/>
    </row>
    <row r="18" spans="2:5" ht="15.75">
      <c r="B18" s="287" t="s">
        <v>412</v>
      </c>
      <c r="C18" s="86">
        <v>165</v>
      </c>
      <c r="D18" s="86">
        <v>102</v>
      </c>
      <c r="E18" s="86">
        <v>8000</v>
      </c>
    </row>
    <row r="19" spans="2:5" ht="15.75">
      <c r="B19" s="287"/>
      <c r="C19" s="86"/>
      <c r="D19" s="86"/>
      <c r="E19" s="86"/>
    </row>
    <row r="20" spans="2:5" ht="15.75">
      <c r="B20" s="287"/>
      <c r="C20" s="86"/>
      <c r="D20" s="86"/>
      <c r="E20" s="86"/>
    </row>
    <row r="21" spans="2:5" ht="15.75">
      <c r="B21" s="287"/>
      <c r="C21" s="86"/>
      <c r="D21" s="86"/>
      <c r="E21" s="86"/>
    </row>
    <row r="22" spans="2:5" ht="15.75">
      <c r="B22" s="287"/>
      <c r="C22" s="86"/>
      <c r="D22" s="86"/>
      <c r="E22" s="86"/>
    </row>
    <row r="23" spans="2:5" ht="15.75">
      <c r="B23" s="287"/>
      <c r="C23" s="86"/>
      <c r="D23" s="86"/>
      <c r="E23" s="86"/>
    </row>
    <row r="24" spans="2:5" ht="15.75">
      <c r="B24" s="287"/>
      <c r="C24" s="86"/>
      <c r="D24" s="86"/>
      <c r="E24" s="86"/>
    </row>
    <row r="25" spans="2:5" ht="15.75">
      <c r="B25" s="287"/>
      <c r="C25" s="86"/>
      <c r="D25" s="86"/>
      <c r="E25" s="86"/>
    </row>
    <row r="26" spans="2:5" ht="15.75">
      <c r="B26" s="287"/>
      <c r="C26" s="86"/>
      <c r="D26" s="86"/>
      <c r="E26" s="86"/>
    </row>
    <row r="27" spans="2:5" ht="15.75">
      <c r="B27" s="279" t="s">
        <v>42</v>
      </c>
      <c r="C27" s="86"/>
      <c r="D27" s="274"/>
      <c r="E27" s="274"/>
    </row>
    <row r="28" spans="2:5" ht="15.75">
      <c r="B28" s="279" t="s">
        <v>296</v>
      </c>
      <c r="C28" s="399">
        <f>IF(C29*0.1&lt;C27,"Exceed 10% Rule","")</f>
      </c>
      <c r="D28" s="280">
        <f>IF(D29*0.1&lt;D27,"Exceed 10% Rule","")</f>
      </c>
      <c r="E28" s="280">
        <f>IF(E29*0.1&lt;E27,"Exceed 10% Rule","")</f>
      </c>
    </row>
    <row r="29" spans="2:5" ht="15.75">
      <c r="B29" s="281" t="s">
        <v>90</v>
      </c>
      <c r="C29" s="311">
        <f>SUM(C18:C27)</f>
        <v>165</v>
      </c>
      <c r="D29" s="311">
        <f>SUM(D18:D27)</f>
        <v>102</v>
      </c>
      <c r="E29" s="311">
        <f>SUM(E18:E27)</f>
        <v>8000</v>
      </c>
    </row>
    <row r="30" spans="2:5" ht="15.75">
      <c r="B30" s="122" t="s">
        <v>205</v>
      </c>
      <c r="C30" s="94">
        <f>C16-C29</f>
        <v>8062</v>
      </c>
      <c r="D30" s="94">
        <f>D16-D29</f>
        <v>7980</v>
      </c>
      <c r="E30" s="94">
        <f>E16-E29</f>
        <v>0</v>
      </c>
    </row>
    <row r="31" spans="2:5" ht="15.75">
      <c r="B31" s="257" t="str">
        <f>CONCATENATE("",E$1-2,"/",E$1-1," Budget Authority Amount:")</f>
        <v>2010/2011 Budget Authority Amount:</v>
      </c>
      <c r="C31" s="249">
        <f>inputOth!B62</f>
        <v>7241</v>
      </c>
      <c r="D31" s="249">
        <f>inputPrYr!D49</f>
        <v>8992</v>
      </c>
      <c r="E31" s="398">
        <f>IF(E30&lt;0,"See Tab E","")</f>
      </c>
    </row>
    <row r="32" spans="2:5" ht="15.75">
      <c r="B32" s="257"/>
      <c r="C32" s="290">
        <f>IF(C29&gt;C31,"See Tab A","")</f>
      </c>
      <c r="D32" s="290">
        <f>IF(D29&gt;D31,"See Tab C","")</f>
      </c>
      <c r="E32" s="119"/>
    </row>
    <row r="33" spans="2:5" ht="15.75">
      <c r="B33" s="257"/>
      <c r="C33" s="290">
        <f>IF(C30&lt;0,"See Tab B","")</f>
      </c>
      <c r="D33" s="290">
        <f>IF(D30&lt;0,"See Tab D","")</f>
      </c>
      <c r="E33" s="119"/>
    </row>
    <row r="34" spans="2:5" ht="15.75">
      <c r="B34" s="59"/>
      <c r="C34" s="119"/>
      <c r="D34" s="119"/>
      <c r="E34" s="119"/>
    </row>
    <row r="35" spans="2:5" ht="15.75">
      <c r="B35" s="58" t="s">
        <v>78</v>
      </c>
      <c r="C35" s="296"/>
      <c r="D35" s="296"/>
      <c r="E35" s="296"/>
    </row>
    <row r="36" spans="2:5" ht="15.75">
      <c r="B36" s="59"/>
      <c r="C36" s="434" t="str">
        <f aca="true" t="shared" si="0" ref="C36:E37">C5</f>
        <v>Prior Year Actual</v>
      </c>
      <c r="D36" s="394" t="str">
        <f t="shared" si="0"/>
        <v>Current Year Estimate</v>
      </c>
      <c r="E36" s="394" t="str">
        <f t="shared" si="0"/>
        <v>Proposed Budget Year</v>
      </c>
    </row>
    <row r="37" spans="2:5" ht="15.75">
      <c r="B37" s="401">
        <f>inputPrYr!B50</f>
        <v>0</v>
      </c>
      <c r="C37" s="285">
        <f t="shared" si="0"/>
        <v>2010</v>
      </c>
      <c r="D37" s="285">
        <f t="shared" si="0"/>
        <v>2011</v>
      </c>
      <c r="E37" s="285">
        <f t="shared" si="0"/>
        <v>2012</v>
      </c>
    </row>
    <row r="38" spans="2:5" ht="15.75">
      <c r="B38" s="122" t="s">
        <v>204</v>
      </c>
      <c r="C38" s="86"/>
      <c r="D38" s="235">
        <f>C61</f>
        <v>0</v>
      </c>
      <c r="E38" s="235">
        <f>D61</f>
        <v>0</v>
      </c>
    </row>
    <row r="39" spans="2:5" ht="15.75">
      <c r="B39" s="122" t="s">
        <v>206</v>
      </c>
      <c r="C39" s="82"/>
      <c r="D39" s="82"/>
      <c r="E39" s="82"/>
    </row>
    <row r="40" spans="2:5" ht="15.75">
      <c r="B40" s="287"/>
      <c r="C40" s="86"/>
      <c r="D40" s="86"/>
      <c r="E40" s="86"/>
    </row>
    <row r="41" spans="2:5" ht="15.75">
      <c r="B41" s="287"/>
      <c r="C41" s="86"/>
      <c r="D41" s="86"/>
      <c r="E41" s="86"/>
    </row>
    <row r="42" spans="2:5" ht="15.75">
      <c r="B42" s="287"/>
      <c r="C42" s="86"/>
      <c r="D42" s="86"/>
      <c r="E42" s="86"/>
    </row>
    <row r="43" spans="2:5" ht="15.75">
      <c r="B43" s="278" t="s">
        <v>84</v>
      </c>
      <c r="C43" s="86"/>
      <c r="D43" s="86"/>
      <c r="E43" s="86"/>
    </row>
    <row r="44" spans="2:5" ht="15.75">
      <c r="B44" s="279" t="s">
        <v>42</v>
      </c>
      <c r="C44" s="86"/>
      <c r="D44" s="274"/>
      <c r="E44" s="274"/>
    </row>
    <row r="45" spans="2:5" ht="15.75">
      <c r="B45" s="279" t="s">
        <v>297</v>
      </c>
      <c r="C45" s="399">
        <f>IF(C46*0.1&lt;C44,"Exceed 10% Rule","")</f>
      </c>
      <c r="D45" s="280">
        <f>IF(D46*0.1&lt;D44,"Exceed 10% Rule","")</f>
      </c>
      <c r="E45" s="280">
        <f>IF(E46*0.1&lt;E44,"Exceed 10% Rule","")</f>
      </c>
    </row>
    <row r="46" spans="2:5" ht="15.75">
      <c r="B46" s="281" t="s">
        <v>85</v>
      </c>
      <c r="C46" s="311">
        <f>SUM(C40:C44)</f>
        <v>0</v>
      </c>
      <c r="D46" s="311">
        <f>SUM(D40:D44)</f>
        <v>0</v>
      </c>
      <c r="E46" s="311">
        <f>SUM(E40:E44)</f>
        <v>0</v>
      </c>
    </row>
    <row r="47" spans="2:5" ht="15.75">
      <c r="B47" s="281" t="s">
        <v>86</v>
      </c>
      <c r="C47" s="311">
        <f>C38+C46</f>
        <v>0</v>
      </c>
      <c r="D47" s="311">
        <f>D38+D46</f>
        <v>0</v>
      </c>
      <c r="E47" s="311">
        <f>E38+E46</f>
        <v>0</v>
      </c>
    </row>
    <row r="48" spans="2:5" ht="15.75">
      <c r="B48" s="122" t="s">
        <v>89</v>
      </c>
      <c r="C48" s="235"/>
      <c r="D48" s="235"/>
      <c r="E48" s="235"/>
    </row>
    <row r="49" spans="2:5" ht="15.75">
      <c r="B49" s="287"/>
      <c r="C49" s="86"/>
      <c r="D49" s="86"/>
      <c r="E49" s="86"/>
    </row>
    <row r="50" spans="2:5" ht="15.75">
      <c r="B50" s="287"/>
      <c r="C50" s="86"/>
      <c r="D50" s="86"/>
      <c r="E50" s="86"/>
    </row>
    <row r="51" spans="2:5" ht="15.75">
      <c r="B51" s="287"/>
      <c r="C51" s="86"/>
      <c r="D51" s="86"/>
      <c r="E51" s="86"/>
    </row>
    <row r="52" spans="2:5" ht="15.75">
      <c r="B52" s="287"/>
      <c r="C52" s="86"/>
      <c r="D52" s="86"/>
      <c r="E52" s="86"/>
    </row>
    <row r="53" spans="2:5" ht="15.75">
      <c r="B53" s="287"/>
      <c r="C53" s="86"/>
      <c r="D53" s="86"/>
      <c r="E53" s="86"/>
    </row>
    <row r="54" spans="2:5" ht="15.75">
      <c r="B54" s="287"/>
      <c r="C54" s="86"/>
      <c r="D54" s="86"/>
      <c r="E54" s="86"/>
    </row>
    <row r="55" spans="2:5" ht="15.75">
      <c r="B55" s="287"/>
      <c r="C55" s="86"/>
      <c r="D55" s="86"/>
      <c r="E55" s="86"/>
    </row>
    <row r="56" spans="2:5" ht="15.75">
      <c r="B56" s="287"/>
      <c r="C56" s="86"/>
      <c r="D56" s="86"/>
      <c r="E56" s="86"/>
    </row>
    <row r="57" spans="2:5" ht="15.75">
      <c r="B57" s="287"/>
      <c r="C57" s="86"/>
      <c r="D57" s="86"/>
      <c r="E57" s="86"/>
    </row>
    <row r="58" spans="2:5" ht="15.75">
      <c r="B58" s="279" t="s">
        <v>42</v>
      </c>
      <c r="C58" s="86"/>
      <c r="D58" s="274"/>
      <c r="E58" s="274"/>
    </row>
    <row r="59" spans="2:5" ht="15.75">
      <c r="B59" s="279" t="s">
        <v>296</v>
      </c>
      <c r="C59" s="399">
        <f>IF(C60*0.1&lt;C58,"Exceed 10% Rule","")</f>
      </c>
      <c r="D59" s="280">
        <f>IF(D60*0.1&lt;D58,"Exceed 10% Rule","")</f>
      </c>
      <c r="E59" s="280">
        <f>IF(E60*0.1&lt;E58,"Exceed 10% Rule","")</f>
      </c>
    </row>
    <row r="60" spans="2:5" ht="15.75">
      <c r="B60" s="281" t="s">
        <v>90</v>
      </c>
      <c r="C60" s="311">
        <f>SUM(C49:C58)</f>
        <v>0</v>
      </c>
      <c r="D60" s="311">
        <f>SUM(D49:D58)</f>
        <v>0</v>
      </c>
      <c r="E60" s="311">
        <f>SUM(E49:E58)</f>
        <v>0</v>
      </c>
    </row>
    <row r="61" spans="2:5" ht="15.75">
      <c r="B61" s="122" t="s">
        <v>205</v>
      </c>
      <c r="C61" s="94">
        <f>C47-C60</f>
        <v>0</v>
      </c>
      <c r="D61" s="94">
        <f>D47-D60</f>
        <v>0</v>
      </c>
      <c r="E61" s="94">
        <f>E47-E60</f>
        <v>0</v>
      </c>
    </row>
    <row r="62" spans="2:5" ht="15.75">
      <c r="B62" s="257" t="str">
        <f>CONCATENATE("",E$1-2,"/",E$1-1," Budget Authority Amount:")</f>
        <v>2010/2011 Budget Authority Amount:</v>
      </c>
      <c r="C62" s="249">
        <f>inputOth!B63</f>
        <v>0</v>
      </c>
      <c r="D62" s="249">
        <f>inputPrYr!D50</f>
        <v>0</v>
      </c>
      <c r="E62" s="397">
        <f>IF(E61&lt;0,"See Tab E","")</f>
      </c>
    </row>
    <row r="63" spans="2:5" ht="15.75">
      <c r="B63" s="257"/>
      <c r="C63" s="290">
        <f>IF(C60&gt;C62,"See Tab A","")</f>
      </c>
      <c r="D63" s="290">
        <f>IF(D60&gt;D62,"See Tab C","")</f>
      </c>
      <c r="E63" s="59"/>
    </row>
    <row r="64" spans="2:5" ht="15.75">
      <c r="B64" s="257"/>
      <c r="C64" s="290">
        <f>IF(C61&lt;0,"See Tab B","")</f>
      </c>
      <c r="D64" s="290">
        <f>IF(D61&lt;0,"See Tab D","")</f>
      </c>
      <c r="E64" s="59"/>
    </row>
    <row r="65" spans="2:5" ht="15.75">
      <c r="B65" s="59"/>
      <c r="C65" s="59"/>
      <c r="D65" s="59"/>
      <c r="E65" s="59"/>
    </row>
    <row r="66" spans="2:5" ht="15.75">
      <c r="B66" s="257" t="s">
        <v>112</v>
      </c>
      <c r="C66" s="308">
        <v>14</v>
      </c>
      <c r="D66" s="59"/>
      <c r="E66" s="59"/>
    </row>
  </sheetData>
  <sheetProtection sheet="1"/>
  <conditionalFormatting sqref="C27">
    <cfRule type="cellIs" priority="3" dxfId="142" operator="greaterThan" stopIfTrue="1">
      <formula>$C$29*0.1</formula>
    </cfRule>
  </conditionalFormatting>
  <conditionalFormatting sqref="D27">
    <cfRule type="cellIs" priority="4" dxfId="142" operator="greaterThan" stopIfTrue="1">
      <formula>$D$29*0.1</formula>
    </cfRule>
  </conditionalFormatting>
  <conditionalFormatting sqref="E27">
    <cfRule type="cellIs" priority="5" dxfId="142" operator="greaterThan" stopIfTrue="1">
      <formula>$E$29*0.1</formula>
    </cfRule>
  </conditionalFormatting>
  <conditionalFormatting sqref="C13">
    <cfRule type="cellIs" priority="6" dxfId="142" operator="greaterThan" stopIfTrue="1">
      <formula>$C$15*0.1</formula>
    </cfRule>
  </conditionalFormatting>
  <conditionalFormatting sqref="D13">
    <cfRule type="cellIs" priority="7" dxfId="142" operator="greaterThan" stopIfTrue="1">
      <formula>$D$15*0.1</formula>
    </cfRule>
  </conditionalFormatting>
  <conditionalFormatting sqref="E13">
    <cfRule type="cellIs" priority="8" dxfId="142" operator="greaterThan" stopIfTrue="1">
      <formula>$E$15*0.1</formula>
    </cfRule>
  </conditionalFormatting>
  <conditionalFormatting sqref="C44">
    <cfRule type="cellIs" priority="9" dxfId="142" operator="greaterThan" stopIfTrue="1">
      <formula>$C$46*0.1</formula>
    </cfRule>
  </conditionalFormatting>
  <conditionalFormatting sqref="D44">
    <cfRule type="cellIs" priority="10" dxfId="142" operator="greaterThan" stopIfTrue="1">
      <formula>$D$46*0.1</formula>
    </cfRule>
  </conditionalFormatting>
  <conditionalFormatting sqref="E44">
    <cfRule type="cellIs" priority="11" dxfId="142" operator="greaterThan" stopIfTrue="1">
      <formula>$E$46*0.1</formula>
    </cfRule>
  </conditionalFormatting>
  <conditionalFormatting sqref="C58">
    <cfRule type="cellIs" priority="12" dxfId="142" operator="greaterThan" stopIfTrue="1">
      <formula>$C$60*0.1</formula>
    </cfRule>
  </conditionalFormatting>
  <conditionalFormatting sqref="D58">
    <cfRule type="cellIs" priority="13" dxfId="142" operator="greaterThan" stopIfTrue="1">
      <formula>$D$60*0.1</formula>
    </cfRule>
  </conditionalFormatting>
  <conditionalFormatting sqref="E58">
    <cfRule type="cellIs" priority="14" dxfId="142"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600" verticalDpi="600" orientation="portrait" scale="66"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55" customWidth="1"/>
    <col min="2" max="2" width="7.3984375" style="55" customWidth="1"/>
    <col min="3" max="3" width="11.59765625" style="55" customWidth="1"/>
    <col min="4" max="4" width="7.3984375" style="55" customWidth="1"/>
    <col min="5" max="5" width="11.59765625" style="55" customWidth="1"/>
    <col min="6" max="6" width="7.3984375" style="55" customWidth="1"/>
    <col min="7" max="7" width="11.59765625" style="55" customWidth="1"/>
    <col min="8" max="8" width="7.3984375" style="55" customWidth="1"/>
    <col min="9" max="9" width="11.59765625" style="55" customWidth="1"/>
    <col min="10" max="16384" width="8.8984375" style="55" customWidth="1"/>
  </cols>
  <sheetData>
    <row r="1" spans="1:11" ht="15.75">
      <c r="A1" s="118" t="str">
        <f>inputPrYr!$C$2</f>
        <v>Edwards County</v>
      </c>
      <c r="B1" s="314"/>
      <c r="C1" s="99"/>
      <c r="D1" s="99"/>
      <c r="E1" s="99"/>
      <c r="F1" s="315" t="s">
        <v>8</v>
      </c>
      <c r="G1" s="99"/>
      <c r="H1" s="99"/>
      <c r="I1" s="99"/>
      <c r="J1" s="99"/>
      <c r="K1" s="99">
        <f>inputPrYr!$C$4</f>
        <v>2012</v>
      </c>
    </row>
    <row r="2" spans="1:11" ht="15.75">
      <c r="A2" s="99"/>
      <c r="B2" s="99"/>
      <c r="C2" s="99"/>
      <c r="D2" s="99"/>
      <c r="E2" s="99"/>
      <c r="F2" s="316" t="str">
        <f>CONCATENATE("(Only the actual budget year for ",K1-2," is to be shown)")</f>
        <v>(Only the actual budget year for 2010 is to be shown)</v>
      </c>
      <c r="G2" s="99"/>
      <c r="H2" s="99"/>
      <c r="I2" s="99"/>
      <c r="J2" s="99"/>
      <c r="K2" s="99"/>
    </row>
    <row r="3" spans="1:11" ht="15.75">
      <c r="A3" s="99" t="s">
        <v>9</v>
      </c>
      <c r="B3" s="99"/>
      <c r="C3" s="99"/>
      <c r="D3" s="99"/>
      <c r="E3" s="99"/>
      <c r="F3" s="314"/>
      <c r="G3" s="99"/>
      <c r="H3" s="99"/>
      <c r="I3" s="99"/>
      <c r="J3" s="99"/>
      <c r="K3" s="99"/>
    </row>
    <row r="4" spans="1:11" ht="15.75">
      <c r="A4" s="99" t="s">
        <v>10</v>
      </c>
      <c r="B4" s="99"/>
      <c r="C4" s="99" t="s">
        <v>11</v>
      </c>
      <c r="D4" s="99"/>
      <c r="E4" s="99" t="s">
        <v>12</v>
      </c>
      <c r="F4" s="314"/>
      <c r="G4" s="99" t="s">
        <v>13</v>
      </c>
      <c r="H4" s="99"/>
      <c r="I4" s="99" t="s">
        <v>14</v>
      </c>
      <c r="J4" s="99"/>
      <c r="K4" s="99"/>
    </row>
    <row r="5" spans="1:11" s="56" customFormat="1" ht="31.5" customHeight="1">
      <c r="A5" s="507" t="str">
        <f>IF(inputPrYr!B62&gt;" ",(inputPrYr!B62)," ")</f>
        <v>Economic Development</v>
      </c>
      <c r="B5" s="508"/>
      <c r="C5" s="507" t="str">
        <f>IF(inputPrYr!B63&gt;" ",(inputPrYr!B63)," ")</f>
        <v>Special Law Enforcement Trust</v>
      </c>
      <c r="D5" s="508"/>
      <c r="E5" s="507" t="str">
        <f>IF(inputPrYr!B64&gt;" ",(inputPrYr!B64)," ")</f>
        <v>Micro-Loan</v>
      </c>
      <c r="F5" s="508"/>
      <c r="G5" s="507" t="str">
        <f>IF(inputPrYr!B65&gt;" ",(inputPrYr!B65)," ")</f>
        <v>Special Highway Improvement</v>
      </c>
      <c r="H5" s="508"/>
      <c r="I5" s="507" t="str">
        <f>IF(inputPrYr!B66&gt;" ",(inputPrYr!B66)," ")</f>
        <v>Special Machinery</v>
      </c>
      <c r="J5" s="508"/>
      <c r="K5" s="447"/>
    </row>
    <row r="6" spans="1:11" ht="15.75">
      <c r="A6" s="319" t="s">
        <v>15</v>
      </c>
      <c r="B6" s="320"/>
      <c r="C6" s="321" t="s">
        <v>15</v>
      </c>
      <c r="D6" s="322"/>
      <c r="E6" s="321" t="s">
        <v>15</v>
      </c>
      <c r="F6" s="317"/>
      <c r="G6" s="321" t="s">
        <v>15</v>
      </c>
      <c r="H6" s="323"/>
      <c r="I6" s="321" t="s">
        <v>15</v>
      </c>
      <c r="J6" s="99"/>
      <c r="K6" s="324" t="s">
        <v>50</v>
      </c>
    </row>
    <row r="7" spans="1:11" ht="15.75">
      <c r="A7" s="325" t="s">
        <v>44</v>
      </c>
      <c r="B7" s="440">
        <v>1641</v>
      </c>
      <c r="C7" s="326" t="s">
        <v>44</v>
      </c>
      <c r="D7" s="440">
        <v>2367</v>
      </c>
      <c r="E7" s="326" t="s">
        <v>44</v>
      </c>
      <c r="F7" s="440">
        <v>55308</v>
      </c>
      <c r="G7" s="326" t="s">
        <v>44</v>
      </c>
      <c r="H7" s="440">
        <v>164576</v>
      </c>
      <c r="I7" s="326" t="s">
        <v>44</v>
      </c>
      <c r="J7" s="440">
        <v>297178</v>
      </c>
      <c r="K7" s="443">
        <f>SUM(B7+D7+F7+H7+J7)</f>
        <v>521070</v>
      </c>
    </row>
    <row r="8" spans="1:11" ht="15.75">
      <c r="A8" s="327" t="s">
        <v>206</v>
      </c>
      <c r="B8" s="441"/>
      <c r="C8" s="327" t="s">
        <v>206</v>
      </c>
      <c r="D8" s="441"/>
      <c r="E8" s="327" t="s">
        <v>206</v>
      </c>
      <c r="F8" s="444"/>
      <c r="G8" s="327" t="s">
        <v>206</v>
      </c>
      <c r="H8" s="444"/>
      <c r="I8" s="327" t="s">
        <v>206</v>
      </c>
      <c r="J8" s="444"/>
      <c r="K8" s="444"/>
    </row>
    <row r="9" spans="1:11" ht="15.75">
      <c r="A9" s="328" t="s">
        <v>415</v>
      </c>
      <c r="B9" s="440"/>
      <c r="C9" s="328" t="s">
        <v>415</v>
      </c>
      <c r="D9" s="440"/>
      <c r="E9" s="328" t="s">
        <v>415</v>
      </c>
      <c r="F9" s="440"/>
      <c r="G9" s="328" t="s">
        <v>415</v>
      </c>
      <c r="H9" s="440"/>
      <c r="I9" s="328" t="s">
        <v>415</v>
      </c>
      <c r="J9" s="440"/>
      <c r="K9" s="444"/>
    </row>
    <row r="10" spans="1:11" ht="15.75">
      <c r="A10" s="328" t="s">
        <v>416</v>
      </c>
      <c r="B10" s="440"/>
      <c r="C10" s="328" t="s">
        <v>416</v>
      </c>
      <c r="D10" s="440"/>
      <c r="E10" s="328" t="s">
        <v>416</v>
      </c>
      <c r="F10" s="440"/>
      <c r="G10" s="328" t="s">
        <v>416</v>
      </c>
      <c r="H10" s="440"/>
      <c r="I10" s="328" t="s">
        <v>416</v>
      </c>
      <c r="J10" s="440"/>
      <c r="K10" s="444"/>
    </row>
    <row r="11" spans="1:11" ht="15.75">
      <c r="A11" s="328" t="s">
        <v>417</v>
      </c>
      <c r="B11" s="440"/>
      <c r="C11" s="328" t="s">
        <v>417</v>
      </c>
      <c r="D11" s="440"/>
      <c r="E11" s="328" t="s">
        <v>417</v>
      </c>
      <c r="F11" s="440"/>
      <c r="G11" s="328" t="s">
        <v>417</v>
      </c>
      <c r="H11" s="440"/>
      <c r="I11" s="328" t="s">
        <v>417</v>
      </c>
      <c r="J11" s="440"/>
      <c r="K11" s="444"/>
    </row>
    <row r="12" spans="1:11" ht="15.75">
      <c r="A12" s="328" t="s">
        <v>145</v>
      </c>
      <c r="B12" s="440"/>
      <c r="C12" s="328" t="s">
        <v>145</v>
      </c>
      <c r="D12" s="440"/>
      <c r="E12" s="328" t="s">
        <v>145</v>
      </c>
      <c r="F12" s="440">
        <v>1508</v>
      </c>
      <c r="G12" s="328" t="s">
        <v>145</v>
      </c>
      <c r="H12" s="440"/>
      <c r="I12" s="328" t="s">
        <v>145</v>
      </c>
      <c r="J12" s="440"/>
      <c r="K12" s="444"/>
    </row>
    <row r="13" spans="1:11" ht="15.75">
      <c r="A13" s="330" t="s">
        <v>111</v>
      </c>
      <c r="B13" s="440"/>
      <c r="C13" s="330" t="s">
        <v>111</v>
      </c>
      <c r="D13" s="440">
        <v>9742</v>
      </c>
      <c r="E13" s="330" t="s">
        <v>111</v>
      </c>
      <c r="F13" s="440">
        <v>3361</v>
      </c>
      <c r="G13" s="330" t="s">
        <v>111</v>
      </c>
      <c r="H13" s="440"/>
      <c r="I13" s="330" t="s">
        <v>111</v>
      </c>
      <c r="J13" s="440">
        <v>4105</v>
      </c>
      <c r="K13" s="444"/>
    </row>
    <row r="14" spans="1:11" ht="15.75">
      <c r="A14" s="328" t="s">
        <v>418</v>
      </c>
      <c r="B14" s="440"/>
      <c r="C14" s="328" t="s">
        <v>418</v>
      </c>
      <c r="D14" s="440"/>
      <c r="E14" s="328" t="s">
        <v>418</v>
      </c>
      <c r="F14" s="440"/>
      <c r="G14" s="328" t="s">
        <v>418</v>
      </c>
      <c r="H14" s="440"/>
      <c r="I14" s="328" t="s">
        <v>418</v>
      </c>
      <c r="J14" s="440"/>
      <c r="K14" s="444"/>
    </row>
    <row r="15" spans="1:11" ht="15.75">
      <c r="A15" s="328" t="s">
        <v>421</v>
      </c>
      <c r="B15" s="440">
        <v>40000</v>
      </c>
      <c r="C15" s="329"/>
      <c r="D15" s="440"/>
      <c r="E15" s="329"/>
      <c r="F15" s="440"/>
      <c r="G15" s="329" t="s">
        <v>422</v>
      </c>
      <c r="H15" s="440">
        <v>10000</v>
      </c>
      <c r="I15" s="329" t="s">
        <v>422</v>
      </c>
      <c r="J15" s="440">
        <v>60000</v>
      </c>
      <c r="K15" s="444"/>
    </row>
    <row r="16" spans="1:11" ht="15.75">
      <c r="A16" s="328"/>
      <c r="B16" s="440"/>
      <c r="C16" s="328"/>
      <c r="D16" s="440"/>
      <c r="E16" s="328"/>
      <c r="F16" s="440"/>
      <c r="G16" s="329"/>
      <c r="H16" s="440"/>
      <c r="I16" s="328"/>
      <c r="J16" s="440"/>
      <c r="K16" s="444"/>
    </row>
    <row r="17" spans="1:11" ht="15.75">
      <c r="A17" s="327" t="s">
        <v>85</v>
      </c>
      <c r="B17" s="442">
        <f>SUM(B9:B16)</f>
        <v>40000</v>
      </c>
      <c r="C17" s="327" t="s">
        <v>85</v>
      </c>
      <c r="D17" s="443">
        <f>SUM(D9:D16)</f>
        <v>9742</v>
      </c>
      <c r="E17" s="327" t="s">
        <v>85</v>
      </c>
      <c r="F17" s="445">
        <f>SUM(F9:F16)</f>
        <v>4869</v>
      </c>
      <c r="G17" s="327" t="s">
        <v>85</v>
      </c>
      <c r="H17" s="443">
        <f>SUM(H9:H16)</f>
        <v>10000</v>
      </c>
      <c r="I17" s="327" t="s">
        <v>85</v>
      </c>
      <c r="J17" s="443">
        <f>SUM(J9:J16)</f>
        <v>64105</v>
      </c>
      <c r="K17" s="443">
        <f>SUM(B17+D17+F17+H17+J17)</f>
        <v>128716</v>
      </c>
    </row>
    <row r="18" spans="1:11" ht="15.75">
      <c r="A18" s="327" t="s">
        <v>86</v>
      </c>
      <c r="B18" s="442">
        <f>SUM(B7+B17)</f>
        <v>41641</v>
      </c>
      <c r="C18" s="327" t="s">
        <v>86</v>
      </c>
      <c r="D18" s="443">
        <f>SUM(D7+D17)</f>
        <v>12109</v>
      </c>
      <c r="E18" s="327" t="s">
        <v>86</v>
      </c>
      <c r="F18" s="443">
        <f>SUM(F7+F17)</f>
        <v>60177</v>
      </c>
      <c r="G18" s="327" t="s">
        <v>86</v>
      </c>
      <c r="H18" s="443">
        <f>SUM(H7+H17)</f>
        <v>174576</v>
      </c>
      <c r="I18" s="327" t="s">
        <v>86</v>
      </c>
      <c r="J18" s="443">
        <f>SUM(J7+J17)</f>
        <v>361283</v>
      </c>
      <c r="K18" s="443">
        <f>SUM(B18+D18+F18+H18+J18)</f>
        <v>649786</v>
      </c>
    </row>
    <row r="19" spans="1:11" ht="15.75">
      <c r="A19" s="327" t="s">
        <v>89</v>
      </c>
      <c r="B19" s="441"/>
      <c r="C19" s="327" t="s">
        <v>89</v>
      </c>
      <c r="D19" s="441"/>
      <c r="E19" s="327" t="s">
        <v>89</v>
      </c>
      <c r="F19" s="444"/>
      <c r="G19" s="327" t="s">
        <v>89</v>
      </c>
      <c r="H19" s="444"/>
      <c r="I19" s="327" t="s">
        <v>89</v>
      </c>
      <c r="J19" s="444"/>
      <c r="K19" s="444"/>
    </row>
    <row r="20" spans="1:11" ht="15.75">
      <c r="A20" s="328" t="s">
        <v>419</v>
      </c>
      <c r="B20" s="440">
        <v>51203</v>
      </c>
      <c r="C20" s="328" t="s">
        <v>419</v>
      </c>
      <c r="D20" s="440"/>
      <c r="E20" s="328" t="s">
        <v>419</v>
      </c>
      <c r="F20" s="440"/>
      <c r="G20" s="328" t="s">
        <v>419</v>
      </c>
      <c r="H20" s="440"/>
      <c r="I20" s="328" t="s">
        <v>419</v>
      </c>
      <c r="J20" s="440"/>
      <c r="K20" s="444"/>
    </row>
    <row r="21" spans="1:11" ht="15.75">
      <c r="A21" s="328" t="s">
        <v>411</v>
      </c>
      <c r="B21" s="440"/>
      <c r="C21" s="328" t="s">
        <v>411</v>
      </c>
      <c r="D21" s="440"/>
      <c r="E21" s="328" t="s">
        <v>411</v>
      </c>
      <c r="F21" s="440"/>
      <c r="G21" s="328" t="s">
        <v>411</v>
      </c>
      <c r="H21" s="440">
        <v>88272</v>
      </c>
      <c r="I21" s="328" t="s">
        <v>411</v>
      </c>
      <c r="J21" s="440">
        <v>12762</v>
      </c>
      <c r="K21" s="444"/>
    </row>
    <row r="22" spans="1:11" ht="15.75">
      <c r="A22" s="328" t="s">
        <v>412</v>
      </c>
      <c r="B22" s="440"/>
      <c r="C22" s="328" t="s">
        <v>412</v>
      </c>
      <c r="D22" s="440">
        <v>3595</v>
      </c>
      <c r="E22" s="328" t="s">
        <v>412</v>
      </c>
      <c r="F22" s="440">
        <v>41250</v>
      </c>
      <c r="G22" s="328" t="s">
        <v>412</v>
      </c>
      <c r="H22" s="440"/>
      <c r="I22" s="328" t="s">
        <v>412</v>
      </c>
      <c r="J22" s="440"/>
      <c r="K22" s="444"/>
    </row>
    <row r="23" spans="1:11" ht="15.75">
      <c r="A23" s="328" t="s">
        <v>413</v>
      </c>
      <c r="B23" s="440"/>
      <c r="C23" s="328" t="s">
        <v>413</v>
      </c>
      <c r="D23" s="440"/>
      <c r="E23" s="328" t="s">
        <v>413</v>
      </c>
      <c r="F23" s="440"/>
      <c r="G23" s="328" t="s">
        <v>413</v>
      </c>
      <c r="H23" s="440">
        <v>4800</v>
      </c>
      <c r="I23" s="328" t="s">
        <v>413</v>
      </c>
      <c r="J23" s="440">
        <v>254716</v>
      </c>
      <c r="K23" s="444"/>
    </row>
    <row r="24" spans="1:11" ht="15.75">
      <c r="A24" s="328" t="s">
        <v>420</v>
      </c>
      <c r="B24" s="440"/>
      <c r="C24" s="328" t="s">
        <v>420</v>
      </c>
      <c r="D24" s="440"/>
      <c r="E24" s="328" t="s">
        <v>420</v>
      </c>
      <c r="F24" s="440"/>
      <c r="G24" s="328" t="s">
        <v>420</v>
      </c>
      <c r="H24" s="440"/>
      <c r="I24" s="328" t="s">
        <v>420</v>
      </c>
      <c r="J24" s="440"/>
      <c r="K24" s="444"/>
    </row>
    <row r="25" spans="1:11" ht="15.75">
      <c r="A25" s="328"/>
      <c r="B25" s="440"/>
      <c r="C25" s="329"/>
      <c r="D25" s="440"/>
      <c r="E25" s="329"/>
      <c r="F25" s="440"/>
      <c r="G25" s="329"/>
      <c r="H25" s="440"/>
      <c r="I25" s="329"/>
      <c r="J25" s="440"/>
      <c r="K25" s="444"/>
    </row>
    <row r="26" spans="1:11" ht="15.75">
      <c r="A26" s="328"/>
      <c r="B26" s="440"/>
      <c r="C26" s="329"/>
      <c r="D26" s="440"/>
      <c r="E26" s="329"/>
      <c r="F26" s="440"/>
      <c r="G26" s="329"/>
      <c r="H26" s="440"/>
      <c r="I26" s="329"/>
      <c r="J26" s="440"/>
      <c r="K26" s="444"/>
    </row>
    <row r="27" spans="1:11" ht="15.75">
      <c r="A27" s="328"/>
      <c r="B27" s="440"/>
      <c r="C27" s="328"/>
      <c r="D27" s="440"/>
      <c r="E27" s="328"/>
      <c r="F27" s="440"/>
      <c r="G27" s="329"/>
      <c r="H27" s="440"/>
      <c r="I27" s="329"/>
      <c r="J27" s="440"/>
      <c r="K27" s="444"/>
    </row>
    <row r="28" spans="1:11" ht="15.75">
      <c r="A28" s="327" t="s">
        <v>90</v>
      </c>
      <c r="B28" s="443">
        <f>SUM(B20:B27)</f>
        <v>51203</v>
      </c>
      <c r="C28" s="327" t="s">
        <v>90</v>
      </c>
      <c r="D28" s="443">
        <f>SUM(D20:D27)</f>
        <v>3595</v>
      </c>
      <c r="E28" s="327" t="s">
        <v>90</v>
      </c>
      <c r="F28" s="445">
        <f>SUM(F20:F27)</f>
        <v>41250</v>
      </c>
      <c r="G28" s="327" t="s">
        <v>90</v>
      </c>
      <c r="H28" s="445">
        <f>SUM(H20:H27)</f>
        <v>93072</v>
      </c>
      <c r="I28" s="327" t="s">
        <v>90</v>
      </c>
      <c r="J28" s="443">
        <f>SUM(J20:J27)</f>
        <v>267478</v>
      </c>
      <c r="K28" s="443">
        <f>SUM(B28+D28+F28+H28+J28)</f>
        <v>456598</v>
      </c>
    </row>
    <row r="29" spans="1:12" ht="15.75">
      <c r="A29" s="327" t="s">
        <v>16</v>
      </c>
      <c r="B29" s="443">
        <f>B18-B28</f>
        <v>-9562</v>
      </c>
      <c r="C29" s="327" t="s">
        <v>16</v>
      </c>
      <c r="D29" s="443">
        <f>D18-D28</f>
        <v>8514</v>
      </c>
      <c r="E29" s="327" t="s">
        <v>16</v>
      </c>
      <c r="F29" s="443">
        <f>F18-F28</f>
        <v>18927</v>
      </c>
      <c r="G29" s="327" t="s">
        <v>16</v>
      </c>
      <c r="H29" s="443">
        <f>H18-H28</f>
        <v>81504</v>
      </c>
      <c r="I29" s="327" t="s">
        <v>16</v>
      </c>
      <c r="J29" s="443">
        <f>J18-J28</f>
        <v>93805</v>
      </c>
      <c r="K29" s="446">
        <f>SUM(B29+D29+F29+H29+J29)</f>
        <v>193188</v>
      </c>
      <c r="L29" s="55" t="s">
        <v>31</v>
      </c>
    </row>
    <row r="30" spans="1:12" ht="15.75">
      <c r="A30" s="327"/>
      <c r="B30" s="358" t="str">
        <f>IF(B29&lt;0,"See Tab B","")</f>
        <v>See Tab B</v>
      </c>
      <c r="C30" s="327"/>
      <c r="D30" s="358">
        <f>IF(D29&lt;0,"See Tab B","")</f>
      </c>
      <c r="E30" s="327"/>
      <c r="F30" s="358">
        <f>IF(F29&lt;0,"See Tab B","")</f>
      </c>
      <c r="G30" s="99"/>
      <c r="H30" s="358">
        <f>IF(H29&lt;0,"See Tab B","")</f>
      </c>
      <c r="I30" s="99"/>
      <c r="J30" s="358">
        <f>IF(J29&lt;0,"See Tab B","")</f>
      </c>
      <c r="K30" s="331">
        <f>SUM(K7+K17-K28)</f>
        <v>193188</v>
      </c>
      <c r="L30" s="55" t="s">
        <v>31</v>
      </c>
    </row>
    <row r="31" spans="1:11" ht="15.75">
      <c r="A31" s="99"/>
      <c r="B31" s="332"/>
      <c r="C31" s="99"/>
      <c r="D31" s="314"/>
      <c r="E31" s="99"/>
      <c r="F31" s="99"/>
      <c r="G31" s="57" t="s">
        <v>32</v>
      </c>
      <c r="H31" s="57"/>
      <c r="I31" s="57"/>
      <c r="J31" s="57"/>
      <c r="K31" s="99"/>
    </row>
    <row r="32" spans="1:11" ht="15.75">
      <c r="A32" s="99"/>
      <c r="B32" s="332"/>
      <c r="C32" s="99"/>
      <c r="D32" s="99"/>
      <c r="E32" s="99"/>
      <c r="F32" s="99"/>
      <c r="G32" s="99"/>
      <c r="H32" s="99"/>
      <c r="I32" s="99"/>
      <c r="J32" s="99"/>
      <c r="K32" s="99"/>
    </row>
    <row r="33" spans="1:11" ht="15.75">
      <c r="A33" s="99"/>
      <c r="B33" s="332"/>
      <c r="C33" s="99"/>
      <c r="D33" s="99"/>
      <c r="E33" s="291" t="s">
        <v>112</v>
      </c>
      <c r="F33" s="308">
        <v>14</v>
      </c>
      <c r="G33" s="99"/>
      <c r="H33" s="99"/>
      <c r="I33" s="99"/>
      <c r="J33" s="99"/>
      <c r="K33" s="99"/>
    </row>
    <row r="34" ht="15.75">
      <c r="B34" s="333"/>
    </row>
    <row r="35" ht="15.75">
      <c r="B35" s="333"/>
    </row>
    <row r="36" ht="15.75">
      <c r="B36" s="333"/>
    </row>
    <row r="37" ht="15.75">
      <c r="B37" s="333"/>
    </row>
    <row r="38" ht="15.75">
      <c r="B38" s="333"/>
    </row>
    <row r="39" ht="15.75">
      <c r="B39" s="333"/>
    </row>
    <row r="40" ht="15.75">
      <c r="B40" s="333"/>
    </row>
    <row r="41" ht="15.75">
      <c r="B41" s="33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1">
      <selection activeCell="E25" sqref="E25"/>
    </sheetView>
  </sheetViews>
  <sheetFormatPr defaultColWidth="8.796875" defaultRowHeight="15"/>
  <cols>
    <col min="1" max="1" width="15.796875" style="55" customWidth="1"/>
    <col min="2" max="2" width="20.796875" style="55" customWidth="1"/>
    <col min="3" max="3" width="9.796875" style="55" customWidth="1"/>
    <col min="4" max="4" width="15.296875" style="55" customWidth="1"/>
    <col min="5" max="5" width="15.796875" style="55" customWidth="1"/>
    <col min="6" max="16384" width="8.8984375" style="55" customWidth="1"/>
  </cols>
  <sheetData>
    <row r="1" spans="1:5" ht="15.75">
      <c r="A1" s="118" t="str">
        <f>inputPrYr!C2</f>
        <v>Edwards County</v>
      </c>
      <c r="B1" s="99"/>
      <c r="C1" s="99"/>
      <c r="D1" s="99"/>
      <c r="E1" s="99">
        <f>inputPrYr!C4</f>
        <v>2012</v>
      </c>
    </row>
    <row r="2" spans="1:5" ht="15.75">
      <c r="A2" s="118"/>
      <c r="B2" s="99"/>
      <c r="C2" s="99"/>
      <c r="D2" s="99"/>
      <c r="E2" s="99"/>
    </row>
    <row r="3" spans="1:5" ht="15.75">
      <c r="A3" s="458" t="s">
        <v>30</v>
      </c>
      <c r="B3" s="459"/>
      <c r="C3" s="459"/>
      <c r="D3" s="459"/>
      <c r="E3" s="459"/>
    </row>
    <row r="4" spans="1:5" ht="15.75">
      <c r="A4" s="99"/>
      <c r="B4" s="99"/>
      <c r="C4" s="99"/>
      <c r="D4" s="99"/>
      <c r="E4" s="99"/>
    </row>
    <row r="5" spans="1:5" ht="15.75">
      <c r="A5" s="98" t="str">
        <f>CONCATENATE("From the County Clerks ",E1," Budget Information:")</f>
        <v>From the County Clerks 2012 Budget Information:</v>
      </c>
      <c r="B5" s="100"/>
      <c r="C5" s="69"/>
      <c r="D5" s="59"/>
      <c r="E5" s="119"/>
    </row>
    <row r="6" spans="1:5" ht="15.75">
      <c r="A6" s="120" t="str">
        <f>CONCATENATE("Total Assessed Valuation for ",E1-1,"")</f>
        <v>Total Assessed Valuation for 2011</v>
      </c>
      <c r="B6" s="106"/>
      <c r="C6" s="106"/>
      <c r="D6" s="106"/>
      <c r="E6" s="86">
        <v>43479093</v>
      </c>
    </row>
    <row r="7" spans="1:5" ht="15.75">
      <c r="A7" s="120" t="str">
        <f>CONCATENATE("New Improvements for ",E1-1,"")</f>
        <v>New Improvements for 2011</v>
      </c>
      <c r="B7" s="106"/>
      <c r="C7" s="106"/>
      <c r="D7" s="106"/>
      <c r="E7" s="121">
        <v>115827</v>
      </c>
    </row>
    <row r="8" spans="1:5" ht="15.75">
      <c r="A8" s="120" t="str">
        <f>CONCATENATE("Personal Property excluding oil, gas, and mobile homes- ",E1-1,"")</f>
        <v>Personal Property excluding oil, gas, and mobile homes- 2011</v>
      </c>
      <c r="B8" s="106"/>
      <c r="C8" s="106"/>
      <c r="D8" s="106"/>
      <c r="E8" s="121">
        <v>1401103</v>
      </c>
    </row>
    <row r="9" spans="1:5" ht="15.75">
      <c r="A9" s="120" t="str">
        <f>CONCATENATE("Property that has changed in use for ",E1-1,"")</f>
        <v>Property that has changed in use for 2011</v>
      </c>
      <c r="B9" s="106"/>
      <c r="C9" s="106"/>
      <c r="D9" s="106"/>
      <c r="E9" s="121">
        <v>21294</v>
      </c>
    </row>
    <row r="10" spans="1:5" ht="15.75">
      <c r="A10" s="120" t="str">
        <f>CONCATENATE("Personal Property excluding oil, gas, and mobile homes- ",E1-2,"")</f>
        <v>Personal Property excluding oil, gas, and mobile homes- 2010</v>
      </c>
      <c r="B10" s="106"/>
      <c r="C10" s="106"/>
      <c r="D10" s="106"/>
      <c r="E10" s="121">
        <v>1363612</v>
      </c>
    </row>
    <row r="11" spans="1:5" ht="15.75">
      <c r="A11" s="120" t="str">
        <f>CONCATENATE("Gross earnings (intangible) tax esitmate for ",E1,"")</f>
        <v>Gross earnings (intangible) tax esitmate for 2012</v>
      </c>
      <c r="B11" s="106"/>
      <c r="C11" s="106"/>
      <c r="D11" s="106"/>
      <c r="E11" s="86"/>
    </row>
    <row r="12" spans="1:5" ht="15.75">
      <c r="A12" s="122" t="s">
        <v>253</v>
      </c>
      <c r="B12" s="106"/>
      <c r="C12" s="106"/>
      <c r="D12" s="89"/>
      <c r="E12" s="86">
        <v>323864</v>
      </c>
    </row>
    <row r="13" spans="1:5" ht="15.75">
      <c r="A13" s="59"/>
      <c r="B13" s="59"/>
      <c r="C13" s="59"/>
      <c r="D13" s="75"/>
      <c r="E13" s="75"/>
    </row>
    <row r="14" spans="1:5" ht="15.75">
      <c r="A14" s="98" t="str">
        <f>CONCATENATE("From the County Treasurer's ",E1," Budget Information:")</f>
        <v>From the County Treasurer's 2012 Budget Information:</v>
      </c>
      <c r="B14" s="100"/>
      <c r="C14" s="100"/>
      <c r="D14" s="119"/>
      <c r="E14" s="119"/>
    </row>
    <row r="15" spans="1:5" ht="15.75">
      <c r="A15" s="87" t="s">
        <v>51</v>
      </c>
      <c r="B15" s="88"/>
      <c r="C15" s="88"/>
      <c r="D15" s="123"/>
      <c r="E15" s="86">
        <v>248616</v>
      </c>
    </row>
    <row r="16" spans="1:5" ht="15.75">
      <c r="A16" s="120" t="s">
        <v>52</v>
      </c>
      <c r="B16" s="106"/>
      <c r="C16" s="106"/>
      <c r="D16" s="124"/>
      <c r="E16" s="86">
        <v>5005</v>
      </c>
    </row>
    <row r="17" spans="1:5" ht="15.75">
      <c r="A17" s="120" t="s">
        <v>167</v>
      </c>
      <c r="B17" s="106"/>
      <c r="C17" s="106"/>
      <c r="D17" s="124"/>
      <c r="E17" s="86">
        <v>32401</v>
      </c>
    </row>
    <row r="18" spans="1:5" ht="15.75">
      <c r="A18" s="120" t="s">
        <v>254</v>
      </c>
      <c r="B18" s="106"/>
      <c r="C18" s="106"/>
      <c r="D18" s="125"/>
      <c r="E18" s="86"/>
    </row>
    <row r="19" spans="1:5" ht="15.75">
      <c r="A19" s="120" t="s">
        <v>255</v>
      </c>
      <c r="B19" s="106"/>
      <c r="C19" s="106"/>
      <c r="D19" s="125"/>
      <c r="E19" s="86"/>
    </row>
    <row r="20" spans="1:5" ht="15.75">
      <c r="A20" s="122" t="s">
        <v>256</v>
      </c>
      <c r="B20" s="106"/>
      <c r="C20" s="106"/>
      <c r="D20" s="124"/>
      <c r="E20" s="86"/>
    </row>
    <row r="21" spans="1:5" ht="15.75">
      <c r="A21" s="59"/>
      <c r="B21" s="59"/>
      <c r="C21" s="59"/>
      <c r="D21" s="59"/>
      <c r="E21" s="59"/>
    </row>
    <row r="22" spans="1:5" ht="15.75">
      <c r="A22" s="126" t="s">
        <v>257</v>
      </c>
      <c r="B22" s="59"/>
      <c r="C22" s="59"/>
      <c r="D22" s="59"/>
      <c r="E22" s="59"/>
    </row>
    <row r="23" spans="1:5" ht="15.75">
      <c r="A23" s="127" t="str">
        <f>CONCATENATE("Actual Delinquency for ",E1-3," Tax - (round to three decimal places)")</f>
        <v>Actual Delinquency for 2009 Tax - (round to three decimal places)</v>
      </c>
      <c r="B23" s="88"/>
      <c r="C23" s="88"/>
      <c r="D23" s="93"/>
      <c r="E23" s="384">
        <v>0.0069</v>
      </c>
    </row>
    <row r="24" spans="1:5" ht="15.75">
      <c r="A24" s="88" t="s">
        <v>258</v>
      </c>
      <c r="B24" s="88"/>
      <c r="C24" s="88"/>
      <c r="D24" s="88"/>
      <c r="E24" s="385">
        <v>0.01</v>
      </c>
    </row>
    <row r="25" spans="1:5" ht="15.75">
      <c r="A25" s="57" t="s">
        <v>259</v>
      </c>
      <c r="B25" s="57"/>
      <c r="C25" s="57"/>
      <c r="D25" s="57"/>
      <c r="E25" s="57"/>
    </row>
    <row r="26" spans="1:5" ht="15.75">
      <c r="A26" s="128"/>
      <c r="B26" s="128"/>
      <c r="C26" s="128"/>
      <c r="D26" s="128"/>
      <c r="E26" s="128"/>
    </row>
    <row r="27" spans="1:5" ht="15.75">
      <c r="A27" s="462" t="str">
        <f>CONCATENATE("From the ",E1-2," Budget Certificate Page")</f>
        <v>From the 2010 Budget Certificate Page</v>
      </c>
      <c r="B27" s="463"/>
      <c r="C27" s="128"/>
      <c r="D27" s="128"/>
      <c r="E27" s="128"/>
    </row>
    <row r="28" spans="1:5" ht="15.75">
      <c r="A28" s="129"/>
      <c r="B28" s="464" t="str">
        <f>CONCATENATE("",E1-2,"                         Expenditure Amt Budget Authority")</f>
        <v>2010                         Expenditure Amt Budget Authority</v>
      </c>
      <c r="C28" s="467" t="str">
        <f>CONCATENATE("Note: If the ",E1-2," budget was amended, then the")</f>
        <v>Note: If the 2010 budget was amended, then the</v>
      </c>
      <c r="D28" s="468"/>
      <c r="E28" s="468"/>
    </row>
    <row r="29" spans="1:5" ht="15.75">
      <c r="A29" s="130" t="s">
        <v>37</v>
      </c>
      <c r="B29" s="465"/>
      <c r="C29" s="131" t="s">
        <v>38</v>
      </c>
      <c r="D29" s="132"/>
      <c r="E29" s="132"/>
    </row>
    <row r="30" spans="1:5" ht="15.75">
      <c r="A30" s="133"/>
      <c r="B30" s="466"/>
      <c r="C30" s="131" t="s">
        <v>39</v>
      </c>
      <c r="D30" s="132"/>
      <c r="E30" s="132"/>
    </row>
    <row r="31" spans="1:5" ht="15.75">
      <c r="A31" s="134" t="str">
        <f>inputPrYr!B16</f>
        <v>General</v>
      </c>
      <c r="B31" s="135">
        <v>1917405</v>
      </c>
      <c r="C31" s="131"/>
      <c r="D31" s="132"/>
      <c r="E31" s="132"/>
    </row>
    <row r="32" spans="1:5" ht="15.75">
      <c r="A32" s="134" t="str">
        <f>inputPrYr!B17</f>
        <v>Debt Service</v>
      </c>
      <c r="B32" s="79"/>
      <c r="C32" s="131"/>
      <c r="D32" s="132"/>
      <c r="E32" s="132"/>
    </row>
    <row r="33" spans="1:5" ht="15.75">
      <c r="A33" s="134" t="str">
        <f>inputPrYr!B18</f>
        <v>Road &amp; Bridge</v>
      </c>
      <c r="B33" s="79">
        <v>1096723</v>
      </c>
      <c r="C33" s="128"/>
      <c r="D33" s="128"/>
      <c r="E33" s="128"/>
    </row>
    <row r="34" spans="1:5" ht="15.75">
      <c r="A34" s="134" t="str">
        <f>inputPrYr!B19</f>
        <v>Noxious Weed</v>
      </c>
      <c r="B34" s="79">
        <v>78926</v>
      </c>
      <c r="C34" s="128"/>
      <c r="D34" s="128"/>
      <c r="E34" s="128"/>
    </row>
    <row r="35" spans="1:5" ht="15.75">
      <c r="A35" s="134" t="str">
        <f>inputPrYr!B20</f>
        <v>Employee Benefits</v>
      </c>
      <c r="B35" s="79">
        <v>819979</v>
      </c>
      <c r="C35" s="128"/>
      <c r="D35" s="128"/>
      <c r="E35" s="128"/>
    </row>
    <row r="36" spans="1:5" ht="15.75">
      <c r="A36" s="134" t="str">
        <f>inputPrYr!B21</f>
        <v>County Health</v>
      </c>
      <c r="B36" s="79">
        <v>208105</v>
      </c>
      <c r="C36" s="128"/>
      <c r="D36" s="128"/>
      <c r="E36" s="128"/>
    </row>
    <row r="37" spans="1:5" ht="15.75">
      <c r="A37" s="134" t="str">
        <f>inputPrYr!B22</f>
        <v>Hospital Maintenance</v>
      </c>
      <c r="B37" s="79">
        <v>242338</v>
      </c>
      <c r="C37" s="128"/>
      <c r="D37" s="128"/>
      <c r="E37" s="128"/>
    </row>
    <row r="38" spans="1:5" ht="15.75">
      <c r="A38" s="134">
        <f>inputPrYr!B23</f>
        <v>0</v>
      </c>
      <c r="B38" s="79"/>
      <c r="C38" s="128"/>
      <c r="D38" s="128"/>
      <c r="E38" s="128"/>
    </row>
    <row r="39" spans="1:5" ht="15.75">
      <c r="A39" s="134">
        <f>inputPrYr!B24</f>
        <v>0</v>
      </c>
      <c r="B39" s="79"/>
      <c r="C39" s="128"/>
      <c r="D39" s="128"/>
      <c r="E39" s="128"/>
    </row>
    <row r="40" spans="1:5" ht="15.75">
      <c r="A40" s="134">
        <f>inputPrYr!B25</f>
        <v>0</v>
      </c>
      <c r="B40" s="79"/>
      <c r="C40" s="128"/>
      <c r="D40" s="128"/>
      <c r="E40" s="128"/>
    </row>
    <row r="41" spans="1:5" ht="15.75">
      <c r="A41" s="134">
        <f>inputPrYr!B26</f>
        <v>0</v>
      </c>
      <c r="B41" s="79"/>
      <c r="C41" s="128"/>
      <c r="D41" s="128"/>
      <c r="E41" s="128"/>
    </row>
    <row r="42" spans="1:5" ht="15.75">
      <c r="A42" s="134">
        <f>inputPrYr!B27</f>
        <v>0</v>
      </c>
      <c r="B42" s="79"/>
      <c r="C42" s="128"/>
      <c r="D42" s="128"/>
      <c r="E42" s="128"/>
    </row>
    <row r="43" spans="1:5" ht="15.75">
      <c r="A43" s="134">
        <f>inputPrYr!B28</f>
        <v>0</v>
      </c>
      <c r="B43" s="79"/>
      <c r="C43" s="128"/>
      <c r="D43" s="128"/>
      <c r="E43" s="128"/>
    </row>
    <row r="44" spans="1:5" ht="15.75">
      <c r="A44" s="134">
        <f>inputPrYr!B29</f>
        <v>0</v>
      </c>
      <c r="B44" s="79"/>
      <c r="C44" s="128"/>
      <c r="D44" s="128"/>
      <c r="E44" s="128"/>
    </row>
    <row r="45" spans="1:5" ht="15.75">
      <c r="A45" s="134">
        <f>inputPrYr!B30</f>
        <v>0</v>
      </c>
      <c r="B45" s="79"/>
      <c r="C45" s="128"/>
      <c r="D45" s="128"/>
      <c r="E45" s="128"/>
    </row>
    <row r="46" spans="1:5" ht="15.75">
      <c r="A46" s="134">
        <f>inputPrYr!B31</f>
        <v>0</v>
      </c>
      <c r="B46" s="79"/>
      <c r="C46" s="128"/>
      <c r="D46" s="128"/>
      <c r="E46" s="128"/>
    </row>
    <row r="47" spans="1:5" ht="15.75">
      <c r="A47" s="134">
        <f>inputPrYr!B32</f>
        <v>0</v>
      </c>
      <c r="B47" s="79"/>
      <c r="C47" s="128"/>
      <c r="D47" s="128"/>
      <c r="E47" s="128"/>
    </row>
    <row r="48" spans="1:5" ht="15.75">
      <c r="A48" s="134">
        <f>inputPrYr!B33</f>
        <v>0</v>
      </c>
      <c r="B48" s="79"/>
      <c r="C48" s="128"/>
      <c r="D48" s="128"/>
      <c r="E48" s="128"/>
    </row>
    <row r="49" spans="1:5" ht="15.75">
      <c r="A49" s="134">
        <f>inputPrYr!B34</f>
        <v>0</v>
      </c>
      <c r="B49" s="79"/>
      <c r="C49" s="128"/>
      <c r="D49" s="128"/>
      <c r="E49" s="128"/>
    </row>
    <row r="50" spans="1:5" ht="15.75">
      <c r="A50" s="134">
        <f>inputPrYr!B35</f>
        <v>0</v>
      </c>
      <c r="B50" s="79"/>
      <c r="C50" s="128"/>
      <c r="D50" s="128"/>
      <c r="E50" s="128"/>
    </row>
    <row r="51" spans="1:5" ht="15.75">
      <c r="A51" s="134">
        <f>inputPrYr!B36</f>
        <v>0</v>
      </c>
      <c r="B51" s="79"/>
      <c r="C51" s="128"/>
      <c r="D51" s="128"/>
      <c r="E51" s="128"/>
    </row>
    <row r="52" spans="1:5" ht="15.75">
      <c r="A52" s="134">
        <f>inputPrYr!B37</f>
        <v>0</v>
      </c>
      <c r="B52" s="79"/>
      <c r="C52" s="128"/>
      <c r="D52" s="128"/>
      <c r="E52" s="128"/>
    </row>
    <row r="53" spans="1:5" ht="15.75">
      <c r="A53" s="134">
        <f>inputPrYr!B38</f>
        <v>0</v>
      </c>
      <c r="B53" s="79"/>
      <c r="C53" s="128"/>
      <c r="D53" s="128"/>
      <c r="E53" s="128"/>
    </row>
    <row r="54" spans="1:5" ht="15.75">
      <c r="A54" s="134">
        <f>inputPrYr!B39</f>
        <v>0</v>
      </c>
      <c r="B54" s="79"/>
      <c r="C54" s="128"/>
      <c r="D54" s="128"/>
      <c r="E54" s="128"/>
    </row>
    <row r="55" spans="1:5" ht="15.75">
      <c r="A55" s="134">
        <f>inputPrYr!B40</f>
        <v>0</v>
      </c>
      <c r="B55" s="79"/>
      <c r="C55" s="128"/>
      <c r="D55" s="128"/>
      <c r="E55" s="128"/>
    </row>
    <row r="56" spans="1:5" ht="15.75">
      <c r="A56" s="134" t="str">
        <f>inputPrYr!B43</f>
        <v>Special Drug and Alcohol</v>
      </c>
      <c r="B56" s="79">
        <v>11000</v>
      </c>
      <c r="C56" s="128"/>
      <c r="D56" s="128"/>
      <c r="E56" s="128"/>
    </row>
    <row r="57" spans="1:5" ht="15.75">
      <c r="A57" s="134" t="str">
        <f>inputPrYr!B44</f>
        <v>Special Parks and Recreation</v>
      </c>
      <c r="B57" s="79">
        <v>6000</v>
      </c>
      <c r="C57" s="128"/>
      <c r="D57" s="128"/>
      <c r="E57" s="128"/>
    </row>
    <row r="58" spans="1:5" ht="15.75">
      <c r="A58" s="134" t="str">
        <f>inputPrYr!B45</f>
        <v>Noxious Weed Capital Outlay</v>
      </c>
      <c r="B58" s="79">
        <v>31294</v>
      </c>
      <c r="C58" s="128"/>
      <c r="D58" s="128"/>
      <c r="E58" s="128"/>
    </row>
    <row r="59" spans="1:5" ht="15.75">
      <c r="A59" s="134" t="str">
        <f>inputPrYr!B46</f>
        <v>911 Emergency Telephone Tax</v>
      </c>
      <c r="B59" s="79">
        <v>77000</v>
      </c>
      <c r="C59" s="128"/>
      <c r="D59" s="128"/>
      <c r="E59" s="128"/>
    </row>
    <row r="60" spans="1:5" ht="15.75">
      <c r="A60" s="134" t="str">
        <f>inputPrYr!B47</f>
        <v>911 Wireless Phone Tax</v>
      </c>
      <c r="B60" s="79">
        <v>21600</v>
      </c>
      <c r="C60" s="128"/>
      <c r="D60" s="128"/>
      <c r="E60" s="128"/>
    </row>
    <row r="61" spans="1:5" ht="15.75">
      <c r="A61" s="134" t="str">
        <f>inputPrYr!B48</f>
        <v>Special Motor Vehicle</v>
      </c>
      <c r="B61" s="79"/>
      <c r="C61" s="128"/>
      <c r="D61" s="128"/>
      <c r="E61" s="128"/>
    </row>
    <row r="62" spans="1:5" ht="15.75">
      <c r="A62" s="134" t="str">
        <f>inputPrYr!B49</f>
        <v>Risk Management Reserve</v>
      </c>
      <c r="B62" s="79">
        <v>7241</v>
      </c>
      <c r="C62" s="128"/>
      <c r="D62" s="128"/>
      <c r="E62" s="128"/>
    </row>
    <row r="63" spans="1:5" ht="15.75">
      <c r="A63" s="134">
        <f>inputPrYr!B50</f>
        <v>0</v>
      </c>
      <c r="B63" s="79"/>
      <c r="C63" s="128"/>
      <c r="D63" s="128"/>
      <c r="E63" s="128"/>
    </row>
    <row r="64" spans="1:5" ht="15.75">
      <c r="A64" s="134">
        <f>inputPrYr!B51</f>
        <v>0</v>
      </c>
      <c r="B64" s="79"/>
      <c r="C64" s="128"/>
      <c r="D64" s="128"/>
      <c r="E64" s="128"/>
    </row>
    <row r="65" spans="1:5" ht="15.75">
      <c r="A65" s="134">
        <f>inputPrYr!B52</f>
        <v>0</v>
      </c>
      <c r="B65" s="79"/>
      <c r="C65" s="128"/>
      <c r="D65" s="128"/>
      <c r="E65" s="128"/>
    </row>
    <row r="66" spans="1:5" ht="15.75">
      <c r="A66" s="134">
        <f>inputPrYr!B53</f>
        <v>0</v>
      </c>
      <c r="B66" s="79"/>
      <c r="C66" s="128"/>
      <c r="D66" s="128"/>
      <c r="E66" s="128"/>
    </row>
    <row r="67" spans="1:5" ht="15.75">
      <c r="A67" s="134">
        <f>inputPrYr!B54</f>
        <v>0</v>
      </c>
      <c r="B67" s="79"/>
      <c r="C67" s="128"/>
      <c r="D67" s="128"/>
      <c r="E67" s="128"/>
    </row>
    <row r="68" spans="1:5" ht="15.75">
      <c r="A68" s="134">
        <f>inputPrYr!B55</f>
        <v>0</v>
      </c>
      <c r="B68" s="79"/>
      <c r="C68" s="128"/>
      <c r="D68" s="128"/>
      <c r="E68" s="128"/>
    </row>
    <row r="69" spans="1:5" ht="15.75">
      <c r="A69" s="134">
        <f>inputPrYr!B56</f>
        <v>0</v>
      </c>
      <c r="B69" s="79"/>
      <c r="C69" s="128"/>
      <c r="D69" s="128"/>
      <c r="E69" s="128"/>
    </row>
    <row r="70" spans="1:5" ht="15.75">
      <c r="A70" s="134">
        <f>inputPrYr!B57</f>
        <v>0</v>
      </c>
      <c r="B70" s="79"/>
      <c r="C70" s="128"/>
      <c r="D70" s="128"/>
      <c r="E70" s="128"/>
    </row>
    <row r="71" spans="1:5" ht="15.75">
      <c r="A71" s="134">
        <f>inputPrYr!B58</f>
        <v>0</v>
      </c>
      <c r="B71" s="79"/>
      <c r="C71" s="128"/>
      <c r="D71" s="128"/>
      <c r="E71" s="128"/>
    </row>
  </sheetData>
  <sheetProtection sheet="1"/>
  <mergeCells count="4">
    <mergeCell ref="A3:E3"/>
    <mergeCell ref="A27:B27"/>
    <mergeCell ref="B28:B30"/>
    <mergeCell ref="C28:E28"/>
  </mergeCells>
  <printOptions/>
  <pageMargins left="0.75" right="0.75" top="1" bottom="1" header="0.5" footer="0.5"/>
  <pageSetup horizontalDpi="600" verticalDpi="600" orientation="portrait" scale="86" r:id="rId1"/>
  <rowBreaks count="1" manualBreakCount="1">
    <brk id="26"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A1" sqref="A1"/>
    </sheetView>
  </sheetViews>
  <sheetFormatPr defaultColWidth="8.796875" defaultRowHeight="15"/>
  <cols>
    <col min="1" max="1" width="11.59765625" style="55" customWidth="1"/>
    <col min="2" max="2" width="7.3984375" style="55" customWidth="1"/>
    <col min="3" max="3" width="11.59765625" style="55" customWidth="1"/>
    <col min="4" max="4" width="7.3984375" style="55" customWidth="1"/>
    <col min="5" max="5" width="11.59765625" style="55" customWidth="1"/>
    <col min="6" max="6" width="7.3984375" style="55" customWidth="1"/>
    <col min="7" max="7" width="11.59765625" style="55" customWidth="1"/>
    <col min="8" max="8" width="7.3984375" style="55" customWidth="1"/>
    <col min="9" max="9" width="11.59765625" style="55" customWidth="1"/>
    <col min="10" max="16384" width="8.8984375" style="55" customWidth="1"/>
  </cols>
  <sheetData>
    <row r="1" spans="1:11" ht="15.75">
      <c r="A1" s="118" t="str">
        <f>inputPrYr!$C$2</f>
        <v>Edwards County</v>
      </c>
      <c r="B1" s="314"/>
      <c r="C1" s="99"/>
      <c r="D1" s="99"/>
      <c r="E1" s="99"/>
      <c r="F1" s="315" t="s">
        <v>17</v>
      </c>
      <c r="G1" s="99"/>
      <c r="H1" s="99"/>
      <c r="I1" s="99"/>
      <c r="J1" s="99"/>
      <c r="K1" s="99">
        <f>inputPrYr!$C$4</f>
        <v>2012</v>
      </c>
    </row>
    <row r="2" spans="1:11" ht="15.75">
      <c r="A2" s="99"/>
      <c r="B2" s="99"/>
      <c r="C2" s="99"/>
      <c r="D2" s="99"/>
      <c r="E2" s="99"/>
      <c r="F2" s="316" t="str">
        <f>CONCATENATE("(Only the actual budget year for ",K1-2," is to be shown)")</f>
        <v>(Only the actual budget year for 2010 is to be shown)</v>
      </c>
      <c r="G2" s="99"/>
      <c r="H2" s="99"/>
      <c r="I2" s="99"/>
      <c r="J2" s="99"/>
      <c r="K2" s="99"/>
    </row>
    <row r="3" spans="1:11" ht="15.75">
      <c r="A3" s="99" t="s">
        <v>18</v>
      </c>
      <c r="B3" s="99"/>
      <c r="C3" s="99"/>
      <c r="D3" s="99"/>
      <c r="E3" s="99"/>
      <c r="F3" s="314"/>
      <c r="G3" s="99"/>
      <c r="H3" s="99"/>
      <c r="I3" s="99"/>
      <c r="J3" s="99"/>
      <c r="K3" s="99"/>
    </row>
    <row r="4" spans="1:11" ht="15.75">
      <c r="A4" s="99" t="s">
        <v>10</v>
      </c>
      <c r="B4" s="99"/>
      <c r="C4" s="99" t="s">
        <v>11</v>
      </c>
      <c r="D4" s="99"/>
      <c r="E4" s="99" t="s">
        <v>12</v>
      </c>
      <c r="F4" s="314"/>
      <c r="G4" s="99" t="s">
        <v>13</v>
      </c>
      <c r="H4" s="99"/>
      <c r="I4" s="99" t="s">
        <v>14</v>
      </c>
      <c r="J4" s="99"/>
      <c r="K4" s="99"/>
    </row>
    <row r="5" spans="1:11" s="56" customFormat="1" ht="31.5" customHeight="1">
      <c r="A5" s="507" t="str">
        <f>IF(inputPrYr!B68&gt;" ",(inputPrYr!B68)," ")</f>
        <v>Capital Improvement Reserve</v>
      </c>
      <c r="B5" s="508"/>
      <c r="C5" s="507" t="str">
        <f>IF(inputPrYr!B69&gt;" ",(inputPrYr!B69)," ")</f>
        <v>Equipment Reserve</v>
      </c>
      <c r="D5" s="508"/>
      <c r="E5" s="507" t="str">
        <f>IF(inputPrYr!B70&gt;" ",(inputPrYr!B70)," ")</f>
        <v>Retainage Contracts</v>
      </c>
      <c r="F5" s="508"/>
      <c r="G5" s="507" t="str">
        <f>IF(inputPrYr!B71&gt;" ",(inputPrYr!B71)," ")</f>
        <v>Deeds Technology</v>
      </c>
      <c r="H5" s="508"/>
      <c r="I5" s="507" t="str">
        <f>IF(inputPrYr!B72&gt;" ",(inputPrYr!B72)," ")</f>
        <v>Concealed Carry Handgun</v>
      </c>
      <c r="J5" s="508"/>
      <c r="K5" s="447"/>
    </row>
    <row r="6" spans="1:11" ht="15.75">
      <c r="A6" s="319" t="s">
        <v>15</v>
      </c>
      <c r="B6" s="320"/>
      <c r="C6" s="321" t="s">
        <v>15</v>
      </c>
      <c r="D6" s="322"/>
      <c r="E6" s="321" t="s">
        <v>15</v>
      </c>
      <c r="F6" s="317"/>
      <c r="G6" s="321" t="s">
        <v>15</v>
      </c>
      <c r="H6" s="323"/>
      <c r="I6" s="321" t="s">
        <v>15</v>
      </c>
      <c r="J6" s="99"/>
      <c r="K6" s="324" t="s">
        <v>50</v>
      </c>
    </row>
    <row r="7" spans="1:11" ht="15.75">
      <c r="A7" s="325" t="s">
        <v>44</v>
      </c>
      <c r="B7" s="440">
        <v>567348</v>
      </c>
      <c r="C7" s="326" t="s">
        <v>44</v>
      </c>
      <c r="D7" s="440">
        <v>535808</v>
      </c>
      <c r="E7" s="326" t="s">
        <v>44</v>
      </c>
      <c r="F7" s="440">
        <v>584</v>
      </c>
      <c r="G7" s="326" t="s">
        <v>44</v>
      </c>
      <c r="H7" s="440">
        <v>16364</v>
      </c>
      <c r="I7" s="326" t="s">
        <v>44</v>
      </c>
      <c r="J7" s="440">
        <v>1920</v>
      </c>
      <c r="K7" s="443">
        <f>SUM(B7+D7+F7+H7+J7)</f>
        <v>1122024</v>
      </c>
    </row>
    <row r="8" spans="1:11" ht="15.75">
      <c r="A8" s="327" t="s">
        <v>206</v>
      </c>
      <c r="B8" s="441"/>
      <c r="C8" s="327" t="s">
        <v>206</v>
      </c>
      <c r="D8" s="441"/>
      <c r="E8" s="327" t="s">
        <v>206</v>
      </c>
      <c r="F8" s="444"/>
      <c r="G8" s="327" t="s">
        <v>206</v>
      </c>
      <c r="H8" s="444"/>
      <c r="I8" s="327" t="s">
        <v>206</v>
      </c>
      <c r="J8" s="444"/>
      <c r="K8" s="444"/>
    </row>
    <row r="9" spans="1:11" ht="15.75">
      <c r="A9" s="328" t="s">
        <v>415</v>
      </c>
      <c r="B9" s="440"/>
      <c r="C9" s="328" t="s">
        <v>415</v>
      </c>
      <c r="D9" s="440"/>
      <c r="E9" s="328" t="s">
        <v>415</v>
      </c>
      <c r="F9" s="440"/>
      <c r="G9" s="328" t="s">
        <v>415</v>
      </c>
      <c r="H9" s="440"/>
      <c r="I9" s="328" t="s">
        <v>415</v>
      </c>
      <c r="J9" s="440"/>
      <c r="K9" s="444"/>
    </row>
    <row r="10" spans="1:11" ht="15.75">
      <c r="A10" s="328" t="s">
        <v>416</v>
      </c>
      <c r="B10" s="440"/>
      <c r="C10" s="328" t="s">
        <v>416</v>
      </c>
      <c r="D10" s="440"/>
      <c r="E10" s="328" t="s">
        <v>416</v>
      </c>
      <c r="F10" s="440"/>
      <c r="G10" s="328" t="s">
        <v>416</v>
      </c>
      <c r="H10" s="440"/>
      <c r="I10" s="328" t="s">
        <v>416</v>
      </c>
      <c r="J10" s="440"/>
      <c r="K10" s="444"/>
    </row>
    <row r="11" spans="1:11" ht="15.75">
      <c r="A11" s="328" t="s">
        <v>417</v>
      </c>
      <c r="B11" s="440"/>
      <c r="C11" s="328" t="s">
        <v>417</v>
      </c>
      <c r="D11" s="440"/>
      <c r="E11" s="328" t="s">
        <v>417</v>
      </c>
      <c r="F11" s="440"/>
      <c r="G11" s="328" t="s">
        <v>417</v>
      </c>
      <c r="H11" s="440">
        <v>8197</v>
      </c>
      <c r="I11" s="328" t="s">
        <v>417</v>
      </c>
      <c r="J11" s="440">
        <v>200</v>
      </c>
      <c r="K11" s="444"/>
    </row>
    <row r="12" spans="1:11" ht="15.75">
      <c r="A12" s="328" t="s">
        <v>145</v>
      </c>
      <c r="B12" s="440"/>
      <c r="C12" s="328" t="s">
        <v>145</v>
      </c>
      <c r="D12" s="440"/>
      <c r="E12" s="328" t="s">
        <v>145</v>
      </c>
      <c r="F12" s="440">
        <v>5</v>
      </c>
      <c r="G12" s="328" t="s">
        <v>145</v>
      </c>
      <c r="H12" s="440">
        <v>45</v>
      </c>
      <c r="I12" s="328" t="s">
        <v>145</v>
      </c>
      <c r="J12" s="440"/>
      <c r="K12" s="444"/>
    </row>
    <row r="13" spans="1:11" ht="15.75">
      <c r="A13" s="330" t="s">
        <v>111</v>
      </c>
      <c r="B13" s="440">
        <v>15134</v>
      </c>
      <c r="C13" s="330" t="s">
        <v>111</v>
      </c>
      <c r="D13" s="440">
        <v>12001</v>
      </c>
      <c r="E13" s="330" t="s">
        <v>111</v>
      </c>
      <c r="F13" s="440">
        <v>1464</v>
      </c>
      <c r="G13" s="330" t="s">
        <v>111</v>
      </c>
      <c r="H13" s="440"/>
      <c r="I13" s="330" t="s">
        <v>111</v>
      </c>
      <c r="J13" s="440"/>
      <c r="K13" s="444"/>
    </row>
    <row r="14" spans="1:11" ht="15.75">
      <c r="A14" s="328" t="s">
        <v>418</v>
      </c>
      <c r="B14" s="440"/>
      <c r="C14" s="328" t="s">
        <v>418</v>
      </c>
      <c r="D14" s="440"/>
      <c r="E14" s="328" t="s">
        <v>418</v>
      </c>
      <c r="F14" s="440"/>
      <c r="G14" s="328" t="s">
        <v>418</v>
      </c>
      <c r="H14" s="440"/>
      <c r="I14" s="328" t="s">
        <v>418</v>
      </c>
      <c r="J14" s="440"/>
      <c r="K14" s="444"/>
    </row>
    <row r="15" spans="1:11" ht="15.75">
      <c r="A15" s="328" t="s">
        <v>421</v>
      </c>
      <c r="B15" s="440">
        <v>16000</v>
      </c>
      <c r="C15" s="329" t="s">
        <v>421</v>
      </c>
      <c r="D15" s="440">
        <v>10000</v>
      </c>
      <c r="E15" s="329"/>
      <c r="F15" s="440"/>
      <c r="G15" s="329"/>
      <c r="H15" s="440"/>
      <c r="I15" s="329"/>
      <c r="J15" s="440"/>
      <c r="K15" s="444"/>
    </row>
    <row r="16" spans="1:11" ht="15.75">
      <c r="A16" s="328" t="s">
        <v>423</v>
      </c>
      <c r="B16" s="440">
        <v>10000</v>
      </c>
      <c r="C16" s="328"/>
      <c r="D16" s="440"/>
      <c r="E16" s="328"/>
      <c r="F16" s="440"/>
      <c r="G16" s="329"/>
      <c r="H16" s="440"/>
      <c r="I16" s="328"/>
      <c r="J16" s="440"/>
      <c r="K16" s="444"/>
    </row>
    <row r="17" spans="1:11" ht="15.75">
      <c r="A17" s="327" t="s">
        <v>85</v>
      </c>
      <c r="B17" s="443">
        <f>SUM(B9:B16)</f>
        <v>41134</v>
      </c>
      <c r="C17" s="327" t="s">
        <v>85</v>
      </c>
      <c r="D17" s="443">
        <f>SUM(D9:D16)</f>
        <v>22001</v>
      </c>
      <c r="E17" s="327" t="s">
        <v>85</v>
      </c>
      <c r="F17" s="445">
        <f>SUM(F9:F16)</f>
        <v>1469</v>
      </c>
      <c r="G17" s="327" t="s">
        <v>85</v>
      </c>
      <c r="H17" s="443">
        <f>SUM(H9:H16)</f>
        <v>8242</v>
      </c>
      <c r="I17" s="327" t="s">
        <v>85</v>
      </c>
      <c r="J17" s="443">
        <f>SUM(J9:J16)</f>
        <v>200</v>
      </c>
      <c r="K17" s="443">
        <f>SUM(B17+D17+F17+H17+J17)</f>
        <v>73046</v>
      </c>
    </row>
    <row r="18" spans="1:11" ht="15.75">
      <c r="A18" s="327" t="s">
        <v>86</v>
      </c>
      <c r="B18" s="443">
        <f>SUM(B7+B17)</f>
        <v>608482</v>
      </c>
      <c r="C18" s="327" t="s">
        <v>86</v>
      </c>
      <c r="D18" s="443">
        <f>SUM(D7+D17)</f>
        <v>557809</v>
      </c>
      <c r="E18" s="327" t="s">
        <v>86</v>
      </c>
      <c r="F18" s="443">
        <f>SUM(F7+F17)</f>
        <v>2053</v>
      </c>
      <c r="G18" s="327" t="s">
        <v>86</v>
      </c>
      <c r="H18" s="443">
        <f>SUM(H7+H17)</f>
        <v>24606</v>
      </c>
      <c r="I18" s="327" t="s">
        <v>86</v>
      </c>
      <c r="J18" s="443">
        <f>SUM(J7+J17)</f>
        <v>2120</v>
      </c>
      <c r="K18" s="443">
        <f>SUM(B18+D18+F18+H18+J18)</f>
        <v>1195070</v>
      </c>
    </row>
    <row r="19" spans="1:11" ht="15.75">
      <c r="A19" s="327" t="s">
        <v>89</v>
      </c>
      <c r="B19" s="441"/>
      <c r="C19" s="327" t="s">
        <v>89</v>
      </c>
      <c r="D19" s="441"/>
      <c r="E19" s="327" t="s">
        <v>89</v>
      </c>
      <c r="F19" s="444"/>
      <c r="G19" s="327" t="s">
        <v>89</v>
      </c>
      <c r="H19" s="444"/>
      <c r="I19" s="327" t="s">
        <v>89</v>
      </c>
      <c r="J19" s="444"/>
      <c r="K19" s="444"/>
    </row>
    <row r="20" spans="1:11" ht="15.75">
      <c r="A20" s="328" t="s">
        <v>419</v>
      </c>
      <c r="B20" s="440"/>
      <c r="C20" s="328" t="s">
        <v>419</v>
      </c>
      <c r="D20" s="440"/>
      <c r="E20" s="328" t="s">
        <v>419</v>
      </c>
      <c r="F20" s="440"/>
      <c r="G20" s="328" t="s">
        <v>419</v>
      </c>
      <c r="H20" s="440"/>
      <c r="I20" s="328" t="s">
        <v>419</v>
      </c>
      <c r="J20" s="440"/>
      <c r="K20" s="444"/>
    </row>
    <row r="21" spans="1:11" ht="15.75">
      <c r="A21" s="328" t="s">
        <v>411</v>
      </c>
      <c r="B21" s="440"/>
      <c r="C21" s="328" t="s">
        <v>411</v>
      </c>
      <c r="D21" s="440"/>
      <c r="E21" s="328" t="s">
        <v>411</v>
      </c>
      <c r="F21" s="440"/>
      <c r="G21" s="328" t="s">
        <v>411</v>
      </c>
      <c r="H21" s="440"/>
      <c r="I21" s="328" t="s">
        <v>411</v>
      </c>
      <c r="J21" s="440"/>
      <c r="K21" s="444"/>
    </row>
    <row r="22" spans="1:11" ht="15.75">
      <c r="A22" s="328" t="s">
        <v>412</v>
      </c>
      <c r="B22" s="440"/>
      <c r="C22" s="328" t="s">
        <v>412</v>
      </c>
      <c r="D22" s="440"/>
      <c r="E22" s="328" t="s">
        <v>412</v>
      </c>
      <c r="F22" s="440">
        <v>1361</v>
      </c>
      <c r="G22" s="328" t="s">
        <v>412</v>
      </c>
      <c r="H22" s="440">
        <v>140</v>
      </c>
      <c r="I22" s="328" t="s">
        <v>412</v>
      </c>
      <c r="J22" s="440"/>
      <c r="K22" s="444"/>
    </row>
    <row r="23" spans="1:11" ht="15.75">
      <c r="A23" s="328" t="s">
        <v>413</v>
      </c>
      <c r="B23" s="440">
        <v>23295</v>
      </c>
      <c r="C23" s="328" t="s">
        <v>413</v>
      </c>
      <c r="D23" s="440">
        <v>72528</v>
      </c>
      <c r="E23" s="328" t="s">
        <v>413</v>
      </c>
      <c r="F23" s="440"/>
      <c r="G23" s="328" t="s">
        <v>413</v>
      </c>
      <c r="H23" s="440">
        <v>4910</v>
      </c>
      <c r="I23" s="328" t="s">
        <v>413</v>
      </c>
      <c r="J23" s="440"/>
      <c r="K23" s="444"/>
    </row>
    <row r="24" spans="1:11" ht="15.75">
      <c r="A24" s="328" t="s">
        <v>420</v>
      </c>
      <c r="B24" s="440"/>
      <c r="C24" s="328" t="s">
        <v>420</v>
      </c>
      <c r="D24" s="440"/>
      <c r="E24" s="328" t="s">
        <v>420</v>
      </c>
      <c r="F24" s="440"/>
      <c r="G24" s="328" t="s">
        <v>420</v>
      </c>
      <c r="H24" s="440"/>
      <c r="I24" s="328" t="s">
        <v>420</v>
      </c>
      <c r="J24" s="440"/>
      <c r="K24" s="444"/>
    </row>
    <row r="25" spans="1:11" ht="15.75">
      <c r="A25" s="328"/>
      <c r="B25" s="440"/>
      <c r="C25" s="329"/>
      <c r="D25" s="440"/>
      <c r="E25" s="329"/>
      <c r="F25" s="440"/>
      <c r="G25" s="329"/>
      <c r="H25" s="440"/>
      <c r="I25" s="329"/>
      <c r="J25" s="440"/>
      <c r="K25" s="444"/>
    </row>
    <row r="26" spans="1:11" ht="15.75">
      <c r="A26" s="328"/>
      <c r="B26" s="440"/>
      <c r="C26" s="329"/>
      <c r="D26" s="440"/>
      <c r="E26" s="329"/>
      <c r="F26" s="440"/>
      <c r="G26" s="329"/>
      <c r="H26" s="440"/>
      <c r="I26" s="329"/>
      <c r="J26" s="440"/>
      <c r="K26" s="444"/>
    </row>
    <row r="27" spans="1:11" ht="15.75">
      <c r="A27" s="328"/>
      <c r="B27" s="440"/>
      <c r="C27" s="328"/>
      <c r="D27" s="440"/>
      <c r="E27" s="328"/>
      <c r="F27" s="440"/>
      <c r="G27" s="329"/>
      <c r="H27" s="440"/>
      <c r="I27" s="329"/>
      <c r="J27" s="440"/>
      <c r="K27" s="444"/>
    </row>
    <row r="28" spans="1:11" ht="15.75">
      <c r="A28" s="327" t="s">
        <v>90</v>
      </c>
      <c r="B28" s="443">
        <f>SUM(B20:B27)</f>
        <v>23295</v>
      </c>
      <c r="C28" s="327" t="s">
        <v>90</v>
      </c>
      <c r="D28" s="443">
        <f>SUM(D20:D27)</f>
        <v>72528</v>
      </c>
      <c r="E28" s="327" t="s">
        <v>90</v>
      </c>
      <c r="F28" s="445">
        <f>SUM(F20:F27)</f>
        <v>1361</v>
      </c>
      <c r="G28" s="327" t="s">
        <v>90</v>
      </c>
      <c r="H28" s="445">
        <f>SUM(H20:H27)</f>
        <v>5050</v>
      </c>
      <c r="I28" s="327" t="s">
        <v>90</v>
      </c>
      <c r="J28" s="443">
        <f>SUM(J20:J27)</f>
        <v>0</v>
      </c>
      <c r="K28" s="443">
        <f>SUM(B28+D28+F28+H28+J28)</f>
        <v>102234</v>
      </c>
    </row>
    <row r="29" spans="1:12" ht="15.75">
      <c r="A29" s="327" t="s">
        <v>16</v>
      </c>
      <c r="B29" s="443">
        <f>B18-B28</f>
        <v>585187</v>
      </c>
      <c r="C29" s="327" t="s">
        <v>16</v>
      </c>
      <c r="D29" s="443">
        <f>D18-D28</f>
        <v>485281</v>
      </c>
      <c r="E29" s="327" t="s">
        <v>16</v>
      </c>
      <c r="F29" s="443">
        <f>F18-F28</f>
        <v>692</v>
      </c>
      <c r="G29" s="327" t="s">
        <v>16</v>
      </c>
      <c r="H29" s="443">
        <f>H18-H28</f>
        <v>19556</v>
      </c>
      <c r="I29" s="327" t="s">
        <v>16</v>
      </c>
      <c r="J29" s="443">
        <f>J18-J28</f>
        <v>2120</v>
      </c>
      <c r="K29" s="446">
        <f>SUM(B29+D29+F29+H29+J29)</f>
        <v>1092836</v>
      </c>
      <c r="L29" s="55" t="s">
        <v>31</v>
      </c>
    </row>
    <row r="30" spans="1:12" ht="15.75">
      <c r="A30" s="327"/>
      <c r="B30" s="358">
        <f>IF(B29&lt;0,"See Tab B","")</f>
      </c>
      <c r="C30" s="327"/>
      <c r="D30" s="358">
        <f>IF(D29&lt;0,"See Tab B","")</f>
      </c>
      <c r="E30" s="327"/>
      <c r="F30" s="358">
        <f>IF(F29&lt;0,"See Tab B","")</f>
      </c>
      <c r="G30" s="99"/>
      <c r="H30" s="358">
        <f>IF(H29&lt;0,"See Tab B","")</f>
      </c>
      <c r="I30" s="99"/>
      <c r="J30" s="358">
        <f>IF(J29&lt;0,"See Tab B","")</f>
      </c>
      <c r="K30" s="331">
        <f>SUM(K7+K17-K28)</f>
        <v>1092836</v>
      </c>
      <c r="L30" s="55" t="s">
        <v>31</v>
      </c>
    </row>
    <row r="31" spans="1:11" ht="15.75">
      <c r="A31" s="99"/>
      <c r="B31" s="332"/>
      <c r="C31" s="99"/>
      <c r="D31" s="314"/>
      <c r="E31" s="99"/>
      <c r="F31" s="99"/>
      <c r="G31" s="57" t="s">
        <v>32</v>
      </c>
      <c r="H31" s="57"/>
      <c r="I31" s="57"/>
      <c r="J31" s="57"/>
      <c r="K31" s="99"/>
    </row>
    <row r="32" spans="1:11" ht="15.75">
      <c r="A32" s="99"/>
      <c r="B32" s="332"/>
      <c r="C32" s="99"/>
      <c r="D32" s="99"/>
      <c r="E32" s="99"/>
      <c r="F32" s="99"/>
      <c r="G32" s="99"/>
      <c r="H32" s="99"/>
      <c r="I32" s="99"/>
      <c r="J32" s="99"/>
      <c r="K32" s="99"/>
    </row>
    <row r="33" spans="1:11" ht="15.75">
      <c r="A33" s="99"/>
      <c r="B33" s="332"/>
      <c r="C33" s="99"/>
      <c r="D33" s="99"/>
      <c r="E33" s="291" t="s">
        <v>112</v>
      </c>
      <c r="F33" s="308">
        <v>15</v>
      </c>
      <c r="G33" s="99"/>
      <c r="H33" s="99"/>
      <c r="I33" s="99"/>
      <c r="J33" s="99"/>
      <c r="K33" s="99"/>
    </row>
    <row r="34" ht="15.75">
      <c r="B34" s="333"/>
    </row>
    <row r="35" ht="15.75">
      <c r="B35" s="333"/>
    </row>
    <row r="36" ht="15.75">
      <c r="B36" s="333"/>
    </row>
    <row r="37" ht="15.75">
      <c r="B37" s="333"/>
    </row>
    <row r="38" ht="15.75">
      <c r="B38" s="333"/>
    </row>
    <row r="39" ht="15.75">
      <c r="B39" s="333"/>
    </row>
    <row r="40" ht="15.75">
      <c r="B40" s="333"/>
    </row>
    <row r="41" ht="15.75">
      <c r="B41" s="33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A1" sqref="A1"/>
    </sheetView>
  </sheetViews>
  <sheetFormatPr defaultColWidth="8.796875" defaultRowHeight="15"/>
  <cols>
    <col min="1" max="1" width="11.59765625" style="55" customWidth="1"/>
    <col min="2" max="2" width="7.3984375" style="55" customWidth="1"/>
    <col min="3" max="3" width="11.59765625" style="55" customWidth="1"/>
    <col min="4" max="4" width="7.3984375" style="55" customWidth="1"/>
    <col min="5" max="5" width="11.59765625" style="55" customWidth="1"/>
    <col min="6" max="6" width="7.3984375" style="55" customWidth="1"/>
    <col min="7" max="7" width="11.59765625" style="55" customWidth="1"/>
    <col min="8" max="8" width="7.3984375" style="55" customWidth="1"/>
    <col min="9" max="9" width="11.59765625" style="55" customWidth="1"/>
    <col min="10" max="16384" width="8.8984375" style="55" customWidth="1"/>
  </cols>
  <sheetData>
    <row r="1" spans="1:11" ht="15.75">
      <c r="A1" s="118" t="str">
        <f>inputPrYr!$C$2</f>
        <v>Edwards County</v>
      </c>
      <c r="B1" s="314"/>
      <c r="C1" s="99"/>
      <c r="D1" s="99"/>
      <c r="E1" s="99"/>
      <c r="F1" s="315" t="s">
        <v>19</v>
      </c>
      <c r="G1" s="99"/>
      <c r="H1" s="99"/>
      <c r="I1" s="99"/>
      <c r="J1" s="99"/>
      <c r="K1" s="99">
        <f>inputPrYr!$C$4</f>
        <v>2012</v>
      </c>
    </row>
    <row r="2" spans="1:11" ht="15.75">
      <c r="A2" s="99"/>
      <c r="B2" s="99"/>
      <c r="C2" s="99"/>
      <c r="D2" s="99"/>
      <c r="E2" s="99"/>
      <c r="F2" s="316" t="str">
        <f>CONCATENATE("(Only the actual budget year for ",K1-2," is to be shown)")</f>
        <v>(Only the actual budget year for 2010 is to be shown)</v>
      </c>
      <c r="G2" s="99"/>
      <c r="H2" s="99"/>
      <c r="I2" s="99"/>
      <c r="J2" s="99"/>
      <c r="K2" s="99"/>
    </row>
    <row r="3" spans="1:11" ht="15.75">
      <c r="A3" s="99" t="s">
        <v>20</v>
      </c>
      <c r="B3" s="99"/>
      <c r="C3" s="99"/>
      <c r="D3" s="99"/>
      <c r="E3" s="99"/>
      <c r="F3" s="314"/>
      <c r="G3" s="99"/>
      <c r="H3" s="99"/>
      <c r="I3" s="99"/>
      <c r="J3" s="99"/>
      <c r="K3" s="99"/>
    </row>
    <row r="4" spans="1:11" ht="15.75">
      <c r="A4" s="99" t="s">
        <v>10</v>
      </c>
      <c r="B4" s="99"/>
      <c r="C4" s="99" t="s">
        <v>11</v>
      </c>
      <c r="D4" s="99"/>
      <c r="E4" s="99" t="s">
        <v>12</v>
      </c>
      <c r="F4" s="314"/>
      <c r="G4" s="99" t="s">
        <v>13</v>
      </c>
      <c r="H4" s="99"/>
      <c r="I4" s="99" t="s">
        <v>14</v>
      </c>
      <c r="J4" s="99"/>
      <c r="K4" s="99"/>
    </row>
    <row r="5" spans="1:11" ht="31.5" customHeight="1">
      <c r="A5" s="509" t="str">
        <f>IF(inputPrYr!B74&gt;" ",(inputPrYr!B74)," ")</f>
        <v>Bioterrorism Grant</v>
      </c>
      <c r="B5" s="510"/>
      <c r="C5" s="509" t="str">
        <f>IF(inputPrYr!B75&gt;" ",(inputPrYr!B75)," ")</f>
        <v>Emergency Preparedness</v>
      </c>
      <c r="D5" s="510"/>
      <c r="E5" s="509" t="str">
        <f>IF(inputPrYr!B76&gt;" ",(inputPrYr!B76)," ")</f>
        <v>FEMA</v>
      </c>
      <c r="F5" s="510"/>
      <c r="G5" s="509" t="str">
        <f>IF(inputPrYr!B77&gt;" ",(inputPrYr!B77)," ")</f>
        <v>Offender Registration</v>
      </c>
      <c r="H5" s="510"/>
      <c r="I5" s="509" t="str">
        <f>IF(inputPrYr!B78&gt;" ",(inputPrYr!B78)," ")</f>
        <v>Prosecuting Training</v>
      </c>
      <c r="J5" s="510"/>
      <c r="K5" s="318"/>
    </row>
    <row r="6" spans="1:11" ht="15.75">
      <c r="A6" s="319" t="s">
        <v>15</v>
      </c>
      <c r="B6" s="320"/>
      <c r="C6" s="321" t="s">
        <v>15</v>
      </c>
      <c r="D6" s="322"/>
      <c r="E6" s="321" t="s">
        <v>15</v>
      </c>
      <c r="F6" s="317"/>
      <c r="G6" s="321" t="s">
        <v>15</v>
      </c>
      <c r="H6" s="323"/>
      <c r="I6" s="321" t="s">
        <v>15</v>
      </c>
      <c r="J6" s="99"/>
      <c r="K6" s="324" t="s">
        <v>50</v>
      </c>
    </row>
    <row r="7" spans="1:11" ht="15.75">
      <c r="A7" s="325" t="s">
        <v>44</v>
      </c>
      <c r="B7" s="440">
        <v>8863</v>
      </c>
      <c r="C7" s="326" t="s">
        <v>44</v>
      </c>
      <c r="D7" s="440">
        <v>11960</v>
      </c>
      <c r="E7" s="326" t="s">
        <v>44</v>
      </c>
      <c r="F7" s="440">
        <v>8681</v>
      </c>
      <c r="G7" s="326" t="s">
        <v>44</v>
      </c>
      <c r="H7" s="440">
        <v>860</v>
      </c>
      <c r="I7" s="326" t="s">
        <v>44</v>
      </c>
      <c r="J7" s="440">
        <v>336</v>
      </c>
      <c r="K7" s="443">
        <f>SUM(B7+D7+F7+H7+J7)</f>
        <v>30700</v>
      </c>
    </row>
    <row r="8" spans="1:11" ht="15.75">
      <c r="A8" s="327" t="s">
        <v>206</v>
      </c>
      <c r="B8" s="441"/>
      <c r="C8" s="327" t="s">
        <v>206</v>
      </c>
      <c r="D8" s="441"/>
      <c r="E8" s="327" t="s">
        <v>206</v>
      </c>
      <c r="F8" s="444"/>
      <c r="G8" s="327" t="s">
        <v>206</v>
      </c>
      <c r="H8" s="444"/>
      <c r="I8" s="327" t="s">
        <v>206</v>
      </c>
      <c r="J8" s="444"/>
      <c r="K8" s="444"/>
    </row>
    <row r="9" spans="1:11" ht="15.75">
      <c r="A9" s="328" t="s">
        <v>415</v>
      </c>
      <c r="B9" s="440">
        <v>7917</v>
      </c>
      <c r="C9" s="328" t="s">
        <v>415</v>
      </c>
      <c r="D9" s="440">
        <v>37252</v>
      </c>
      <c r="E9" s="328" t="s">
        <v>415</v>
      </c>
      <c r="F9" s="440"/>
      <c r="G9" s="328" t="s">
        <v>415</v>
      </c>
      <c r="H9" s="440"/>
      <c r="I9" s="328" t="s">
        <v>415</v>
      </c>
      <c r="J9" s="440"/>
      <c r="K9" s="444"/>
    </row>
    <row r="10" spans="1:11" ht="15.75">
      <c r="A10" s="328" t="s">
        <v>416</v>
      </c>
      <c r="B10" s="440"/>
      <c r="C10" s="328" t="s">
        <v>416</v>
      </c>
      <c r="D10" s="440"/>
      <c r="E10" s="328" t="s">
        <v>416</v>
      </c>
      <c r="F10" s="440"/>
      <c r="G10" s="328" t="s">
        <v>416</v>
      </c>
      <c r="H10" s="440"/>
      <c r="I10" s="328" t="s">
        <v>416</v>
      </c>
      <c r="J10" s="440"/>
      <c r="K10" s="444"/>
    </row>
    <row r="11" spans="1:11" ht="15.75">
      <c r="A11" s="328" t="s">
        <v>417</v>
      </c>
      <c r="B11" s="440"/>
      <c r="C11" s="328" t="s">
        <v>417</v>
      </c>
      <c r="D11" s="440"/>
      <c r="E11" s="328" t="s">
        <v>417</v>
      </c>
      <c r="F11" s="440"/>
      <c r="G11" s="328" t="s">
        <v>417</v>
      </c>
      <c r="H11" s="440">
        <v>560</v>
      </c>
      <c r="I11" s="328" t="s">
        <v>417</v>
      </c>
      <c r="J11" s="440">
        <v>589</v>
      </c>
      <c r="K11" s="444"/>
    </row>
    <row r="12" spans="1:11" ht="15.75">
      <c r="A12" s="328" t="s">
        <v>145</v>
      </c>
      <c r="B12" s="440"/>
      <c r="C12" s="328" t="s">
        <v>145</v>
      </c>
      <c r="D12" s="440"/>
      <c r="E12" s="328" t="s">
        <v>145</v>
      </c>
      <c r="F12" s="440"/>
      <c r="G12" s="328" t="s">
        <v>145</v>
      </c>
      <c r="H12" s="440"/>
      <c r="I12" s="328" t="s">
        <v>145</v>
      </c>
      <c r="J12" s="440"/>
      <c r="K12" s="444"/>
    </row>
    <row r="13" spans="1:11" ht="15.75">
      <c r="A13" s="330" t="s">
        <v>111</v>
      </c>
      <c r="B13" s="440"/>
      <c r="C13" s="330" t="s">
        <v>111</v>
      </c>
      <c r="D13" s="440"/>
      <c r="E13" s="330" t="s">
        <v>111</v>
      </c>
      <c r="F13" s="440"/>
      <c r="G13" s="330" t="s">
        <v>111</v>
      </c>
      <c r="H13" s="440"/>
      <c r="I13" s="330" t="s">
        <v>111</v>
      </c>
      <c r="J13" s="440"/>
      <c r="K13" s="444"/>
    </row>
    <row r="14" spans="1:11" ht="15.75">
      <c r="A14" s="328" t="s">
        <v>418</v>
      </c>
      <c r="B14" s="440"/>
      <c r="C14" s="328" t="s">
        <v>418</v>
      </c>
      <c r="D14" s="440"/>
      <c r="E14" s="328" t="s">
        <v>418</v>
      </c>
      <c r="F14" s="440"/>
      <c r="G14" s="328" t="s">
        <v>418</v>
      </c>
      <c r="H14" s="440"/>
      <c r="I14" s="328" t="s">
        <v>418</v>
      </c>
      <c r="J14" s="440"/>
      <c r="K14" s="444"/>
    </row>
    <row r="15" spans="1:11" ht="15.75">
      <c r="A15" s="328"/>
      <c r="B15" s="440"/>
      <c r="C15" s="329"/>
      <c r="D15" s="440"/>
      <c r="E15" s="329"/>
      <c r="F15" s="440"/>
      <c r="G15" s="329"/>
      <c r="H15" s="440"/>
      <c r="I15" s="329"/>
      <c r="J15" s="440"/>
      <c r="K15" s="444"/>
    </row>
    <row r="16" spans="1:11" ht="15.75">
      <c r="A16" s="328"/>
      <c r="B16" s="440"/>
      <c r="C16" s="328"/>
      <c r="D16" s="440"/>
      <c r="E16" s="328"/>
      <c r="F16" s="440"/>
      <c r="G16" s="329"/>
      <c r="H16" s="440"/>
      <c r="I16" s="328"/>
      <c r="J16" s="440"/>
      <c r="K16" s="444"/>
    </row>
    <row r="17" spans="1:11" ht="15.75">
      <c r="A17" s="327" t="s">
        <v>85</v>
      </c>
      <c r="B17" s="443">
        <f>SUM(B9:B16)</f>
        <v>7917</v>
      </c>
      <c r="C17" s="327" t="s">
        <v>85</v>
      </c>
      <c r="D17" s="443">
        <f>SUM(D9:D16)</f>
        <v>37252</v>
      </c>
      <c r="E17" s="327" t="s">
        <v>85</v>
      </c>
      <c r="F17" s="445">
        <f>SUM(F9:F16)</f>
        <v>0</v>
      </c>
      <c r="G17" s="327" t="s">
        <v>85</v>
      </c>
      <c r="H17" s="443">
        <f>SUM(H9:H16)</f>
        <v>560</v>
      </c>
      <c r="I17" s="327" t="s">
        <v>85</v>
      </c>
      <c r="J17" s="443">
        <f>SUM(J9:J16)</f>
        <v>589</v>
      </c>
      <c r="K17" s="443">
        <f>SUM(B17+D17+F17+H17+J17)</f>
        <v>46318</v>
      </c>
    </row>
    <row r="18" spans="1:11" ht="15.75">
      <c r="A18" s="327" t="s">
        <v>86</v>
      </c>
      <c r="B18" s="443">
        <f>SUM(B7+B17)</f>
        <v>16780</v>
      </c>
      <c r="C18" s="327" t="s">
        <v>86</v>
      </c>
      <c r="D18" s="443">
        <f>SUM(D7+D17)</f>
        <v>49212</v>
      </c>
      <c r="E18" s="327" t="s">
        <v>86</v>
      </c>
      <c r="F18" s="443">
        <f>SUM(F7+F17)</f>
        <v>8681</v>
      </c>
      <c r="G18" s="327" t="s">
        <v>86</v>
      </c>
      <c r="H18" s="443">
        <f>SUM(H7+H17)</f>
        <v>1420</v>
      </c>
      <c r="I18" s="327" t="s">
        <v>86</v>
      </c>
      <c r="J18" s="443">
        <f>SUM(J7+J17)</f>
        <v>925</v>
      </c>
      <c r="K18" s="443">
        <f>SUM(B18+D18+F18+H18+J18)</f>
        <v>77018</v>
      </c>
    </row>
    <row r="19" spans="1:11" ht="15.75">
      <c r="A19" s="327" t="s">
        <v>89</v>
      </c>
      <c r="B19" s="441"/>
      <c r="C19" s="327" t="s">
        <v>89</v>
      </c>
      <c r="D19" s="441"/>
      <c r="E19" s="327" t="s">
        <v>89</v>
      </c>
      <c r="F19" s="444"/>
      <c r="G19" s="327" t="s">
        <v>89</v>
      </c>
      <c r="H19" s="444"/>
      <c r="I19" s="327" t="s">
        <v>89</v>
      </c>
      <c r="J19" s="444"/>
      <c r="K19" s="444"/>
    </row>
    <row r="20" spans="1:11" ht="15.75">
      <c r="A20" s="328" t="s">
        <v>419</v>
      </c>
      <c r="B20" s="440">
        <v>3301</v>
      </c>
      <c r="C20" s="328" t="s">
        <v>419</v>
      </c>
      <c r="D20" s="440"/>
      <c r="E20" s="328" t="s">
        <v>419</v>
      </c>
      <c r="F20" s="440"/>
      <c r="G20" s="328" t="s">
        <v>419</v>
      </c>
      <c r="H20" s="440"/>
      <c r="I20" s="328" t="s">
        <v>419</v>
      </c>
      <c r="J20" s="440"/>
      <c r="K20" s="444"/>
    </row>
    <row r="21" spans="1:11" ht="15.75">
      <c r="A21" s="328" t="s">
        <v>411</v>
      </c>
      <c r="B21" s="440">
        <v>309</v>
      </c>
      <c r="C21" s="328" t="s">
        <v>411</v>
      </c>
      <c r="D21" s="440"/>
      <c r="E21" s="328" t="s">
        <v>411</v>
      </c>
      <c r="F21" s="440">
        <v>8670</v>
      </c>
      <c r="G21" s="328" t="s">
        <v>411</v>
      </c>
      <c r="H21" s="440"/>
      <c r="I21" s="328" t="s">
        <v>411</v>
      </c>
      <c r="J21" s="440"/>
      <c r="K21" s="444"/>
    </row>
    <row r="22" spans="1:11" ht="15.75">
      <c r="A22" s="328" t="s">
        <v>412</v>
      </c>
      <c r="B22" s="440">
        <v>2110</v>
      </c>
      <c r="C22" s="328" t="s">
        <v>412</v>
      </c>
      <c r="D22" s="440">
        <v>25059</v>
      </c>
      <c r="E22" s="328" t="s">
        <v>412</v>
      </c>
      <c r="F22" s="440">
        <v>11</v>
      </c>
      <c r="G22" s="328" t="s">
        <v>412</v>
      </c>
      <c r="H22" s="440"/>
      <c r="I22" s="328" t="s">
        <v>412</v>
      </c>
      <c r="J22" s="440">
        <v>300</v>
      </c>
      <c r="K22" s="444"/>
    </row>
    <row r="23" spans="1:11" ht="15.75">
      <c r="A23" s="328" t="s">
        <v>413</v>
      </c>
      <c r="B23" s="440">
        <v>1499</v>
      </c>
      <c r="C23" s="328" t="s">
        <v>413</v>
      </c>
      <c r="D23" s="440">
        <v>905</v>
      </c>
      <c r="E23" s="328" t="s">
        <v>413</v>
      </c>
      <c r="F23" s="440"/>
      <c r="G23" s="328" t="s">
        <v>413</v>
      </c>
      <c r="H23" s="440"/>
      <c r="I23" s="328" t="s">
        <v>413</v>
      </c>
      <c r="J23" s="440"/>
      <c r="K23" s="444"/>
    </row>
    <row r="24" spans="1:11" ht="15.75">
      <c r="A24" s="328" t="s">
        <v>420</v>
      </c>
      <c r="B24" s="440"/>
      <c r="C24" s="328" t="s">
        <v>420</v>
      </c>
      <c r="D24" s="440"/>
      <c r="E24" s="328" t="s">
        <v>420</v>
      </c>
      <c r="F24" s="440"/>
      <c r="G24" s="328" t="s">
        <v>420</v>
      </c>
      <c r="H24" s="440"/>
      <c r="I24" s="328" t="s">
        <v>420</v>
      </c>
      <c r="J24" s="440"/>
      <c r="K24" s="444"/>
    </row>
    <row r="25" spans="1:11" ht="15.75">
      <c r="A25" s="328"/>
      <c r="B25" s="440"/>
      <c r="C25" s="329"/>
      <c r="D25" s="440"/>
      <c r="E25" s="329"/>
      <c r="F25" s="440"/>
      <c r="G25" s="329"/>
      <c r="H25" s="440"/>
      <c r="I25" s="329"/>
      <c r="J25" s="440"/>
      <c r="K25" s="444"/>
    </row>
    <row r="26" spans="1:11" ht="15.75">
      <c r="A26" s="328"/>
      <c r="B26" s="440"/>
      <c r="C26" s="329"/>
      <c r="D26" s="440"/>
      <c r="E26" s="329"/>
      <c r="F26" s="440"/>
      <c r="G26" s="329"/>
      <c r="H26" s="440"/>
      <c r="I26" s="329"/>
      <c r="J26" s="440"/>
      <c r="K26" s="444"/>
    </row>
    <row r="27" spans="1:11" ht="15.75">
      <c r="A27" s="328"/>
      <c r="B27" s="440"/>
      <c r="C27" s="328"/>
      <c r="D27" s="440"/>
      <c r="E27" s="328"/>
      <c r="F27" s="440"/>
      <c r="G27" s="329"/>
      <c r="H27" s="440"/>
      <c r="I27" s="329"/>
      <c r="J27" s="440"/>
      <c r="K27" s="444"/>
    </row>
    <row r="28" spans="1:11" ht="15.75">
      <c r="A28" s="327" t="s">
        <v>90</v>
      </c>
      <c r="B28" s="443">
        <f>SUM(B20:B27)</f>
        <v>7219</v>
      </c>
      <c r="C28" s="327" t="s">
        <v>90</v>
      </c>
      <c r="D28" s="443">
        <f>SUM(D20:D27)</f>
        <v>25964</v>
      </c>
      <c r="E28" s="327" t="s">
        <v>90</v>
      </c>
      <c r="F28" s="445">
        <f>SUM(F20:F27)</f>
        <v>8681</v>
      </c>
      <c r="G28" s="327" t="s">
        <v>90</v>
      </c>
      <c r="H28" s="445">
        <f>SUM(H20:H27)</f>
        <v>0</v>
      </c>
      <c r="I28" s="327" t="s">
        <v>90</v>
      </c>
      <c r="J28" s="443">
        <f>SUM(J20:J27)</f>
        <v>300</v>
      </c>
      <c r="K28" s="443">
        <f>SUM(B28+D28+F28+H28+J28)</f>
        <v>42164</v>
      </c>
    </row>
    <row r="29" spans="1:12" ht="15.75">
      <c r="A29" s="327" t="s">
        <v>16</v>
      </c>
      <c r="B29" s="443">
        <f>B18-B28</f>
        <v>9561</v>
      </c>
      <c r="C29" s="327" t="s">
        <v>16</v>
      </c>
      <c r="D29" s="443">
        <f>D18-D28</f>
        <v>23248</v>
      </c>
      <c r="E29" s="327" t="s">
        <v>16</v>
      </c>
      <c r="F29" s="443">
        <f>F18-F28</f>
        <v>0</v>
      </c>
      <c r="G29" s="327" t="s">
        <v>16</v>
      </c>
      <c r="H29" s="443">
        <f>H18-H28</f>
        <v>1420</v>
      </c>
      <c r="I29" s="327" t="s">
        <v>16</v>
      </c>
      <c r="J29" s="443">
        <f>J18-J28</f>
        <v>625</v>
      </c>
      <c r="K29" s="446">
        <f>SUM(B29+D29+F29+H29+J29)</f>
        <v>34854</v>
      </c>
      <c r="L29" s="55" t="s">
        <v>31</v>
      </c>
    </row>
    <row r="30" spans="1:12" ht="15.75">
      <c r="A30" s="327"/>
      <c r="B30" s="358">
        <f>IF(B29&lt;0,"See Tab B","")</f>
      </c>
      <c r="C30" s="327"/>
      <c r="D30" s="358">
        <f>IF(D29&lt;0,"See Tab B","")</f>
      </c>
      <c r="E30" s="327"/>
      <c r="F30" s="358">
        <f>IF(F29&lt;0,"See Tab B","")</f>
      </c>
      <c r="G30" s="99"/>
      <c r="H30" s="358">
        <f>IF(H29&lt;0,"See Tab B","")</f>
      </c>
      <c r="I30" s="99"/>
      <c r="J30" s="358">
        <f>IF(J29&lt;0,"See Tab B","")</f>
      </c>
      <c r="K30" s="331">
        <f>SUM(K7+K17-K28)</f>
        <v>34854</v>
      </c>
      <c r="L30" s="55" t="s">
        <v>31</v>
      </c>
    </row>
    <row r="31" spans="1:11" ht="15.75">
      <c r="A31" s="99"/>
      <c r="B31" s="332"/>
      <c r="C31" s="99"/>
      <c r="D31" s="314"/>
      <c r="E31" s="99"/>
      <c r="F31" s="99"/>
      <c r="G31" s="57" t="s">
        <v>32</v>
      </c>
      <c r="H31" s="57"/>
      <c r="I31" s="57"/>
      <c r="J31" s="57"/>
      <c r="K31" s="99"/>
    </row>
    <row r="32" spans="1:11" ht="15.75">
      <c r="A32" s="99"/>
      <c r="B32" s="332"/>
      <c r="C32" s="99"/>
      <c r="D32" s="99"/>
      <c r="E32" s="99"/>
      <c r="F32" s="99"/>
      <c r="G32" s="99"/>
      <c r="H32" s="99"/>
      <c r="I32" s="99"/>
      <c r="J32" s="99"/>
      <c r="K32" s="99"/>
    </row>
    <row r="33" spans="1:11" ht="15.75">
      <c r="A33" s="99"/>
      <c r="B33" s="332"/>
      <c r="C33" s="99"/>
      <c r="D33" s="99"/>
      <c r="E33" s="291" t="s">
        <v>112</v>
      </c>
      <c r="F33" s="308">
        <v>16</v>
      </c>
      <c r="G33" s="99"/>
      <c r="H33" s="99"/>
      <c r="I33" s="99"/>
      <c r="J33" s="99"/>
      <c r="K33" s="99"/>
    </row>
    <row r="34" ht="15.75">
      <c r="B34" s="333"/>
    </row>
    <row r="35" ht="15.75">
      <c r="B35" s="333"/>
    </row>
    <row r="36" ht="15.75">
      <c r="B36" s="333"/>
    </row>
    <row r="37" ht="15.75">
      <c r="B37" s="333"/>
    </row>
    <row r="38" ht="15.75">
      <c r="B38" s="333"/>
    </row>
    <row r="39" ht="15.75">
      <c r="B39" s="333"/>
    </row>
    <row r="40" ht="15.75">
      <c r="B40" s="333"/>
    </row>
    <row r="41" ht="15.75">
      <c r="B41" s="33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62" sqref="I62"/>
    </sheetView>
  </sheetViews>
  <sheetFormatPr defaultColWidth="8.796875" defaultRowHeight="15"/>
  <cols>
    <col min="1" max="1" width="23.8984375" style="55" customWidth="1"/>
    <col min="2" max="2" width="15.69921875" style="55" customWidth="1"/>
    <col min="3" max="3" width="9.3984375" style="55" customWidth="1"/>
    <col min="4" max="4" width="16.796875" style="55" customWidth="1"/>
    <col min="5" max="5" width="9.796875" style="55" customWidth="1"/>
    <col min="6" max="6" width="15.796875" style="55" customWidth="1"/>
    <col min="7" max="7" width="13.69921875" style="55" customWidth="1"/>
    <col min="8" max="8" width="9.796875" style="55" customWidth="1"/>
    <col min="9" max="9" width="8.8984375" style="55" customWidth="1"/>
    <col min="10" max="10" width="12.3984375" style="55" customWidth="1"/>
    <col min="11" max="11" width="12.296875" style="55" customWidth="1"/>
    <col min="12" max="12" width="10.59765625" style="55" customWidth="1"/>
    <col min="13" max="13" width="12.09765625" style="55" customWidth="1"/>
    <col min="14" max="16384" width="8.8984375" style="55" customWidth="1"/>
  </cols>
  <sheetData>
    <row r="1" spans="1:8" ht="15.75">
      <c r="A1" s="59"/>
      <c r="B1" s="59"/>
      <c r="C1" s="59"/>
      <c r="D1" s="59"/>
      <c r="E1" s="59"/>
      <c r="F1" s="59"/>
      <c r="G1" s="59"/>
      <c r="H1" s="256">
        <f>inputPrYr!C4</f>
        <v>2012</v>
      </c>
    </row>
    <row r="2" spans="1:9" ht="15.75">
      <c r="A2" s="460" t="s">
        <v>157</v>
      </c>
      <c r="B2" s="460"/>
      <c r="C2" s="460"/>
      <c r="D2" s="460"/>
      <c r="E2" s="460"/>
      <c r="F2" s="460"/>
      <c r="G2" s="460"/>
      <c r="H2" s="460"/>
      <c r="I2" s="334"/>
    </row>
    <row r="3" spans="1:8" ht="15.75">
      <c r="A3" s="59"/>
      <c r="B3" s="59"/>
      <c r="C3" s="59"/>
      <c r="D3" s="59"/>
      <c r="E3" s="59"/>
      <c r="F3" s="59"/>
      <c r="G3" s="59"/>
      <c r="H3" s="59"/>
    </row>
    <row r="4" spans="1:8" ht="15.75">
      <c r="A4" s="506" t="s">
        <v>187</v>
      </c>
      <c r="B4" s="506"/>
      <c r="C4" s="506"/>
      <c r="D4" s="506"/>
      <c r="E4" s="506"/>
      <c r="F4" s="506"/>
      <c r="G4" s="506"/>
      <c r="H4" s="506"/>
    </row>
    <row r="5" spans="1:8" ht="15.75">
      <c r="A5" s="518" t="str">
        <f>inputPrYr!C2</f>
        <v>Edwards County</v>
      </c>
      <c r="B5" s="518"/>
      <c r="C5" s="518"/>
      <c r="D5" s="518"/>
      <c r="E5" s="518"/>
      <c r="F5" s="518"/>
      <c r="G5" s="518"/>
      <c r="H5" s="518"/>
    </row>
    <row r="6" spans="1:8" ht="15.75">
      <c r="A6" s="519" t="str">
        <f>CONCATENATE("will meet on ",inputBudSum!B5," at ",inputBudSum!B7," at ",inputBudSum!B9," for the purpose of hearing and")</f>
        <v>will meet on August 29, 2011 at 10:00 a.m. at Edwards County Courthouse for the purpose of hearing and</v>
      </c>
      <c r="B6" s="519"/>
      <c r="C6" s="519"/>
      <c r="D6" s="519"/>
      <c r="E6" s="519"/>
      <c r="F6" s="519"/>
      <c r="G6" s="519"/>
      <c r="H6" s="519"/>
    </row>
    <row r="7" spans="1:8" ht="15.75">
      <c r="A7" s="506" t="s">
        <v>284</v>
      </c>
      <c r="B7" s="506"/>
      <c r="C7" s="506"/>
      <c r="D7" s="506"/>
      <c r="E7" s="506"/>
      <c r="F7" s="506"/>
      <c r="G7" s="506"/>
      <c r="H7" s="506"/>
    </row>
    <row r="8" spans="1:8" ht="15.75">
      <c r="A8" s="519" t="str">
        <f>CONCATENATE("Detailed budget information is available at ",inputBudSum!B12," and will be available at this hearing.")</f>
        <v>Detailed budget information is available at Edwards County Clerk's Office and will be available at this hearing.</v>
      </c>
      <c r="B8" s="519"/>
      <c r="C8" s="519"/>
      <c r="D8" s="519"/>
      <c r="E8" s="519"/>
      <c r="F8" s="519"/>
      <c r="G8" s="519"/>
      <c r="H8" s="519"/>
    </row>
    <row r="9" spans="1:8" ht="15.75">
      <c r="A9" s="66" t="s">
        <v>158</v>
      </c>
      <c r="B9" s="67"/>
      <c r="C9" s="67"/>
      <c r="D9" s="192"/>
      <c r="E9" s="67"/>
      <c r="F9" s="67"/>
      <c r="G9" s="67"/>
      <c r="H9" s="67"/>
    </row>
    <row r="10" spans="1:8" ht="15.75">
      <c r="A10" s="506" t="str">
        <f>CONCATENATE("Proposed Budget ",H1," Expenditures and Amount of ",H1-1," Ad Valorem Tax establish the maximum limits of the ",H1," budget.")</f>
        <v>Proposed Budget 2012 Expenditures and Amount of 2011 Ad Valorem Tax establish the maximum limits of the 2012 budget.</v>
      </c>
      <c r="B10" s="506"/>
      <c r="C10" s="506"/>
      <c r="D10" s="506"/>
      <c r="E10" s="506"/>
      <c r="F10" s="506"/>
      <c r="G10" s="506"/>
      <c r="H10" s="506"/>
    </row>
    <row r="11" spans="1:8" ht="15.75">
      <c r="A11" s="506" t="s">
        <v>211</v>
      </c>
      <c r="B11" s="506"/>
      <c r="C11" s="506"/>
      <c r="D11" s="506"/>
      <c r="E11" s="506"/>
      <c r="F11" s="506"/>
      <c r="G11" s="506"/>
      <c r="H11" s="506"/>
    </row>
    <row r="12" spans="1:9" ht="15.75">
      <c r="A12" s="59"/>
      <c r="B12" s="59"/>
      <c r="C12" s="59"/>
      <c r="D12" s="59"/>
      <c r="E12" s="59"/>
      <c r="F12" s="59"/>
      <c r="G12" s="59"/>
      <c r="H12" s="59"/>
      <c r="I12" s="117"/>
    </row>
    <row r="13" spans="1:8" ht="15.75">
      <c r="A13" s="59"/>
      <c r="B13" s="335" t="str">
        <f>CONCATENATE("Prior Year Actual for ",H1-2,"")</f>
        <v>Prior Year Actual for 2010</v>
      </c>
      <c r="C13" s="195"/>
      <c r="D13" s="336" t="str">
        <f>CONCATENATE("Current Year Estimate for ",H1-1,"")</f>
        <v>Current Year Estimate for 2011</v>
      </c>
      <c r="E13" s="195"/>
      <c r="F13" s="193" t="str">
        <f>CONCATENATE("Proposed Budget Year for ",H1,"")</f>
        <v>Proposed Budget Year for 2012</v>
      </c>
      <c r="G13" s="194"/>
      <c r="H13" s="195"/>
    </row>
    <row r="14" spans="1:8" ht="18.75" customHeight="1">
      <c r="A14" s="58"/>
      <c r="B14" s="292"/>
      <c r="C14" s="196" t="s">
        <v>115</v>
      </c>
      <c r="D14" s="196"/>
      <c r="E14" s="196" t="s">
        <v>115</v>
      </c>
      <c r="F14" s="414" t="s">
        <v>294</v>
      </c>
      <c r="G14" s="512" t="str">
        <f>CONCATENATE("Amount of ",H1-1,"       Ad Valorem Tax")</f>
        <v>Amount of 2011       Ad Valorem Tax</v>
      </c>
      <c r="H14" s="196" t="s">
        <v>116</v>
      </c>
    </row>
    <row r="15" spans="1:8" ht="15.75">
      <c r="A15" s="87" t="s">
        <v>117</v>
      </c>
      <c r="B15" s="233" t="s">
        <v>59</v>
      </c>
      <c r="C15" s="233" t="s">
        <v>118</v>
      </c>
      <c r="D15" s="233" t="s">
        <v>59</v>
      </c>
      <c r="E15" s="233" t="s">
        <v>118</v>
      </c>
      <c r="F15" s="415" t="s">
        <v>295</v>
      </c>
      <c r="G15" s="466"/>
      <c r="H15" s="233" t="s">
        <v>118</v>
      </c>
    </row>
    <row r="16" spans="1:8" ht="15.75">
      <c r="A16" s="101" t="str">
        <f>inputPrYr!B16</f>
        <v>General</v>
      </c>
      <c r="B16" s="101">
        <f>IF(general!$C$115&lt;&gt;0,general!$C$115,"  ")</f>
        <v>1714232</v>
      </c>
      <c r="C16" s="337">
        <f>IF(inputPrYr!D90&lt;&gt;0,inputPrYr!D90,"  ")</f>
        <v>28.284</v>
      </c>
      <c r="D16" s="101">
        <f>IF(general!$D$115&lt;&gt;0,general!$D$115,"  ")</f>
        <v>1738128</v>
      </c>
      <c r="E16" s="337">
        <f>IF(inputPrYr!F16&lt;&gt;0,inputPrYr!F16,"  ")</f>
        <v>28.422</v>
      </c>
      <c r="F16" s="101">
        <f>IF(general!$E$115&lt;&gt;0,general!$E$115,"  ")</f>
        <v>1937065</v>
      </c>
      <c r="G16" s="101">
        <f>IF(general!$E$122&lt;&gt;0,general!$E$122,"  ")</f>
        <v>1287578.3</v>
      </c>
      <c r="H16" s="337">
        <f>IF(general!E122&lt;&gt;0,ROUND(G16/$F$64*1000,3),"  ")</f>
        <v>29.614</v>
      </c>
    </row>
    <row r="17" spans="1:8" ht="15.75">
      <c r="A17" s="101" t="str">
        <f>inputPrYr!B18</f>
        <v>Road &amp; Bridge</v>
      </c>
      <c r="B17" s="101">
        <f>IF(road!$C$102&lt;&gt;0,road!$C$102,"  ")</f>
        <v>1022763</v>
      </c>
      <c r="C17" s="337">
        <f>IF(inputPrYr!D92&lt;&gt;0,inputPrYr!D92,"  ")</f>
        <v>15.215</v>
      </c>
      <c r="D17" s="101">
        <f>IF(road!$D$102&lt;&gt;0,road!$D$102,"  ")</f>
        <v>1055000</v>
      </c>
      <c r="E17" s="337">
        <f>IF(inputPrYr!F18&lt;&gt;0,inputPrYr!F18,"  ")</f>
        <v>17.543</v>
      </c>
      <c r="F17" s="101">
        <f>IF(road!$E$102&lt;&gt;0,road!$E$102,"  ")</f>
        <v>1141676</v>
      </c>
      <c r="G17" s="101">
        <f>IF(road!$E$109&lt;&gt;0,road!$E$109,"  ")</f>
        <v>794829.6</v>
      </c>
      <c r="H17" s="337">
        <f>IF(road!E109&lt;&gt;0,ROUND(G17/$F$64*1000,3),"  ")</f>
        <v>18.281</v>
      </c>
    </row>
    <row r="18" spans="1:8" ht="15.75">
      <c r="A18" s="101" t="str">
        <f>IF((inputPrYr!$B19&gt;" "),(inputPrYr!$B19),"  ")</f>
        <v>Noxious Weed</v>
      </c>
      <c r="B18" s="101">
        <f>IF('NoxWeed EmpBenefits'!$C$34&lt;&gt;0,'NoxWeed EmpBenefits'!$C$34,"  ")</f>
        <v>67592</v>
      </c>
      <c r="C18" s="337">
        <f>IF(inputPrYr!D93&lt;&gt;0,inputPrYr!D93,"  ")</f>
        <v>1.499</v>
      </c>
      <c r="D18" s="101">
        <f>IF('NoxWeed EmpBenefits'!$D$34&lt;&gt;0,'NoxWeed EmpBenefits'!$D$34,"  ")</f>
        <v>73900</v>
      </c>
      <c r="E18" s="337">
        <f>IF(inputPrYr!F19&lt;&gt;0,inputPrYr!F19,"  ")</f>
        <v>1.505</v>
      </c>
      <c r="F18" s="101">
        <f>IF('NoxWeed EmpBenefits'!$E$34&lt;&gt;0,'NoxWeed EmpBenefits'!$E$34,"  ")</f>
        <v>82536</v>
      </c>
      <c r="G18" s="101">
        <f>IF('NoxWeed EmpBenefits'!$E$41&lt;&gt;0,'NoxWeed EmpBenefits'!$E$41,"  ")</f>
        <v>65735</v>
      </c>
      <c r="H18" s="337">
        <f>IF('NoxWeed EmpBenefits'!E41&lt;&gt;0,ROUND(G18/$F$64*1000,3),"  ")</f>
        <v>1.512</v>
      </c>
    </row>
    <row r="19" spans="1:8" ht="15.75">
      <c r="A19" s="101" t="str">
        <f>IF((inputPrYr!$B20&gt;" "),(inputPrYr!$B20),"  ")</f>
        <v>Employee Benefits</v>
      </c>
      <c r="B19" s="101">
        <f>IF('NoxWeed EmpBenefits'!$C$75&lt;&gt;0,'NoxWeed EmpBenefits'!$C$75,"  ")</f>
        <v>746167</v>
      </c>
      <c r="C19" s="337">
        <f>IF(inputPrYr!D94&lt;&gt;0,inputPrYr!D94,"  ")</f>
        <v>14.791</v>
      </c>
      <c r="D19" s="101">
        <f>IF('NoxWeed EmpBenefits'!$D$75&lt;&gt;0,'NoxWeed EmpBenefits'!$D$75,"  ")</f>
        <v>827700</v>
      </c>
      <c r="E19" s="337">
        <f>IF(inputPrYr!F20&lt;&gt;0,inputPrYr!F20,"  ")</f>
        <v>15.934</v>
      </c>
      <c r="F19" s="101">
        <f>IF('NoxWeed EmpBenefits'!$E$75&lt;&gt;0,'NoxWeed EmpBenefits'!$E$75,"  ")</f>
        <v>902379</v>
      </c>
      <c r="G19" s="101">
        <f>IF('NoxWeed EmpBenefits'!$E$82&lt;&gt;0,'NoxWeed EmpBenefits'!$E$82,"  ")</f>
        <v>795209</v>
      </c>
      <c r="H19" s="337">
        <f>IF('NoxWeed EmpBenefits'!E82&lt;&gt;0,ROUND(G19/$F$64*1000,3),"  ")</f>
        <v>18.289</v>
      </c>
    </row>
    <row r="20" spans="1:8" ht="15.75">
      <c r="A20" s="101" t="str">
        <f>IF((inputPrYr!$B21&gt;" "),(inputPrYr!$B21),"  ")</f>
        <v>County Health</v>
      </c>
      <c r="B20" s="101">
        <f>IF('Health HospMaint'!$C$35&lt;&gt;0,'Health HospMaint'!$C$35,"  ")</f>
        <v>164327</v>
      </c>
      <c r="C20" s="337">
        <f>IF(inputPrYr!D95&lt;&gt;0,inputPrYr!D95,"  ")</f>
        <v>2.782</v>
      </c>
      <c r="D20" s="101">
        <f>IF('Health HospMaint'!$D$35&lt;&gt;0,'Health HospMaint'!$D$35,"  ")</f>
        <v>176425</v>
      </c>
      <c r="E20" s="337">
        <f>IF(inputPrYr!F21&lt;&gt;0,inputPrYr!F21,"  ")</f>
        <v>2.972</v>
      </c>
      <c r="F20" s="101">
        <f>IF('Health HospMaint'!$E$35&lt;&gt;0,'Health HospMaint'!$E$35,"  ")</f>
        <v>170690</v>
      </c>
      <c r="G20" s="101">
        <f>IF('Health HospMaint'!$E$42&lt;&gt;0,'Health HospMaint'!$E$42,"  ")</f>
        <v>130568</v>
      </c>
      <c r="H20" s="337">
        <f>IF('Health HospMaint'!$E$42&lt;&gt;0,ROUND(G20/$F$64*1000,3),"  ")</f>
        <v>3.003</v>
      </c>
    </row>
    <row r="21" spans="1:8" ht="15.75">
      <c r="A21" s="101" t="str">
        <f>IF((inputPrYr!$B22&gt;" "),(inputPrYr!$B22),"  ")</f>
        <v>Hospital Maintenance</v>
      </c>
      <c r="B21" s="101">
        <f>IF('Health HospMaint'!$C$72&lt;&gt;0,'Health HospMaint'!$C$72,"  ")</f>
        <v>236880</v>
      </c>
      <c r="C21" s="337">
        <f>IF(inputPrYr!D96&lt;&gt;0,inputPrYr!D96,"  ")</f>
        <v>4.617</v>
      </c>
      <c r="D21" s="101">
        <f>IF('Health HospMaint'!$D$72&lt;&gt;0,'Health HospMaint'!$D$72,"  ")</f>
        <v>230232</v>
      </c>
      <c r="E21" s="337">
        <f>IF(inputPrYr!F22&lt;&gt;0,inputPrYr!F22,"  ")</f>
        <v>4.95</v>
      </c>
      <c r="F21" s="101">
        <f>IF('Health HospMaint'!$E$72&lt;&gt;0,'Health HospMaint'!$E$72,"  ")</f>
        <v>231807</v>
      </c>
      <c r="G21" s="101">
        <f>IF('Health HospMaint'!$E$79&lt;&gt;0,'Health HospMaint'!$E$79,"  ")</f>
        <v>213066</v>
      </c>
      <c r="H21" s="337">
        <f>IF('Health HospMaint'!$E$79&lt;&gt;0,ROUND(G21/$F$64*1000,3),"  ")</f>
        <v>4.9</v>
      </c>
    </row>
    <row r="22" spans="1:8" ht="15.75" hidden="1">
      <c r="A22" s="101" t="str">
        <f>IF((inputPrYr!$B23&gt;" "),(inputPrYr!$B23),"  ")</f>
        <v>  </v>
      </c>
      <c r="B22" s="101"/>
      <c r="C22" s="337" t="str">
        <f>IF(inputPrYr!D97&lt;&gt;0,inputPrYr!D97,"  ")</f>
        <v>  </v>
      </c>
      <c r="D22" s="101"/>
      <c r="E22" s="337" t="str">
        <f>IF(inputPrYr!F23&lt;&gt;0,inputPrYr!F23,"  ")</f>
        <v>  </v>
      </c>
      <c r="F22" s="101"/>
      <c r="G22" s="101"/>
      <c r="H22" s="337"/>
    </row>
    <row r="23" spans="1:8" ht="15.75" hidden="1">
      <c r="A23" s="101" t="str">
        <f>IF((inputPrYr!$B24&gt;" "),(inputPrYr!$B24),"  ")</f>
        <v>  </v>
      </c>
      <c r="B23" s="101"/>
      <c r="C23" s="337" t="str">
        <f>IF(inputPrYr!D98&lt;&gt;0,inputPrYr!D98,"  ")</f>
        <v>  </v>
      </c>
      <c r="D23" s="101"/>
      <c r="E23" s="337" t="str">
        <f>IF(inputPrYr!F24&lt;&gt;0,inputPrYr!F24,"  ")</f>
        <v>  </v>
      </c>
      <c r="F23" s="101"/>
      <c r="G23" s="101"/>
      <c r="H23" s="337"/>
    </row>
    <row r="24" spans="1:8" ht="15.75" hidden="1">
      <c r="A24" s="101" t="str">
        <f>IF((inputPrYr!$B25&gt;" "),(inputPrYr!$B25),"  ")</f>
        <v>  </v>
      </c>
      <c r="B24" s="101"/>
      <c r="C24" s="337" t="str">
        <f>IF(inputPrYr!D99&lt;&gt;0,inputPrYr!D99,"  ")</f>
        <v>  </v>
      </c>
      <c r="D24" s="101"/>
      <c r="E24" s="337" t="str">
        <f>IF(inputPrYr!F25&lt;&gt;0,inputPrYr!F25,"  ")</f>
        <v>  </v>
      </c>
      <c r="F24" s="101"/>
      <c r="G24" s="101"/>
      <c r="H24" s="337"/>
    </row>
    <row r="25" spans="1:8" ht="15.75" hidden="1">
      <c r="A25" s="101" t="str">
        <f>IF((inputPrYr!$B26&gt;" "),(inputPrYr!$B26),"  ")</f>
        <v>  </v>
      </c>
      <c r="B25" s="101"/>
      <c r="C25" s="337" t="str">
        <f>IF(inputPrYr!D100&lt;&gt;0,inputPrYr!D100,"  ")</f>
        <v>  </v>
      </c>
      <c r="D25" s="101"/>
      <c r="E25" s="337" t="str">
        <f>IF(inputPrYr!F26&lt;&gt;0,inputPrYr!F26,"  ")</f>
        <v>  </v>
      </c>
      <c r="F25" s="101"/>
      <c r="G25" s="101"/>
      <c r="H25" s="337"/>
    </row>
    <row r="26" spans="1:8" ht="15.75" hidden="1">
      <c r="A26" s="101" t="str">
        <f>IF((inputPrYr!$B27&gt;" "),(inputPrYr!$B27),"  ")</f>
        <v>  </v>
      </c>
      <c r="B26" s="101"/>
      <c r="C26" s="337" t="str">
        <f>IF(inputPrYr!D101&lt;&gt;0,inputPrYr!D101,"  ")</f>
        <v>  </v>
      </c>
      <c r="D26" s="101"/>
      <c r="E26" s="337" t="str">
        <f>IF(inputPrYr!F27&lt;&gt;0,inputPrYr!F27,"  ")</f>
        <v>  </v>
      </c>
      <c r="F26" s="101"/>
      <c r="G26" s="101"/>
      <c r="H26" s="337"/>
    </row>
    <row r="27" spans="1:8" ht="15.75" hidden="1">
      <c r="A27" s="101" t="str">
        <f>IF((inputPrYr!$B28&gt;" "),(inputPrYr!$B28),"  ")</f>
        <v>  </v>
      </c>
      <c r="B27" s="101"/>
      <c r="C27" s="337" t="str">
        <f>IF(inputPrYr!D102&lt;&gt;0,inputPrYr!D102,"  ")</f>
        <v>  </v>
      </c>
      <c r="D27" s="101"/>
      <c r="E27" s="337" t="str">
        <f>IF(inputPrYr!F28&lt;&gt;0,inputPrYr!F28,"  ")</f>
        <v>  </v>
      </c>
      <c r="F27" s="101"/>
      <c r="G27" s="101"/>
      <c r="H27" s="337"/>
    </row>
    <row r="28" spans="1:8" ht="15.75" hidden="1">
      <c r="A28" s="101" t="str">
        <f>IF((inputPrYr!$B29&gt;" "),(inputPrYr!$B29),"  ")</f>
        <v>  </v>
      </c>
      <c r="B28" s="101"/>
      <c r="C28" s="337" t="str">
        <f>IF(inputPrYr!D103&lt;&gt;0,inputPrYr!D103,"  ")</f>
        <v>  </v>
      </c>
      <c r="D28" s="101"/>
      <c r="E28" s="337" t="str">
        <f>IF(inputPrYr!F29&lt;&gt;0,inputPrYr!F29,"  ")</f>
        <v>  </v>
      </c>
      <c r="F28" s="101"/>
      <c r="G28" s="101"/>
      <c r="H28" s="337"/>
    </row>
    <row r="29" spans="1:8" ht="15.75" hidden="1">
      <c r="A29" s="101" t="str">
        <f>IF((inputPrYr!$B30&gt;" "),(inputPrYr!$B30),"  ")</f>
        <v>  </v>
      </c>
      <c r="B29" s="101"/>
      <c r="C29" s="337" t="str">
        <f>IF(inputPrYr!D104&lt;&gt;0,inputPrYr!D104,"  ")</f>
        <v>  </v>
      </c>
      <c r="D29" s="101"/>
      <c r="E29" s="337" t="str">
        <f>IF(inputPrYr!F30&lt;&gt;0,inputPrYr!F30,"  ")</f>
        <v>  </v>
      </c>
      <c r="F29" s="101"/>
      <c r="G29" s="101"/>
      <c r="H29" s="337"/>
    </row>
    <row r="30" spans="1:8" ht="15.75" hidden="1">
      <c r="A30" s="101" t="str">
        <f>IF((inputPrYr!$B31&gt;" "),(inputPrYr!$B31),"  ")</f>
        <v>  </v>
      </c>
      <c r="B30" s="101"/>
      <c r="C30" s="337" t="str">
        <f>IF(inputPrYr!D105&lt;&gt;0,inputPrYr!D105,"  ")</f>
        <v>  </v>
      </c>
      <c r="D30" s="101"/>
      <c r="E30" s="337" t="str">
        <f>IF(inputPrYr!F31&lt;&gt;0,inputPrYr!F31,"  ")</f>
        <v>  </v>
      </c>
      <c r="F30" s="101"/>
      <c r="G30" s="101"/>
      <c r="H30" s="337"/>
    </row>
    <row r="31" spans="1:8" ht="15.75" hidden="1">
      <c r="A31" s="101" t="str">
        <f>IF((inputPrYr!$B32&gt;" "),(inputPrYr!$B32),"  ")</f>
        <v>  </v>
      </c>
      <c r="B31" s="101"/>
      <c r="C31" s="337" t="str">
        <f>IF(inputPrYr!D106&lt;&gt;0,inputPrYr!D106,"  ")</f>
        <v>  </v>
      </c>
      <c r="D31" s="101"/>
      <c r="E31" s="337" t="str">
        <f>IF(inputPrYr!F32&lt;&gt;0,inputPrYr!F32,"  ")</f>
        <v>  </v>
      </c>
      <c r="F31" s="101"/>
      <c r="G31" s="101"/>
      <c r="H31" s="337"/>
    </row>
    <row r="32" spans="1:8" ht="15.75" hidden="1">
      <c r="A32" s="101" t="str">
        <f>IF((inputPrYr!$B33&gt;" "),(inputPrYr!$B33),"  ")</f>
        <v>  </v>
      </c>
      <c r="B32" s="101"/>
      <c r="C32" s="337" t="str">
        <f>IF(inputPrYr!D107&lt;&gt;0,inputPrYr!D107,"  ")</f>
        <v>  </v>
      </c>
      <c r="D32" s="101"/>
      <c r="E32" s="337" t="str">
        <f>IF(inputPrYr!F33&lt;&gt;0,inputPrYr!F33,"  ")</f>
        <v>  </v>
      </c>
      <c r="F32" s="101"/>
      <c r="G32" s="101"/>
      <c r="H32" s="337"/>
    </row>
    <row r="33" spans="1:8" ht="15.75" hidden="1">
      <c r="A33" s="101" t="str">
        <f>IF((inputPrYr!$B34&gt;" "),(inputPrYr!$B34),"  ")</f>
        <v>  </v>
      </c>
      <c r="B33" s="101"/>
      <c r="C33" s="337" t="str">
        <f>IF(inputPrYr!D108&lt;&gt;0,inputPrYr!D108,"  ")</f>
        <v>  </v>
      </c>
      <c r="D33" s="101"/>
      <c r="E33" s="337" t="str">
        <f>IF(inputPrYr!F34&lt;&gt;0,inputPrYr!F34,"  ")</f>
        <v>  </v>
      </c>
      <c r="F33" s="101"/>
      <c r="G33" s="101"/>
      <c r="H33" s="337"/>
    </row>
    <row r="34" spans="1:8" ht="15.75" hidden="1">
      <c r="A34" s="101" t="str">
        <f>IF((inputPrYr!$B35&gt;" "),(inputPrYr!$B35),"  ")</f>
        <v>  </v>
      </c>
      <c r="B34" s="101"/>
      <c r="C34" s="337" t="str">
        <f>IF(inputPrYr!D109&lt;&gt;0,inputPrYr!D109,"  ")</f>
        <v>  </v>
      </c>
      <c r="D34" s="101"/>
      <c r="E34" s="337" t="str">
        <f>IF(inputPrYr!F35&lt;&gt;0,inputPrYr!F35,"  ")</f>
        <v>  </v>
      </c>
      <c r="F34" s="101"/>
      <c r="G34" s="101"/>
      <c r="H34" s="337"/>
    </row>
    <row r="35" spans="1:8" ht="15.75" hidden="1">
      <c r="A35" s="101" t="str">
        <f>IF((inputPrYr!$B36&gt;" "),(inputPrYr!$B36),"  ")</f>
        <v>  </v>
      </c>
      <c r="B35" s="101"/>
      <c r="C35" s="337" t="str">
        <f>IF(inputPrYr!D110&lt;&gt;0,inputPrYr!D110,"  ")</f>
        <v>  </v>
      </c>
      <c r="D35" s="101"/>
      <c r="E35" s="337" t="str">
        <f>IF(inputPrYr!F36&lt;&gt;0,inputPrYr!F36,"  ")</f>
        <v>  </v>
      </c>
      <c r="F35" s="101"/>
      <c r="G35" s="101"/>
      <c r="H35" s="337"/>
    </row>
    <row r="36" spans="1:8" ht="15.75" hidden="1">
      <c r="A36" s="101" t="str">
        <f>IF((inputPrYr!$B37&gt;" "),(inputPrYr!$B37),"  ")</f>
        <v>  </v>
      </c>
      <c r="B36" s="101"/>
      <c r="C36" s="337" t="str">
        <f>IF(inputPrYr!D111&lt;&gt;0,inputPrYr!D111,"  ")</f>
        <v>  </v>
      </c>
      <c r="D36" s="101"/>
      <c r="E36" s="337" t="str">
        <f>IF(inputPrYr!F37&lt;&gt;0,inputPrYr!F37,"  ")</f>
        <v>  </v>
      </c>
      <c r="F36" s="101"/>
      <c r="G36" s="101"/>
      <c r="H36" s="337"/>
    </row>
    <row r="37" spans="1:8" ht="15.75" hidden="1">
      <c r="A37" s="101" t="str">
        <f>IF((inputPrYr!$B38&gt;" "),(inputPrYr!$B38),"  ")</f>
        <v>  </v>
      </c>
      <c r="B37" s="101"/>
      <c r="C37" s="337" t="str">
        <f>IF(inputPrYr!D112&lt;&gt;0,inputPrYr!D112,"  ")</f>
        <v>  </v>
      </c>
      <c r="D37" s="101"/>
      <c r="E37" s="337" t="str">
        <f>IF(inputPrYr!F38&lt;&gt;0,inputPrYr!F38,"  ")</f>
        <v>  </v>
      </c>
      <c r="F37" s="101"/>
      <c r="G37" s="101"/>
      <c r="H37" s="337"/>
    </row>
    <row r="38" spans="1:8" ht="15.75" hidden="1">
      <c r="A38" s="101" t="str">
        <f>IF((inputPrYr!$B39&gt;" "),(inputPrYr!$B39),"  ")</f>
        <v>  </v>
      </c>
      <c r="B38" s="101"/>
      <c r="C38" s="337" t="str">
        <f>IF(inputPrYr!D113&lt;&gt;0,inputPrYr!D113,"  ")</f>
        <v>  </v>
      </c>
      <c r="D38" s="101"/>
      <c r="E38" s="337" t="str">
        <f>IF(inputPrYr!F39&lt;&gt;0,inputPrYr!F39,"  ")</f>
        <v>  </v>
      </c>
      <c r="F38" s="101"/>
      <c r="G38" s="101"/>
      <c r="H38" s="337"/>
    </row>
    <row r="39" spans="1:8" ht="15.75" hidden="1">
      <c r="A39" s="101" t="str">
        <f>IF((inputPrYr!$B40&gt;" "),(inputPrYr!$B40),"  ")</f>
        <v>  </v>
      </c>
      <c r="B39" s="101"/>
      <c r="C39" s="337" t="str">
        <f>IF(inputPrYr!D114&lt;&gt;0,inputPrYr!D114,"  ")</f>
        <v>  </v>
      </c>
      <c r="D39" s="101"/>
      <c r="E39" s="337" t="str">
        <f>IF(inputPrYr!F40&lt;&gt;0,inputPrYr!F40,"  ")</f>
        <v>  </v>
      </c>
      <c r="F39" s="101"/>
      <c r="G39" s="101"/>
      <c r="H39" s="337"/>
    </row>
    <row r="40" spans="1:8" ht="15.75">
      <c r="A40" s="101" t="str">
        <f>IF((inputPrYr!$B43&gt;" "),(inputPrYr!$B43),"  ")</f>
        <v>Special Drug and Alcohol</v>
      </c>
      <c r="B40" s="101">
        <f>IF('SpDrug SpParks'!$C$29&lt;&gt;0,'SpDrug SpParks'!$C$29,"  ")</f>
        <v>4800</v>
      </c>
      <c r="C40" s="82"/>
      <c r="D40" s="101">
        <f>IF('SpDrug SpParks'!$D$29&lt;&gt;0,'SpDrug SpParks'!$D$29,"  ")</f>
        <v>4854</v>
      </c>
      <c r="E40" s="82"/>
      <c r="F40" s="101">
        <f>IF('SpDrug SpParks'!$E$29&lt;&gt;0,'SpDrug SpParks'!$E$29,"  ")</f>
        <v>11000</v>
      </c>
      <c r="G40" s="101"/>
      <c r="H40" s="78"/>
    </row>
    <row r="41" spans="1:8" ht="15.75">
      <c r="A41" s="101" t="str">
        <f>IF((inputPrYr!$B44&gt;" "),(inputPrYr!$B44),"  ")</f>
        <v>Special Parks and Recreation</v>
      </c>
      <c r="B41" s="101" t="str">
        <f>IF('SpDrug SpParks'!$C$60&lt;&gt;0,'SpDrug SpParks'!$C$60,"  ")</f>
        <v>  </v>
      </c>
      <c r="C41" s="82"/>
      <c r="D41" s="101">
        <f>IF('SpDrug SpParks'!$D$60&lt;&gt;0,'SpDrug SpParks'!$D$60,"  ")</f>
        <v>746</v>
      </c>
      <c r="E41" s="82"/>
      <c r="F41" s="101">
        <f>IF('SpDrug SpParks'!$E$60&lt;&gt;0,'SpDrug SpParks'!$E$60,"  ")</f>
        <v>7000</v>
      </c>
      <c r="G41" s="101"/>
      <c r="H41" s="78"/>
    </row>
    <row r="42" spans="1:8" ht="15.75">
      <c r="A42" s="101" t="str">
        <f>IF((inputPrYr!$B45&gt;" "),(inputPrYr!$B45),"  ")</f>
        <v>Noxious Weed Capital Outlay</v>
      </c>
      <c r="B42" s="101">
        <f>IF('NoxWeedCO 911TeleTax'!$C$29&lt;&gt;0,'NoxWeedCO 911TeleTax'!$C$29,"  ")</f>
        <v>15155</v>
      </c>
      <c r="C42" s="82"/>
      <c r="D42" s="101" t="str">
        <f>IF('NoxWeedCO 911TeleTax'!$D$29&lt;&gt;0,'NoxWeedCO 911TeleTax'!$D$29,"  ")</f>
        <v>  </v>
      </c>
      <c r="E42" s="82"/>
      <c r="F42" s="101">
        <f>IF('NoxWeedCO 911TeleTax'!$E$29&lt;&gt;0,'NoxWeedCO 911TeleTax'!$E$29,"  ")</f>
        <v>19139</v>
      </c>
      <c r="G42" s="101"/>
      <c r="H42" s="78"/>
    </row>
    <row r="43" spans="1:8" ht="15.75">
      <c r="A43" s="101" t="str">
        <f>IF((inputPrYr!$B46&gt;" "),(inputPrYr!$B46),"  ")</f>
        <v>911 Emergency Telephone Tax</v>
      </c>
      <c r="B43" s="101">
        <f>IF('NoxWeedCO 911TeleTax'!$C$60&lt;&gt;0,'NoxWeedCO 911TeleTax'!$C$60,"  ")</f>
        <v>15192</v>
      </c>
      <c r="C43" s="82"/>
      <c r="D43" s="101">
        <f>IF('NoxWeedCO 911TeleTax'!$D$60&lt;&gt;0,'NoxWeedCO 911TeleTax'!$D$60,"  ")</f>
        <v>32000</v>
      </c>
      <c r="E43" s="82"/>
      <c r="F43" s="101">
        <f>IF('NoxWeedCO 911TeleTax'!$E$60&lt;&gt;0,'NoxWeedCO 911TeleTax'!$E$60,"  ")</f>
        <v>55000</v>
      </c>
      <c r="G43" s="101"/>
      <c r="H43" s="78"/>
    </row>
    <row r="44" spans="1:8" ht="15.75">
      <c r="A44" s="101" t="str">
        <f>IF((inputPrYr!$B47&gt;" "),(inputPrYr!$B47),"  ")</f>
        <v>911 Wireless Phone Tax</v>
      </c>
      <c r="B44" s="101">
        <f>IF('911Wireless SpMotorVeh'!$C$29&lt;&gt;0,'911Wireless SpMotorVeh'!$C$29,"  ")</f>
        <v>11336</v>
      </c>
      <c r="C44" s="82"/>
      <c r="D44" s="101">
        <f>IF('911Wireless SpMotorVeh'!$D$29&lt;&gt;0,'911Wireless SpMotorVeh'!$D$29,"  ")</f>
        <v>8000</v>
      </c>
      <c r="E44" s="82"/>
      <c r="F44" s="101">
        <f>IF('911Wireless SpMotorVeh'!$E$29&lt;&gt;0,'911Wireless SpMotorVeh'!$E$29,"  ")</f>
        <v>13000</v>
      </c>
      <c r="G44" s="101"/>
      <c r="H44" s="78"/>
    </row>
    <row r="45" spans="1:8" ht="15.75">
      <c r="A45" s="101" t="str">
        <f>IF((inputPrYr!$B48&gt;" "),(inputPrYr!$B48),"  ")</f>
        <v>Special Motor Vehicle</v>
      </c>
      <c r="B45" s="101">
        <f>IF('911Wireless SpMotorVeh'!$C$60&lt;&gt;0,'911Wireless SpMotorVeh'!$C$60,"  ")</f>
        <v>34725</v>
      </c>
      <c r="C45" s="82"/>
      <c r="D45" s="101">
        <f>IF('911Wireless SpMotorVeh'!$D$60&lt;&gt;0,'911Wireless SpMotorVeh'!$D$60,"  ")</f>
        <v>33895</v>
      </c>
      <c r="E45" s="82"/>
      <c r="F45" s="101">
        <f>IF('911Wireless SpMotorVeh'!$E$60&lt;&gt;0,'911Wireless SpMotorVeh'!$E$60,"  ")</f>
        <v>46460</v>
      </c>
      <c r="G45" s="101"/>
      <c r="H45" s="78"/>
    </row>
    <row r="46" spans="1:8" ht="15.75">
      <c r="A46" s="101" t="str">
        <f>IF((inputPrYr!$B49&gt;" "),(inputPrYr!$B49),"  ")</f>
        <v>Risk Management Reserve</v>
      </c>
      <c r="B46" s="101">
        <f>IF(RiskManagement!$C$29&lt;&gt;0,RiskManagement!$C$29,"  ")</f>
        <v>165</v>
      </c>
      <c r="C46" s="82"/>
      <c r="D46" s="101">
        <f>IF(RiskManagement!$D$29&lt;&gt;0,RiskManagement!$D$29,"  ")</f>
        <v>102</v>
      </c>
      <c r="E46" s="82"/>
      <c r="F46" s="101">
        <f>IF(RiskManagement!$E$29&lt;&gt;0,RiskManagement!$E$29,"  ")</f>
        <v>8000</v>
      </c>
      <c r="G46" s="101"/>
      <c r="H46" s="78"/>
    </row>
    <row r="47" spans="1:8" ht="15.75" hidden="1">
      <c r="A47" s="101" t="str">
        <f>IF((inputPrYr!$B50&gt;" "),(inputPrYr!$B50),"  ")</f>
        <v>  </v>
      </c>
      <c r="B47" s="101" t="str">
        <f>IF(RiskManagement!$C$60&lt;&gt;0,RiskManagement!$C$60,"  ")</f>
        <v>  </v>
      </c>
      <c r="C47" s="82"/>
      <c r="D47" s="101" t="str">
        <f>IF(RiskManagement!$D$60&lt;&gt;0,RiskManagement!$D$60,"  ")</f>
        <v>  </v>
      </c>
      <c r="E47" s="82"/>
      <c r="F47" s="101" t="str">
        <f>IF(RiskManagement!$E$60&lt;&gt;0,RiskManagement!$E$60,"  ")</f>
        <v>  </v>
      </c>
      <c r="G47" s="101"/>
      <c r="H47" s="78"/>
    </row>
    <row r="48" spans="1:8" ht="15.75" hidden="1">
      <c r="A48" s="101" t="str">
        <f>IF((inputPrYr!$B51&gt;" "),(inputPrYr!$B51),"  ")</f>
        <v>  </v>
      </c>
      <c r="B48" s="101"/>
      <c r="C48" s="82"/>
      <c r="D48" s="101"/>
      <c r="E48" s="82"/>
      <c r="F48" s="101"/>
      <c r="G48" s="101"/>
      <c r="H48" s="78"/>
    </row>
    <row r="49" spans="1:8" ht="15.75" hidden="1">
      <c r="A49" s="101" t="str">
        <f>IF((inputPrYr!$B52&gt;" "),(inputPrYr!$B52),"  ")</f>
        <v>  </v>
      </c>
      <c r="B49" s="101"/>
      <c r="C49" s="82"/>
      <c r="D49" s="101"/>
      <c r="E49" s="82"/>
      <c r="F49" s="101"/>
      <c r="G49" s="101"/>
      <c r="H49" s="78"/>
    </row>
    <row r="50" spans="1:8" ht="15.75" hidden="1">
      <c r="A50" s="101" t="str">
        <f>IF((inputPrYr!$B53&gt;" "),(inputPrYr!$B53),"  ")</f>
        <v>  </v>
      </c>
      <c r="B50" s="101"/>
      <c r="C50" s="82"/>
      <c r="D50" s="101"/>
      <c r="E50" s="82"/>
      <c r="F50" s="101"/>
      <c r="G50" s="101"/>
      <c r="H50" s="78"/>
    </row>
    <row r="51" spans="1:8" ht="15.75" hidden="1">
      <c r="A51" s="101" t="str">
        <f>IF((inputPrYr!$B54&gt;" "),(inputPrYr!$B54),"  ")</f>
        <v>  </v>
      </c>
      <c r="B51" s="101"/>
      <c r="C51" s="82"/>
      <c r="D51" s="101"/>
      <c r="E51" s="82"/>
      <c r="F51" s="101"/>
      <c r="G51" s="101"/>
      <c r="H51" s="78"/>
    </row>
    <row r="52" spans="1:8" ht="15.75" hidden="1">
      <c r="A52" s="101" t="str">
        <f>IF((inputPrYr!$B55&gt;" "),(inputPrYr!$B55),"  ")</f>
        <v>  </v>
      </c>
      <c r="B52" s="101"/>
      <c r="C52" s="82"/>
      <c r="D52" s="101"/>
      <c r="E52" s="82"/>
      <c r="F52" s="101"/>
      <c r="G52" s="101"/>
      <c r="H52" s="78"/>
    </row>
    <row r="53" spans="1:8" ht="15.75" hidden="1">
      <c r="A53" s="101" t="str">
        <f>IF((inputPrYr!$B56&gt;" "),(inputPrYr!$B56),"  ")</f>
        <v>  </v>
      </c>
      <c r="B53" s="101"/>
      <c r="C53" s="82"/>
      <c r="D53" s="101"/>
      <c r="E53" s="82"/>
      <c r="F53" s="101"/>
      <c r="G53" s="101"/>
      <c r="H53" s="78"/>
    </row>
    <row r="54" spans="1:8" ht="15.75" hidden="1">
      <c r="A54" s="101" t="str">
        <f>IF((inputPrYr!$B57&gt;" "),(inputPrYr!$B57),"  ")</f>
        <v>  </v>
      </c>
      <c r="B54" s="101"/>
      <c r="C54" s="82"/>
      <c r="D54" s="101"/>
      <c r="E54" s="82"/>
      <c r="F54" s="101"/>
      <c r="G54" s="101"/>
      <c r="H54" s="78"/>
    </row>
    <row r="55" spans="1:8" ht="15.75" hidden="1">
      <c r="A55" s="101" t="str">
        <f>IF((inputPrYr!$B58&gt;" "),(inputPrYr!$B58),"  ")</f>
        <v>  </v>
      </c>
      <c r="B55" s="101"/>
      <c r="C55" s="82"/>
      <c r="D55" s="101"/>
      <c r="E55" s="82"/>
      <c r="F55" s="101"/>
      <c r="G55" s="101"/>
      <c r="H55" s="78"/>
    </row>
    <row r="56" spans="1:8" ht="15.75">
      <c r="A56" s="166" t="str">
        <f>IF((inputPrYr!$B62&gt;"  "),(nonbudA!$A3),"  ")</f>
        <v>Non-Budgeted Funds-A</v>
      </c>
      <c r="B56" s="101">
        <f>IF(nonbudA!$K$28&lt;&gt;0,nonbudA!$K$28,"  ")</f>
        <v>456598</v>
      </c>
      <c r="C56" s="82"/>
      <c r="D56" s="101"/>
      <c r="E56" s="82"/>
      <c r="F56" s="101"/>
      <c r="G56" s="101"/>
      <c r="H56" s="78"/>
    </row>
    <row r="57" spans="1:13" ht="15.75">
      <c r="A57" s="166" t="str">
        <f>IF((inputPrYr!$B68&gt;"  "),(nonbudB!$A3),"  ")</f>
        <v>Non-Budgeted Funds-B</v>
      </c>
      <c r="B57" s="101">
        <f>IF(nonbudB!$K$28&lt;&gt;0,nonbudB!$K$28,"  ")</f>
        <v>102234</v>
      </c>
      <c r="C57" s="82"/>
      <c r="D57" s="101"/>
      <c r="E57" s="82"/>
      <c r="F57" s="101"/>
      <c r="G57" s="101"/>
      <c r="H57" s="78"/>
      <c r="J57" s="513" t="str">
        <f>CONCATENATE("Estimated Value Of One Mill For ",H1,"")</f>
        <v>Estimated Value Of One Mill For 2012</v>
      </c>
      <c r="K57" s="514"/>
      <c r="L57" s="514"/>
      <c r="M57" s="515"/>
    </row>
    <row r="58" spans="1:13" ht="15.75">
      <c r="A58" s="166" t="str">
        <f>IF((inputPrYr!$B74&gt;"  "),(nonbudC!$A3),"  ")</f>
        <v>Non-Budgeted Funds-C</v>
      </c>
      <c r="B58" s="101">
        <f>IF(nonbudC!$K$28&lt;&gt;0,nonbudC!$K$28,"  ")</f>
        <v>42164</v>
      </c>
      <c r="C58" s="82"/>
      <c r="D58" s="101"/>
      <c r="E58" s="82"/>
      <c r="F58" s="101"/>
      <c r="G58" s="101"/>
      <c r="H58" s="78"/>
      <c r="J58" s="416"/>
      <c r="K58" s="417"/>
      <c r="L58" s="417"/>
      <c r="M58" s="418"/>
    </row>
    <row r="59" spans="1:13" ht="16.5" thickBot="1">
      <c r="A59" s="166" t="str">
        <f>IF((inputPrYr!$B80&gt;"  "),(#REF!),"  ")</f>
        <v>  </v>
      </c>
      <c r="B59" s="410"/>
      <c r="C59" s="409"/>
      <c r="D59" s="410"/>
      <c r="E59" s="409"/>
      <c r="F59" s="410"/>
      <c r="G59" s="410"/>
      <c r="H59" s="408"/>
      <c r="J59" s="419" t="s">
        <v>302</v>
      </c>
      <c r="K59" s="420"/>
      <c r="L59" s="420"/>
      <c r="M59" s="421">
        <f>ROUND(F64/1000,0)</f>
        <v>43479</v>
      </c>
    </row>
    <row r="60" spans="1:8" ht="15.75">
      <c r="A60" s="77" t="s">
        <v>76</v>
      </c>
      <c r="B60" s="413">
        <f>SUM(B16:B59)</f>
        <v>4634330</v>
      </c>
      <c r="C60" s="411">
        <f>SUM(C16:C39)</f>
        <v>67.188</v>
      </c>
      <c r="D60" s="413">
        <f>SUM(D16:D59)</f>
        <v>4180982</v>
      </c>
      <c r="E60" s="411">
        <f>SUM(E16:E35)</f>
        <v>71.32600000000001</v>
      </c>
      <c r="F60" s="413">
        <f>SUM(F16:F59)</f>
        <v>4625752</v>
      </c>
      <c r="G60" s="413">
        <f>SUM(G16:G39)</f>
        <v>3286985.9</v>
      </c>
      <c r="H60" s="411">
        <f>SUM(H16:H39)</f>
        <v>75.599</v>
      </c>
    </row>
    <row r="61" spans="1:13" ht="15.75">
      <c r="A61" s="58" t="s">
        <v>119</v>
      </c>
      <c r="B61" s="338">
        <f>transfers!C29</f>
        <v>162935</v>
      </c>
      <c r="C61" s="339"/>
      <c r="D61" s="338">
        <f>transfers!D29</f>
        <v>53895</v>
      </c>
      <c r="E61" s="302"/>
      <c r="F61" s="338">
        <f>transfers!E29</f>
        <v>60000</v>
      </c>
      <c r="G61" s="59"/>
      <c r="H61" s="99"/>
      <c r="J61" s="513" t="str">
        <f>CONCATENATE("Want The Mill Rate The Same As For ",H1-1,"?")</f>
        <v>Want The Mill Rate The Same As For 2011?</v>
      </c>
      <c r="K61" s="514"/>
      <c r="L61" s="514"/>
      <c r="M61" s="515"/>
    </row>
    <row r="62" spans="1:13" ht="16.5" thickBot="1">
      <c r="A62" s="58" t="s">
        <v>120</v>
      </c>
      <c r="B62" s="341">
        <f>B60-B61</f>
        <v>4471395</v>
      </c>
      <c r="C62" s="59"/>
      <c r="D62" s="341">
        <f>D60-D61</f>
        <v>4127087</v>
      </c>
      <c r="E62" s="339"/>
      <c r="F62" s="341">
        <f>F60-F61</f>
        <v>4565752</v>
      </c>
      <c r="G62" s="59"/>
      <c r="H62" s="99"/>
      <c r="I62" s="301"/>
      <c r="J62" s="423"/>
      <c r="K62" s="417"/>
      <c r="L62" s="417"/>
      <c r="M62" s="424"/>
    </row>
    <row r="63" spans="1:13" ht="16.5" thickTop="1">
      <c r="A63" s="58" t="s">
        <v>121</v>
      </c>
      <c r="B63" s="413">
        <f>inputPrYr!F117</f>
        <v>3240273</v>
      </c>
      <c r="C63" s="59"/>
      <c r="D63" s="413">
        <f>inputPrYr!E41</f>
        <v>3101099</v>
      </c>
      <c r="E63" s="59"/>
      <c r="F63" s="412" t="s">
        <v>36</v>
      </c>
      <c r="G63" s="59"/>
      <c r="H63" s="99"/>
      <c r="J63" s="423" t="str">
        <f>CONCATENATE("",H1-1," Mill Rate Was:")</f>
        <v>2011 Mill Rate Was:</v>
      </c>
      <c r="K63" s="417"/>
      <c r="L63" s="417"/>
      <c r="M63" s="425">
        <f>E60</f>
        <v>71.32600000000001</v>
      </c>
    </row>
    <row r="64" spans="1:13" ht="15.75">
      <c r="A64" s="58" t="s">
        <v>122</v>
      </c>
      <c r="B64" s="101">
        <f>inputPrYr!F118</f>
        <v>48226294</v>
      </c>
      <c r="C64" s="59"/>
      <c r="D64" s="101">
        <f>inputPrYr!F85</f>
        <v>43477613</v>
      </c>
      <c r="E64" s="59"/>
      <c r="F64" s="101">
        <f>inputOth!E6</f>
        <v>43479093</v>
      </c>
      <c r="G64" s="59"/>
      <c r="H64" s="99"/>
      <c r="J64" s="426" t="str">
        <f>CONCATENATE("",H1," Tax Levy Fund Expenditures Must Be")</f>
        <v>2012 Tax Levy Fund Expenditures Must Be</v>
      </c>
      <c r="K64" s="427"/>
      <c r="L64" s="427"/>
      <c r="M64" s="424"/>
    </row>
    <row r="65" spans="1:13" ht="15.75">
      <c r="A65" s="59"/>
      <c r="B65" s="59"/>
      <c r="C65" s="59"/>
      <c r="D65" s="59"/>
      <c r="E65" s="59"/>
      <c r="F65" s="59"/>
      <c r="G65" s="59"/>
      <c r="H65" s="99"/>
      <c r="J65" s="426">
        <f>IF(M65&gt;0,"Increased By:","")</f>
      </c>
      <c r="K65" s="427"/>
      <c r="L65" s="427"/>
      <c r="M65" s="436">
        <f>IF(M72&lt;0,M72*-1,0)</f>
        <v>0</v>
      </c>
    </row>
    <row r="66" spans="1:13" ht="15.75">
      <c r="A66" s="58" t="s">
        <v>123</v>
      </c>
      <c r="B66" s="59"/>
      <c r="C66" s="59"/>
      <c r="D66" s="59"/>
      <c r="E66" s="59"/>
      <c r="F66" s="59"/>
      <c r="G66" s="59"/>
      <c r="H66" s="111"/>
      <c r="J66" s="437" t="str">
        <f>IF(M66&lt;0,"Reduced By:","")</f>
        <v>Reduced By:</v>
      </c>
      <c r="K66" s="438"/>
      <c r="L66" s="438"/>
      <c r="M66" s="439">
        <f>IF(M72&gt;0,M72*-1,0)</f>
        <v>-185795.8999999999</v>
      </c>
    </row>
    <row r="67" spans="1:13" ht="15.75">
      <c r="A67" s="58" t="s">
        <v>124</v>
      </c>
      <c r="B67" s="340">
        <f>H1-3</f>
        <v>2009</v>
      </c>
      <c r="C67" s="59"/>
      <c r="D67" s="340">
        <f>H1-2</f>
        <v>2010</v>
      </c>
      <c r="E67" s="59"/>
      <c r="F67" s="340">
        <f>H1-1</f>
        <v>2011</v>
      </c>
      <c r="G67" s="59"/>
      <c r="H67" s="111"/>
      <c r="J67" s="430"/>
      <c r="K67" s="430"/>
      <c r="L67" s="430"/>
      <c r="M67" s="430"/>
    </row>
    <row r="68" spans="1:13" ht="15.75">
      <c r="A68" s="58" t="s">
        <v>125</v>
      </c>
      <c r="B68" s="101">
        <f>inputPrYr!D122</f>
        <v>0</v>
      </c>
      <c r="C68" s="59"/>
      <c r="D68" s="101">
        <f>inputPrYr!E122</f>
        <v>0</v>
      </c>
      <c r="E68" s="59"/>
      <c r="F68" s="101">
        <f>debt!F19</f>
        <v>0</v>
      </c>
      <c r="G68" s="59"/>
      <c r="H68" s="111"/>
      <c r="J68" s="513" t="str">
        <f>CONCATENATE("Impact On Keeping The Same Mill Rate As For ",H1-1,"")</f>
        <v>Impact On Keeping The Same Mill Rate As For 2011</v>
      </c>
      <c r="K68" s="516"/>
      <c r="L68" s="516"/>
      <c r="M68" s="517"/>
    </row>
    <row r="69" spans="1:13" ht="15.75">
      <c r="A69" s="58" t="s">
        <v>126</v>
      </c>
      <c r="B69" s="101">
        <f>inputPrYr!D123</f>
        <v>0</v>
      </c>
      <c r="C69" s="59"/>
      <c r="D69" s="101">
        <f>inputPrYr!E123</f>
        <v>0</v>
      </c>
      <c r="E69" s="59"/>
      <c r="F69" s="101">
        <f>debt!F27</f>
        <v>0</v>
      </c>
      <c r="G69" s="59"/>
      <c r="H69" s="111"/>
      <c r="J69" s="423"/>
      <c r="K69" s="417"/>
      <c r="L69" s="417"/>
      <c r="M69" s="424"/>
    </row>
    <row r="70" spans="1:13" ht="15.75">
      <c r="A70" s="58" t="s">
        <v>111</v>
      </c>
      <c r="B70" s="101">
        <f>inputPrYr!D124</f>
        <v>0</v>
      </c>
      <c r="C70" s="59"/>
      <c r="D70" s="101">
        <f>inputPrYr!E124</f>
        <v>0</v>
      </c>
      <c r="E70" s="59"/>
      <c r="F70" s="101">
        <f>debt!F36</f>
        <v>0</v>
      </c>
      <c r="G70" s="59"/>
      <c r="H70" s="111"/>
      <c r="J70" s="423" t="str">
        <f>CONCATENATE("",H1," Ad Valorem Tax Revenue:")</f>
        <v>2012 Ad Valorem Tax Revenue:</v>
      </c>
      <c r="K70" s="417"/>
      <c r="L70" s="417"/>
      <c r="M70" s="418">
        <f>G60</f>
        <v>3286985.9</v>
      </c>
    </row>
    <row r="71" spans="1:13" ht="15.75">
      <c r="A71" s="58" t="s">
        <v>212</v>
      </c>
      <c r="B71" s="101">
        <f>inputPrYr!D125</f>
        <v>386665</v>
      </c>
      <c r="C71" s="59"/>
      <c r="D71" s="101">
        <f>inputPrYr!E125</f>
        <v>196116</v>
      </c>
      <c r="E71" s="59"/>
      <c r="F71" s="101">
        <f>lpform!F37</f>
        <v>26072</v>
      </c>
      <c r="G71" s="59"/>
      <c r="H71" s="111"/>
      <c r="J71" s="423" t="str">
        <f>CONCATENATE("",H1-1," Ad Valorem Tax Revenue:")</f>
        <v>2011 Ad Valorem Tax Revenue:</v>
      </c>
      <c r="K71" s="417"/>
      <c r="L71" s="417"/>
      <c r="M71" s="431">
        <f>ROUND(F64*M63/1000,0)</f>
        <v>3101190</v>
      </c>
    </row>
    <row r="72" spans="1:13" ht="16.5" thickBot="1">
      <c r="A72" s="58" t="s">
        <v>127</v>
      </c>
      <c r="B72" s="433">
        <f>SUM(B68:B71)</f>
        <v>386665</v>
      </c>
      <c r="C72" s="59"/>
      <c r="D72" s="433">
        <f>SUM(D68:D71)</f>
        <v>196116</v>
      </c>
      <c r="E72" s="59"/>
      <c r="F72" s="433">
        <f>SUM(F68:F71)</f>
        <v>26072</v>
      </c>
      <c r="G72" s="59"/>
      <c r="H72" s="111"/>
      <c r="J72" s="428" t="s">
        <v>303</v>
      </c>
      <c r="K72" s="429"/>
      <c r="L72" s="429"/>
      <c r="M72" s="421">
        <f>SUM(M70-M71)</f>
        <v>185795.8999999999</v>
      </c>
    </row>
    <row r="73" spans="1:13" ht="16.5" thickTop="1">
      <c r="A73" s="58" t="s">
        <v>128</v>
      </c>
      <c r="B73" s="59"/>
      <c r="C73" s="59"/>
      <c r="D73" s="59"/>
      <c r="E73" s="59"/>
      <c r="F73" s="59"/>
      <c r="G73" s="59"/>
      <c r="H73" s="111"/>
      <c r="J73" s="422"/>
      <c r="K73" s="422"/>
      <c r="L73" s="422"/>
      <c r="M73" s="430"/>
    </row>
    <row r="74" spans="1:13" ht="15.75">
      <c r="A74" s="59"/>
      <c r="B74" s="59"/>
      <c r="C74" s="59"/>
      <c r="D74" s="59"/>
      <c r="E74" s="59"/>
      <c r="F74" s="59"/>
      <c r="G74" s="59"/>
      <c r="H74" s="111"/>
      <c r="J74" s="513" t="s">
        <v>304</v>
      </c>
      <c r="K74" s="516"/>
      <c r="L74" s="516"/>
      <c r="M74" s="517"/>
    </row>
    <row r="75" spans="1:13" ht="15.75">
      <c r="A75" s="511"/>
      <c r="B75" s="511"/>
      <c r="C75" s="59"/>
      <c r="D75" s="59"/>
      <c r="E75" s="59"/>
      <c r="F75" s="59"/>
      <c r="G75" s="59"/>
      <c r="H75" s="111"/>
      <c r="J75" s="423"/>
      <c r="K75" s="417"/>
      <c r="L75" s="417"/>
      <c r="M75" s="424"/>
    </row>
    <row r="76" spans="1:13" ht="15.75">
      <c r="A76" s="192" t="s">
        <v>129</v>
      </c>
      <c r="B76" s="67"/>
      <c r="C76" s="59"/>
      <c r="D76" s="59"/>
      <c r="E76" s="59"/>
      <c r="F76" s="59"/>
      <c r="G76" s="59"/>
      <c r="H76" s="111"/>
      <c r="J76" s="423" t="str">
        <f>CONCATENATE("Current ",H1," Estimated Mill Rate:")</f>
        <v>Current 2012 Estimated Mill Rate:</v>
      </c>
      <c r="K76" s="417"/>
      <c r="L76" s="417"/>
      <c r="M76" s="425">
        <f>H60</f>
        <v>75.599</v>
      </c>
    </row>
    <row r="77" spans="1:13" ht="15.75">
      <c r="A77" s="59"/>
      <c r="B77" s="59"/>
      <c r="C77" s="59"/>
      <c r="D77" s="257" t="s">
        <v>87</v>
      </c>
      <c r="E77" s="342">
        <v>17</v>
      </c>
      <c r="F77" s="59"/>
      <c r="G77" s="59"/>
      <c r="H77" s="111"/>
      <c r="J77" s="423" t="str">
        <f>CONCATENATE("Desired ",H1," Mill Rate:")</f>
        <v>Desired 2012 Mill Rate:</v>
      </c>
      <c r="K77" s="417"/>
      <c r="L77" s="417"/>
      <c r="M77" s="432">
        <v>0</v>
      </c>
    </row>
    <row r="78" spans="1:13" ht="15.75">
      <c r="A78" s="117"/>
      <c r="D78" s="117"/>
      <c r="E78" s="117"/>
      <c r="F78" s="117"/>
      <c r="G78" s="117"/>
      <c r="H78" s="117"/>
      <c r="J78" s="423" t="str">
        <f>CONCATENATE("",H1," Ad Valorem Tax:")</f>
        <v>2012 Ad Valorem Tax:</v>
      </c>
      <c r="K78" s="417"/>
      <c r="L78" s="417"/>
      <c r="M78" s="431">
        <f>ROUND(F64*M77/1000,0)</f>
        <v>0</v>
      </c>
    </row>
    <row r="79" spans="10:13" ht="15.75">
      <c r="J79" s="428" t="str">
        <f>CONCATENATE("",H1," Tax Levy Fund Exp. Changed By:")</f>
        <v>2012 Tax Levy Fund Exp. Changed By:</v>
      </c>
      <c r="K79" s="429"/>
      <c r="L79" s="429"/>
      <c r="M79" s="421">
        <f>IF(M77=0,0,(M78-G60))</f>
        <v>0</v>
      </c>
    </row>
  </sheetData>
  <sheetProtection/>
  <mergeCells count="14">
    <mergeCell ref="A2:H2"/>
    <mergeCell ref="A4:H4"/>
    <mergeCell ref="A5:H5"/>
    <mergeCell ref="A6:H6"/>
    <mergeCell ref="A10:H10"/>
    <mergeCell ref="A11:H11"/>
    <mergeCell ref="A7:H7"/>
    <mergeCell ref="A8:H8"/>
    <mergeCell ref="A75:B75"/>
    <mergeCell ref="G14:G15"/>
    <mergeCell ref="J57:M57"/>
    <mergeCell ref="J61:M61"/>
    <mergeCell ref="J68:M68"/>
    <mergeCell ref="J74:M74"/>
  </mergeCells>
  <printOptions/>
  <pageMargins left="1.12" right="0.5" top="0.74" bottom="0.34" header="0.5" footer="0"/>
  <pageSetup blackAndWhite="1" fitToHeight="1" fitToWidth="1" horizontalDpi="600" verticalDpi="600" orientation="portrait" scale="59"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C52" sqref="C52"/>
    </sheetView>
  </sheetViews>
  <sheetFormatPr defaultColWidth="8.796875" defaultRowHeight="15"/>
  <cols>
    <col min="1" max="1" width="9.19921875" style="139" customWidth="1"/>
    <col min="2" max="2" width="18.59765625" style="139" customWidth="1"/>
    <col min="3" max="3" width="11.796875" style="139" customWidth="1"/>
    <col min="4" max="4" width="12.796875" style="139" customWidth="1"/>
    <col min="5" max="5" width="11.796875" style="139" customWidth="1"/>
    <col min="6" max="16384" width="8.8984375" style="139" customWidth="1"/>
  </cols>
  <sheetData>
    <row r="1" spans="1:6" ht="15.75">
      <c r="A1" s="199" t="str">
        <f>inputPrYr!C2</f>
        <v>Edwards County</v>
      </c>
      <c r="B1" s="59"/>
      <c r="C1" s="59"/>
      <c r="D1" s="59"/>
      <c r="E1" s="59"/>
      <c r="F1" s="295">
        <f>inputPrYr!C4</f>
        <v>2012</v>
      </c>
    </row>
    <row r="2" spans="1:6" ht="15.75">
      <c r="A2" s="59"/>
      <c r="B2" s="59"/>
      <c r="C2" s="59"/>
      <c r="D2" s="59"/>
      <c r="E2" s="59"/>
      <c r="F2" s="59"/>
    </row>
    <row r="3" spans="1:6" ht="15.75">
      <c r="A3" s="59"/>
      <c r="B3" s="487" t="str">
        <f>CONCATENATE("",F1," Neighborhood Revitalization Rebate")</f>
        <v>2012 Neighborhood Revitalization Rebate</v>
      </c>
      <c r="C3" s="521"/>
      <c r="D3" s="521"/>
      <c r="E3" s="521"/>
      <c r="F3" s="59"/>
    </row>
    <row r="4" spans="1:6" ht="15.75">
      <c r="A4" s="59"/>
      <c r="B4" s="59"/>
      <c r="C4" s="59"/>
      <c r="D4" s="59"/>
      <c r="E4" s="59"/>
      <c r="F4" s="59"/>
    </row>
    <row r="5" spans="1:6" ht="51" customHeight="1">
      <c r="A5" s="59"/>
      <c r="B5" s="343" t="str">
        <f>CONCATENATE("Budgeted Funds                       for ",F1,"")</f>
        <v>Budgeted Funds                       for 2012</v>
      </c>
      <c r="C5" s="343" t="str">
        <f>CONCATENATE("",F1-1," Ad Valorem before Rebate**")</f>
        <v>2011 Ad Valorem before Rebate**</v>
      </c>
      <c r="D5" s="344" t="str">
        <f>CONCATENATE("",F1-1," Mil Rate before Rebate")</f>
        <v>2011 Mil Rate before Rebate</v>
      </c>
      <c r="E5" s="345" t="str">
        <f>CONCATENATE("Estimate ",F1," NR Rebate")</f>
        <v>Estimate 2012 NR Rebate</v>
      </c>
      <c r="F5" s="111"/>
    </row>
    <row r="6" spans="1:6" ht="15.75">
      <c r="A6" s="59"/>
      <c r="B6" s="77" t="str">
        <f>inputPrYr!B16</f>
        <v>General</v>
      </c>
      <c r="C6" s="346">
        <v>1277964.11</v>
      </c>
      <c r="D6" s="347">
        <f>IF(C6&gt;0,C6/$D$36,"")</f>
        <v>29.392611984799224</v>
      </c>
      <c r="E6" s="249">
        <f aca="true" t="shared" si="0" ref="E6:E30">IF(C6&gt;0,ROUND(D6*$D$40,0),"")</f>
        <v>9519</v>
      </c>
      <c r="F6" s="111"/>
    </row>
    <row r="7" spans="1:6" ht="15.75">
      <c r="A7" s="59"/>
      <c r="B7" s="77" t="str">
        <f>inputPrYr!B17</f>
        <v>Debt Service</v>
      </c>
      <c r="C7" s="346"/>
      <c r="D7" s="347">
        <f aca="true" t="shared" si="1" ref="D7:D30">IF(C7&gt;0,C7/$D$36,"")</f>
      </c>
      <c r="E7" s="249">
        <f t="shared" si="0"/>
      </c>
      <c r="F7" s="111"/>
    </row>
    <row r="8" spans="1:6" ht="15.75">
      <c r="A8" s="59"/>
      <c r="B8" s="77" t="str">
        <f>inputPrYr!B18</f>
        <v>Road &amp; Bridge</v>
      </c>
      <c r="C8" s="346">
        <v>788894.84</v>
      </c>
      <c r="D8" s="347">
        <f t="shared" si="1"/>
        <v>18.144234057504374</v>
      </c>
      <c r="E8" s="249">
        <f t="shared" si="0"/>
        <v>5876</v>
      </c>
      <c r="F8" s="111"/>
    </row>
    <row r="9" spans="1:6" ht="15.75">
      <c r="A9" s="59"/>
      <c r="B9" s="77" t="str">
        <f>inputPrYr!B19</f>
        <v>Noxious Weed</v>
      </c>
      <c r="C9" s="346">
        <v>65239</v>
      </c>
      <c r="D9" s="347">
        <f t="shared" si="1"/>
        <v>1.5004682825375404</v>
      </c>
      <c r="E9" s="249">
        <f t="shared" si="0"/>
        <v>486</v>
      </c>
      <c r="F9" s="111"/>
    </row>
    <row r="10" spans="1:6" ht="15.75">
      <c r="A10" s="59"/>
      <c r="B10" s="77" t="str">
        <f>inputPrYr!B20</f>
        <v>Employee Benefits</v>
      </c>
      <c r="C10" s="346">
        <v>789272</v>
      </c>
      <c r="D10" s="347">
        <f t="shared" si="1"/>
        <v>18.15290857148285</v>
      </c>
      <c r="E10" s="249">
        <f t="shared" si="0"/>
        <v>5879</v>
      </c>
      <c r="F10" s="111"/>
    </row>
    <row r="11" spans="1:6" ht="15.75">
      <c r="A11" s="59"/>
      <c r="B11" s="77" t="str">
        <f>inputPrYr!B21</f>
        <v>County Health</v>
      </c>
      <c r="C11" s="346">
        <v>129603</v>
      </c>
      <c r="D11" s="347">
        <f t="shared" si="1"/>
        <v>2.9808119502400845</v>
      </c>
      <c r="E11" s="249">
        <f t="shared" si="0"/>
        <v>965</v>
      </c>
      <c r="F11" s="111"/>
    </row>
    <row r="12" spans="1:6" ht="15.75">
      <c r="A12" s="59"/>
      <c r="B12" s="77" t="str">
        <f>inputPrYr!B22</f>
        <v>Hospital Maintenance</v>
      </c>
      <c r="C12" s="346">
        <v>211475</v>
      </c>
      <c r="D12" s="347">
        <f t="shared" si="1"/>
        <v>4.863831911121053</v>
      </c>
      <c r="E12" s="249">
        <f t="shared" si="0"/>
        <v>1575</v>
      </c>
      <c r="F12" s="111"/>
    </row>
    <row r="13" spans="1:6" ht="15.75">
      <c r="A13" s="59"/>
      <c r="B13" s="77">
        <f>inputPrYr!B23</f>
        <v>0</v>
      </c>
      <c r="C13" s="348"/>
      <c r="D13" s="347">
        <f t="shared" si="1"/>
      </c>
      <c r="E13" s="249">
        <f t="shared" si="0"/>
      </c>
      <c r="F13" s="111"/>
    </row>
    <row r="14" spans="1:6" ht="15.75">
      <c r="A14" s="59"/>
      <c r="B14" s="77">
        <f>inputPrYr!B24</f>
        <v>0</v>
      </c>
      <c r="C14" s="348"/>
      <c r="D14" s="347">
        <f t="shared" si="1"/>
      </c>
      <c r="E14" s="249">
        <f t="shared" si="0"/>
      </c>
      <c r="F14" s="111"/>
    </row>
    <row r="15" spans="1:6" ht="15.75">
      <c r="A15" s="59"/>
      <c r="B15" s="77">
        <f>inputPrYr!B25</f>
        <v>0</v>
      </c>
      <c r="C15" s="348"/>
      <c r="D15" s="347">
        <f t="shared" si="1"/>
      </c>
      <c r="E15" s="249">
        <f t="shared" si="0"/>
      </c>
      <c r="F15" s="111"/>
    </row>
    <row r="16" spans="1:6" ht="15.75">
      <c r="A16" s="59"/>
      <c r="B16" s="77">
        <f>inputPrYr!B26</f>
        <v>0</v>
      </c>
      <c r="C16" s="348"/>
      <c r="D16" s="347">
        <f t="shared" si="1"/>
      </c>
      <c r="E16" s="249">
        <f t="shared" si="0"/>
      </c>
      <c r="F16" s="111"/>
    </row>
    <row r="17" spans="1:6" ht="15.75">
      <c r="A17" s="59"/>
      <c r="B17" s="77">
        <f>inputPrYr!B27</f>
        <v>0</v>
      </c>
      <c r="C17" s="348"/>
      <c r="D17" s="347">
        <f t="shared" si="1"/>
      </c>
      <c r="E17" s="249">
        <f t="shared" si="0"/>
      </c>
      <c r="F17" s="111"/>
    </row>
    <row r="18" spans="1:6" ht="15.75">
      <c r="A18" s="59"/>
      <c r="B18" s="77">
        <f>inputPrYr!B28</f>
        <v>0</v>
      </c>
      <c r="C18" s="348"/>
      <c r="D18" s="347">
        <f t="shared" si="1"/>
      </c>
      <c r="E18" s="249">
        <f t="shared" si="0"/>
      </c>
      <c r="F18" s="111"/>
    </row>
    <row r="19" spans="1:6" ht="15.75">
      <c r="A19" s="59"/>
      <c r="B19" s="77">
        <f>inputPrYr!B29</f>
        <v>0</v>
      </c>
      <c r="C19" s="348"/>
      <c r="D19" s="347">
        <f t="shared" si="1"/>
      </c>
      <c r="E19" s="249">
        <f t="shared" si="0"/>
      </c>
      <c r="F19" s="111"/>
    </row>
    <row r="20" spans="1:6" ht="15.75">
      <c r="A20" s="59"/>
      <c r="B20" s="77">
        <f>inputPrYr!B30</f>
        <v>0</v>
      </c>
      <c r="C20" s="348"/>
      <c r="D20" s="347">
        <f t="shared" si="1"/>
      </c>
      <c r="E20" s="249">
        <f t="shared" si="0"/>
      </c>
      <c r="F20" s="111"/>
    </row>
    <row r="21" spans="1:6" ht="15.75">
      <c r="A21" s="59"/>
      <c r="B21" s="77">
        <f>inputPrYr!B31</f>
        <v>0</v>
      </c>
      <c r="C21" s="348"/>
      <c r="D21" s="347">
        <f t="shared" si="1"/>
      </c>
      <c r="E21" s="249">
        <f t="shared" si="0"/>
      </c>
      <c r="F21" s="111"/>
    </row>
    <row r="22" spans="1:6" ht="15.75">
      <c r="A22" s="59"/>
      <c r="B22" s="77">
        <f>inputPrYr!B32</f>
        <v>0</v>
      </c>
      <c r="C22" s="348"/>
      <c r="D22" s="347">
        <f t="shared" si="1"/>
      </c>
      <c r="E22" s="249">
        <f t="shared" si="0"/>
      </c>
      <c r="F22" s="111"/>
    </row>
    <row r="23" spans="1:6" ht="15.75">
      <c r="A23" s="59"/>
      <c r="B23" s="77">
        <f>inputPrYr!B33</f>
        <v>0</v>
      </c>
      <c r="C23" s="348"/>
      <c r="D23" s="347">
        <f t="shared" si="1"/>
      </c>
      <c r="E23" s="249">
        <f t="shared" si="0"/>
      </c>
      <c r="F23" s="111"/>
    </row>
    <row r="24" spans="1:6" ht="15.75">
      <c r="A24" s="59"/>
      <c r="B24" s="77">
        <f>inputPrYr!B34</f>
        <v>0</v>
      </c>
      <c r="C24" s="348"/>
      <c r="D24" s="347">
        <f t="shared" si="1"/>
      </c>
      <c r="E24" s="249">
        <f t="shared" si="0"/>
      </c>
      <c r="F24" s="111"/>
    </row>
    <row r="25" spans="1:6" ht="15.75">
      <c r="A25" s="59"/>
      <c r="B25" s="77">
        <f>inputPrYr!B35</f>
        <v>0</v>
      </c>
      <c r="C25" s="348"/>
      <c r="D25" s="347">
        <f t="shared" si="1"/>
      </c>
      <c r="E25" s="249">
        <f t="shared" si="0"/>
      </c>
      <c r="F25" s="111"/>
    </row>
    <row r="26" spans="1:6" ht="15.75">
      <c r="A26" s="59"/>
      <c r="B26" s="77">
        <f>inputPrYr!B36</f>
        <v>0</v>
      </c>
      <c r="C26" s="348"/>
      <c r="D26" s="347">
        <f t="shared" si="1"/>
      </c>
      <c r="E26" s="249">
        <f t="shared" si="0"/>
      </c>
      <c r="F26" s="111"/>
    </row>
    <row r="27" spans="1:6" ht="15.75">
      <c r="A27" s="59"/>
      <c r="B27" s="77">
        <f>inputPrYr!B37</f>
        <v>0</v>
      </c>
      <c r="C27" s="348"/>
      <c r="D27" s="347">
        <f t="shared" si="1"/>
      </c>
      <c r="E27" s="249">
        <f t="shared" si="0"/>
      </c>
      <c r="F27" s="111"/>
    </row>
    <row r="28" spans="1:6" ht="15.75">
      <c r="A28" s="59"/>
      <c r="B28" s="77">
        <f>inputPrYr!B38</f>
        <v>0</v>
      </c>
      <c r="C28" s="348"/>
      <c r="D28" s="347">
        <f t="shared" si="1"/>
      </c>
      <c r="E28" s="249">
        <f t="shared" si="0"/>
      </c>
      <c r="F28" s="111"/>
    </row>
    <row r="29" spans="1:6" ht="15.75">
      <c r="A29" s="59"/>
      <c r="B29" s="77">
        <f>inputPrYr!B39</f>
        <v>0</v>
      </c>
      <c r="C29" s="348"/>
      <c r="D29" s="347">
        <f t="shared" si="1"/>
      </c>
      <c r="E29" s="249">
        <f t="shared" si="0"/>
      </c>
      <c r="F29" s="111"/>
    </row>
    <row r="30" spans="1:6" ht="15.75">
      <c r="A30" s="59"/>
      <c r="B30" s="77">
        <f>inputPrYr!B40</f>
        <v>0</v>
      </c>
      <c r="C30" s="348"/>
      <c r="D30" s="347">
        <f t="shared" si="1"/>
      </c>
      <c r="E30" s="249">
        <f t="shared" si="0"/>
      </c>
      <c r="F30" s="111"/>
    </row>
    <row r="31" spans="1:6" ht="16.5" thickBot="1">
      <c r="A31" s="59"/>
      <c r="B31" s="82" t="s">
        <v>71</v>
      </c>
      <c r="C31" s="349">
        <f>SUM(C6:C30)</f>
        <v>3262447.95</v>
      </c>
      <c r="D31" s="350">
        <f>SUM(D6:D30)</f>
        <v>75.03486675768512</v>
      </c>
      <c r="E31" s="349">
        <f>SUM(E6:E30)</f>
        <v>24300</v>
      </c>
      <c r="F31" s="111"/>
    </row>
    <row r="32" spans="1:6" ht="16.5" thickTop="1">
      <c r="A32" s="59"/>
      <c r="B32" s="59"/>
      <c r="C32" s="59"/>
      <c r="D32" s="59"/>
      <c r="E32" s="59"/>
      <c r="F32" s="111"/>
    </row>
    <row r="33" spans="1:6" ht="15.75">
      <c r="A33" s="59"/>
      <c r="B33" s="59"/>
      <c r="C33" s="59"/>
      <c r="D33" s="59"/>
      <c r="E33" s="59"/>
      <c r="F33" s="111"/>
    </row>
    <row r="34" spans="1:6" ht="15.75">
      <c r="A34" s="522" t="str">
        <f>CONCATENATE("",F1-1," July 1 Valuation:")</f>
        <v>2011 July 1 Valuation:</v>
      </c>
      <c r="B34" s="505"/>
      <c r="C34" s="522"/>
      <c r="D34" s="351">
        <f>inputOth!E6</f>
        <v>43479093</v>
      </c>
      <c r="E34" s="59"/>
      <c r="F34" s="111"/>
    </row>
    <row r="35" spans="1:6" ht="15.75">
      <c r="A35" s="59"/>
      <c r="B35" s="59"/>
      <c r="C35" s="59"/>
      <c r="D35" s="59"/>
      <c r="E35" s="59"/>
      <c r="F35" s="111"/>
    </row>
    <row r="36" spans="1:6" ht="15.75">
      <c r="A36" s="59"/>
      <c r="B36" s="522" t="s">
        <v>272</v>
      </c>
      <c r="C36" s="522"/>
      <c r="D36" s="352">
        <f>IF(D34&gt;0,(D34*0.001),"")</f>
        <v>43479.093</v>
      </c>
      <c r="E36" s="59"/>
      <c r="F36" s="111"/>
    </row>
    <row r="37" spans="1:6" ht="15.75">
      <c r="A37" s="59"/>
      <c r="B37" s="257"/>
      <c r="C37" s="257"/>
      <c r="D37" s="353"/>
      <c r="E37" s="59"/>
      <c r="F37" s="111"/>
    </row>
    <row r="38" spans="1:6" ht="15.75">
      <c r="A38" s="520" t="s">
        <v>273</v>
      </c>
      <c r="B38" s="480"/>
      <c r="C38" s="480"/>
      <c r="D38" s="354">
        <f>inputOth!E12</f>
        <v>323864</v>
      </c>
      <c r="E38" s="128"/>
      <c r="F38" s="128"/>
    </row>
    <row r="39" spans="1:6" ht="15">
      <c r="A39" s="128"/>
      <c r="B39" s="128"/>
      <c r="C39" s="128"/>
      <c r="D39" s="355"/>
      <c r="E39" s="128"/>
      <c r="F39" s="128"/>
    </row>
    <row r="40" spans="1:6" ht="15.75">
      <c r="A40" s="128"/>
      <c r="B40" s="520" t="s">
        <v>274</v>
      </c>
      <c r="C40" s="505"/>
      <c r="D40" s="356">
        <f>IF(D38&gt;0,(D38*0.001),"")</f>
        <v>323.86400000000003</v>
      </c>
      <c r="E40" s="128"/>
      <c r="F40" s="128"/>
    </row>
    <row r="41" spans="1:6" ht="15">
      <c r="A41" s="128"/>
      <c r="B41" s="128"/>
      <c r="C41" s="128"/>
      <c r="D41" s="128"/>
      <c r="E41" s="128"/>
      <c r="F41" s="128"/>
    </row>
    <row r="42" spans="1:6" ht="15">
      <c r="A42" s="128"/>
      <c r="B42" s="128"/>
      <c r="C42" s="128"/>
      <c r="D42" s="128"/>
      <c r="E42" s="128"/>
      <c r="F42" s="128"/>
    </row>
    <row r="43" spans="1:6" ht="15.75">
      <c r="A43" s="14" t="str">
        <f>CONCATENATE("**This information comes from the ",F1," Budget Summary page.  See instructions tab #11 for completing")</f>
        <v>**This information comes from the 2012 Budget Summary page.  See instructions tab #11 for completing</v>
      </c>
      <c r="B43" s="128"/>
      <c r="C43" s="128"/>
      <c r="D43" s="128"/>
      <c r="E43" s="128"/>
      <c r="F43" s="128"/>
    </row>
    <row r="44" spans="1:6" ht="15.75">
      <c r="A44" s="14" t="s">
        <v>285</v>
      </c>
      <c r="B44" s="128"/>
      <c r="C44" s="128"/>
      <c r="D44" s="128"/>
      <c r="E44" s="128"/>
      <c r="F44" s="128"/>
    </row>
    <row r="45" spans="1:6" ht="15.75">
      <c r="A45" s="14"/>
      <c r="B45" s="128"/>
      <c r="C45" s="128"/>
      <c r="D45" s="128"/>
      <c r="E45" s="128"/>
      <c r="F45" s="128"/>
    </row>
    <row r="46" spans="1:6" ht="15.75">
      <c r="A46" s="14"/>
      <c r="B46" s="128"/>
      <c r="C46" s="128"/>
      <c r="D46" s="128"/>
      <c r="E46" s="128"/>
      <c r="F46" s="128"/>
    </row>
    <row r="47" spans="1:6" ht="15.75">
      <c r="A47" s="14"/>
      <c r="B47" s="128"/>
      <c r="C47" s="128"/>
      <c r="D47" s="128"/>
      <c r="E47" s="128"/>
      <c r="F47" s="128"/>
    </row>
    <row r="48" spans="1:6" ht="15.75">
      <c r="A48" s="14"/>
      <c r="B48" s="128"/>
      <c r="C48" s="128"/>
      <c r="D48" s="128"/>
      <c r="E48" s="128"/>
      <c r="F48" s="128"/>
    </row>
    <row r="49" spans="1:6" ht="15">
      <c r="A49" s="128"/>
      <c r="B49" s="128"/>
      <c r="C49" s="128"/>
      <c r="D49" s="128"/>
      <c r="E49" s="128"/>
      <c r="F49" s="128"/>
    </row>
    <row r="50" spans="1:6" ht="15">
      <c r="A50" s="128"/>
      <c r="B50" s="128"/>
      <c r="C50" s="128"/>
      <c r="D50" s="128"/>
      <c r="E50" s="128"/>
      <c r="F50" s="128"/>
    </row>
    <row r="51" spans="1:6" ht="15.75">
      <c r="A51" s="128"/>
      <c r="B51" s="291" t="s">
        <v>112</v>
      </c>
      <c r="C51" s="308">
        <v>18</v>
      </c>
      <c r="D51" s="128"/>
      <c r="E51" s="128"/>
      <c r="F51" s="128"/>
    </row>
    <row r="52" spans="1:6" ht="15.75">
      <c r="A52" s="111"/>
      <c r="B52" s="59"/>
      <c r="C52" s="59"/>
      <c r="D52" s="357"/>
      <c r="E52" s="111"/>
      <c r="F52" s="111"/>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3" r:id="rId1"/>
  <headerFooter alignWithMargins="0">
    <oddHeader>&amp;RState of Kansas
County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1">
      <selection activeCell="A41" sqref="A41"/>
    </sheetView>
  </sheetViews>
  <sheetFormatPr defaultColWidth="9.796875" defaultRowHeight="15"/>
  <cols>
    <col min="1" max="16384" width="9.796875" style="21" customWidth="1"/>
  </cols>
  <sheetData>
    <row r="1" spans="1:8" ht="11.25" customHeight="1">
      <c r="A1" s="17"/>
      <c r="B1" s="18"/>
      <c r="C1" s="18"/>
      <c r="D1" s="18"/>
      <c r="E1" s="18"/>
      <c r="F1" s="18"/>
      <c r="G1" s="19"/>
      <c r="H1" s="20"/>
    </row>
    <row r="2" spans="1:8" ht="15.75" customHeight="1">
      <c r="A2" s="524" t="s">
        <v>219</v>
      </c>
      <c r="B2" s="524"/>
      <c r="C2" s="524"/>
      <c r="D2" s="524"/>
      <c r="E2" s="524"/>
      <c r="F2" s="524"/>
      <c r="G2" s="524"/>
      <c r="H2" s="524"/>
    </row>
    <row r="3" spans="1:8" ht="9" customHeight="1">
      <c r="A3" s="17"/>
      <c r="B3" s="34"/>
      <c r="C3" s="34"/>
      <c r="D3" s="34"/>
      <c r="E3" s="34"/>
      <c r="F3" s="34"/>
      <c r="G3" s="22"/>
      <c r="H3" s="35"/>
    </row>
    <row r="4" spans="1:8" ht="15.75" customHeight="1">
      <c r="A4" s="525" t="s">
        <v>220</v>
      </c>
      <c r="B4" s="525"/>
      <c r="C4" s="525"/>
      <c r="D4" s="525"/>
      <c r="E4" s="525"/>
      <c r="F4" s="525"/>
      <c r="G4" s="525"/>
      <c r="H4" s="525"/>
    </row>
    <row r="5" spans="1:8" ht="9" customHeight="1">
      <c r="A5" s="23"/>
      <c r="B5" s="34"/>
      <c r="C5" s="34"/>
      <c r="D5" s="34"/>
      <c r="E5" s="34"/>
      <c r="F5" s="34"/>
      <c r="G5" s="34"/>
      <c r="H5" s="35"/>
    </row>
    <row r="6" spans="1:8" ht="15.75" customHeight="1">
      <c r="A6" s="24" t="str">
        <f>CONCATENATE("A resolution expressing the property taxation policy of the Board of ",(inputPrYr!C2)," Commissioners")</f>
        <v>A resolution expressing the property taxation policy of the Board of Edwards County Commissioners</v>
      </c>
      <c r="B6" s="34"/>
      <c r="C6" s="34"/>
      <c r="D6" s="34"/>
      <c r="E6" s="34"/>
      <c r="F6" s="34"/>
      <c r="G6" s="34"/>
      <c r="H6" s="35"/>
    </row>
    <row r="7" spans="1:8" ht="15.75" customHeight="1">
      <c r="A7" s="24" t="str">
        <f>CONCATENATE("with respect to financing the ",inputPrYr!C4," annual budget for ",(inputPrYr!E2)," .")</f>
        <v>with respect to financing the 2012 annual budget for  .</v>
      </c>
      <c r="B7" s="34"/>
      <c r="C7" s="34"/>
      <c r="D7" s="34"/>
      <c r="E7" s="34"/>
      <c r="F7" s="34"/>
      <c r="G7" s="34"/>
      <c r="H7" s="35"/>
    </row>
    <row r="8" spans="1:8" ht="9" customHeight="1">
      <c r="A8" s="17"/>
      <c r="B8" s="34"/>
      <c r="C8" s="34"/>
      <c r="D8" s="34"/>
      <c r="E8" s="34"/>
      <c r="F8" s="34"/>
      <c r="G8" s="34"/>
      <c r="H8" s="35"/>
    </row>
    <row r="9" spans="1:8" ht="15.75" customHeight="1">
      <c r="A9" s="25" t="str">
        <f>CONCATENATE("Whereas, K.S.A. 79-2925b provides that a resolution be adopted if property taxes levied to finance the ",inputPrYr!C4,"")</f>
        <v>Whereas, K.S.A. 79-2925b provides that a resolution be adopted if property taxes levied to finance the 2012</v>
      </c>
      <c r="B9" s="34"/>
      <c r="C9" s="34"/>
      <c r="D9" s="34"/>
      <c r="E9" s="34"/>
      <c r="F9" s="34"/>
      <c r="G9" s="34"/>
      <c r="H9" s="35"/>
    </row>
    <row r="10" spans="1:8" ht="15.75" customHeight="1">
      <c r="A10" s="527" t="str">
        <f>CONCATENATE("",(inputPrYr!C2)," budget exceed the amount levied to finance the ",inputPrYr!C4-1," ",(inputPrYr!C2)," ",A16,)</f>
        <v>Edwards County budget exceed the amount levied to finance the 2011 Edwards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527"/>
      <c r="C10" s="527"/>
      <c r="D10" s="527"/>
      <c r="E10" s="527"/>
      <c r="F10" s="527"/>
      <c r="G10" s="527"/>
      <c r="H10" s="527"/>
    </row>
    <row r="11" spans="1:8" ht="15.75" customHeight="1">
      <c r="A11" s="527"/>
      <c r="B11" s="527"/>
      <c r="C11" s="527"/>
      <c r="D11" s="527"/>
      <c r="E11" s="527"/>
      <c r="F11" s="527"/>
      <c r="G11" s="527"/>
      <c r="H11" s="527"/>
    </row>
    <row r="12" spans="1:8" ht="15.75" customHeight="1">
      <c r="A12" s="527"/>
      <c r="B12" s="527"/>
      <c r="C12" s="527"/>
      <c r="D12" s="527"/>
      <c r="E12" s="527"/>
      <c r="F12" s="527"/>
      <c r="G12" s="527"/>
      <c r="H12" s="527"/>
    </row>
    <row r="13" spans="1:8" ht="15.75" customHeight="1">
      <c r="A13" s="527"/>
      <c r="B13" s="527"/>
      <c r="C13" s="527"/>
      <c r="D13" s="527"/>
      <c r="E13" s="527"/>
      <c r="F13" s="527"/>
      <c r="G13" s="527"/>
      <c r="H13" s="527"/>
    </row>
    <row r="14" spans="1:8" ht="15.75" customHeight="1">
      <c r="A14" s="527"/>
      <c r="B14" s="527"/>
      <c r="C14" s="527"/>
      <c r="D14" s="527"/>
      <c r="E14" s="527"/>
      <c r="F14" s="527"/>
      <c r="G14" s="527"/>
      <c r="H14" s="527"/>
    </row>
    <row r="15" spans="1:8" ht="15.75" customHeight="1">
      <c r="A15" s="527"/>
      <c r="B15" s="527"/>
      <c r="C15" s="527"/>
      <c r="D15" s="527"/>
      <c r="E15" s="527"/>
      <c r="F15" s="527"/>
      <c r="G15" s="527"/>
      <c r="H15" s="527"/>
    </row>
    <row r="16" spans="1:8" ht="9" customHeight="1">
      <c r="A16" s="36" t="s">
        <v>242</v>
      </c>
      <c r="B16" s="34"/>
      <c r="C16" s="34"/>
      <c r="D16" s="34"/>
      <c r="E16" s="34"/>
      <c r="F16" s="34"/>
      <c r="G16" s="34"/>
      <c r="H16" s="35" t="s">
        <v>113</v>
      </c>
    </row>
    <row r="17" spans="1:8" ht="15.75" customHeight="1">
      <c r="A17" s="527" t="s">
        <v>221</v>
      </c>
      <c r="B17" s="527"/>
      <c r="C17" s="527"/>
      <c r="D17" s="527"/>
      <c r="E17" s="527"/>
      <c r="F17" s="527"/>
      <c r="G17" s="527"/>
      <c r="H17" s="527"/>
    </row>
    <row r="18" spans="1:8" ht="15.75" customHeight="1">
      <c r="A18" s="527"/>
      <c r="B18" s="527"/>
      <c r="C18" s="527"/>
      <c r="D18" s="527"/>
      <c r="E18" s="527"/>
      <c r="F18" s="527"/>
      <c r="G18" s="527"/>
      <c r="H18" s="527"/>
    </row>
    <row r="19" spans="1:8" ht="9" customHeight="1">
      <c r="A19" s="23"/>
      <c r="B19" s="34"/>
      <c r="C19" s="34"/>
      <c r="D19" s="34"/>
      <c r="E19" s="34"/>
      <c r="F19" s="34"/>
      <c r="G19" s="34"/>
      <c r="H19" s="35"/>
    </row>
    <row r="20" spans="1:8" ht="15.75" customHeight="1">
      <c r="A20" s="527" t="str">
        <f>CONCATENATE("Whereas, ",(inputPrYr!C2)," provides the essential services to protect the health, safety, and well being of the citizens of the county; and")</f>
        <v>Whereas, Edwards County provides the essential services to protect the health, safety, and well being of the citizens of the county; and</v>
      </c>
      <c r="B20" s="527"/>
      <c r="C20" s="527"/>
      <c r="D20" s="527"/>
      <c r="E20" s="527"/>
      <c r="F20" s="527"/>
      <c r="G20" s="527"/>
      <c r="H20" s="527"/>
    </row>
    <row r="21" spans="1:8" ht="15.75" customHeight="1">
      <c r="A21" s="527"/>
      <c r="B21" s="527"/>
      <c r="C21" s="527"/>
      <c r="D21" s="527"/>
      <c r="E21" s="527"/>
      <c r="F21" s="527"/>
      <c r="G21" s="527"/>
      <c r="H21" s="527"/>
    </row>
    <row r="22" spans="1:8" ht="9" customHeight="1">
      <c r="A22" s="26"/>
      <c r="B22" s="34"/>
      <c r="C22" s="34"/>
      <c r="D22" s="34"/>
      <c r="E22" s="34"/>
      <c r="F22" s="34"/>
      <c r="G22" s="34"/>
      <c r="H22" s="35"/>
    </row>
    <row r="23" spans="1:8" ht="15.75" customHeight="1">
      <c r="A23" s="26" t="s">
        <v>222</v>
      </c>
      <c r="B23" s="34"/>
      <c r="C23" s="34"/>
      <c r="D23" s="34"/>
      <c r="E23" s="34"/>
      <c r="F23" s="34"/>
      <c r="G23" s="34"/>
      <c r="H23" s="35"/>
    </row>
    <row r="24" spans="1:8" ht="9" customHeight="1">
      <c r="A24" s="23"/>
      <c r="B24" s="34"/>
      <c r="C24" s="34"/>
      <c r="D24" s="34"/>
      <c r="E24" s="34"/>
      <c r="F24" s="34"/>
      <c r="G24" s="34"/>
      <c r="H24" s="35"/>
    </row>
    <row r="25" spans="1:8" ht="15.75" customHeight="1">
      <c r="A25" s="527" t="str">
        <f>CONCATENATE("Whereas, the ",inputPrYr!C4-1," Kansas State Legislature failed to fulfill its obligations in regard to the statutory funding of demand transfers and, by significantly ",A28," ",(inputPrYr!C2),B28)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Edwards County budget.</v>
      </c>
      <c r="B25" s="527"/>
      <c r="C25" s="527"/>
      <c r="D25" s="527"/>
      <c r="E25" s="527"/>
      <c r="F25" s="527"/>
      <c r="G25" s="527"/>
      <c r="H25" s="527"/>
    </row>
    <row r="26" spans="1:8" ht="15.75" customHeight="1">
      <c r="A26" s="527"/>
      <c r="B26" s="527"/>
      <c r="C26" s="527"/>
      <c r="D26" s="527"/>
      <c r="E26" s="527"/>
      <c r="F26" s="527"/>
      <c r="G26" s="527"/>
      <c r="H26" s="527"/>
    </row>
    <row r="27" spans="1:8" ht="15.75" customHeight="1">
      <c r="A27" s="527"/>
      <c r="B27" s="527"/>
      <c r="C27" s="527"/>
      <c r="D27" s="527"/>
      <c r="E27" s="527"/>
      <c r="F27" s="527"/>
      <c r="G27" s="527"/>
      <c r="H27" s="527"/>
    </row>
    <row r="28" spans="1:8" ht="9" customHeight="1">
      <c r="A28" s="27"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8" s="37" t="s">
        <v>243</v>
      </c>
      <c r="C28" s="2"/>
      <c r="D28" s="2"/>
      <c r="E28" s="2"/>
      <c r="F28" s="2"/>
      <c r="G28" s="2"/>
      <c r="H28" s="38"/>
    </row>
    <row r="29" spans="1:8" ht="15.75" customHeight="1">
      <c r="A29" s="527"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Edwards County Commissioners that is our desire to notify the public of the possibility of increased property taxes to finance the 2012 Edwards County budget due to the above mentioned constraints, and that all persons are invited and encouraged to attend budget meeting conducted by the Board of Edwards County Commissioners.  The date and time of budget hearings with the Board of Edwards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527"/>
      <c r="C29" s="527"/>
      <c r="D29" s="527"/>
      <c r="E29" s="527"/>
      <c r="F29" s="527"/>
      <c r="G29" s="527"/>
      <c r="H29" s="527"/>
    </row>
    <row r="30" spans="1:8" ht="15.75" customHeight="1">
      <c r="A30" s="527"/>
      <c r="B30" s="527"/>
      <c r="C30" s="527"/>
      <c r="D30" s="527"/>
      <c r="E30" s="527"/>
      <c r="F30" s="527"/>
      <c r="G30" s="527"/>
      <c r="H30" s="527"/>
    </row>
    <row r="31" spans="1:8" ht="15.75" customHeight="1">
      <c r="A31" s="527"/>
      <c r="B31" s="527"/>
      <c r="C31" s="527"/>
      <c r="D31" s="527"/>
      <c r="E31" s="527"/>
      <c r="F31" s="527"/>
      <c r="G31" s="527"/>
      <c r="H31" s="527"/>
    </row>
    <row r="32" spans="1:8" ht="15.75" customHeight="1">
      <c r="A32" s="527"/>
      <c r="B32" s="527"/>
      <c r="C32" s="527"/>
      <c r="D32" s="527"/>
      <c r="E32" s="527"/>
      <c r="F32" s="527"/>
      <c r="G32" s="527"/>
      <c r="H32" s="527"/>
    </row>
    <row r="33" spans="1:8" ht="15.75" customHeight="1">
      <c r="A33" s="527"/>
      <c r="B33" s="527"/>
      <c r="C33" s="527"/>
      <c r="D33" s="527"/>
      <c r="E33" s="527"/>
      <c r="F33" s="527"/>
      <c r="G33" s="527"/>
      <c r="H33" s="527"/>
    </row>
    <row r="34" spans="1:8" ht="15.75" customHeight="1">
      <c r="A34" s="527"/>
      <c r="B34" s="527"/>
      <c r="C34" s="527"/>
      <c r="D34" s="527"/>
      <c r="E34" s="527"/>
      <c r="F34" s="527"/>
      <c r="G34" s="527"/>
      <c r="H34" s="527"/>
    </row>
    <row r="35" spans="1:8" ht="15.75" customHeight="1">
      <c r="A35" s="527"/>
      <c r="B35" s="527"/>
      <c r="C35" s="527"/>
      <c r="D35" s="527"/>
      <c r="E35" s="527"/>
      <c r="F35" s="527"/>
      <c r="G35" s="527"/>
      <c r="H35" s="527"/>
    </row>
    <row r="36" spans="1:8" ht="15.75" customHeight="1">
      <c r="A36" s="527"/>
      <c r="B36" s="527"/>
      <c r="C36" s="527"/>
      <c r="D36" s="527"/>
      <c r="E36" s="527"/>
      <c r="F36" s="527"/>
      <c r="G36" s="527"/>
      <c r="H36" s="527"/>
    </row>
    <row r="37" spans="1:8" ht="15.75" customHeight="1">
      <c r="A37" s="527"/>
      <c r="B37" s="527"/>
      <c r="C37" s="527"/>
      <c r="D37" s="527"/>
      <c r="E37" s="527"/>
      <c r="F37" s="527"/>
      <c r="G37" s="527"/>
      <c r="H37" s="527"/>
    </row>
    <row r="38" spans="1:8" ht="15.75" customHeight="1">
      <c r="A38" s="28" t="s">
        <v>252</v>
      </c>
      <c r="B38" s="2"/>
      <c r="C38" s="2"/>
      <c r="D38" s="2"/>
      <c r="E38" s="2"/>
      <c r="F38" s="2"/>
      <c r="G38" s="2"/>
      <c r="H38" s="38" t="s">
        <v>113</v>
      </c>
    </row>
    <row r="39" spans="1:8" ht="15.75" customHeight="1">
      <c r="A39" s="526" t="str">
        <f>CONCATENATE("                                                 Adopted this _________ day of ___________, ",inputPrYr!C4-1," by the Board of ",(inputPrYr!C2)," Commissioners.")</f>
        <v>                                                 Adopted this _________ day of ___________, 2011 by the Board of Edwards County Commissioners.</v>
      </c>
      <c r="B39" s="526"/>
      <c r="C39" s="526"/>
      <c r="D39" s="526"/>
      <c r="E39" s="526"/>
      <c r="F39" s="526"/>
      <c r="G39" s="526"/>
      <c r="H39" s="526"/>
    </row>
    <row r="40" spans="1:8" ht="15.75" customHeight="1">
      <c r="A40" s="526"/>
      <c r="B40" s="526"/>
      <c r="C40" s="526"/>
      <c r="D40" s="526"/>
      <c r="E40" s="526"/>
      <c r="F40" s="526"/>
      <c r="G40" s="526"/>
      <c r="H40" s="526"/>
    </row>
    <row r="41" spans="1:8" ht="15.75" customHeight="1">
      <c r="A41" s="2"/>
      <c r="B41" s="2"/>
      <c r="C41" s="2"/>
      <c r="D41" s="2"/>
      <c r="E41" s="523" t="s">
        <v>223</v>
      </c>
      <c r="F41" s="523"/>
      <c r="G41" s="523"/>
      <c r="H41" s="523"/>
    </row>
    <row r="42" spans="1:8" ht="15.75" customHeight="1">
      <c r="A42" s="29"/>
      <c r="B42" s="2"/>
      <c r="C42" s="2"/>
      <c r="D42" s="2"/>
      <c r="E42" s="523"/>
      <c r="F42" s="523"/>
      <c r="G42" s="523"/>
      <c r="H42" s="523"/>
    </row>
    <row r="43" spans="1:8" ht="15.75" customHeight="1">
      <c r="A43" s="2"/>
      <c r="B43" s="2"/>
      <c r="C43" s="2"/>
      <c r="D43" s="2"/>
      <c r="E43" s="523" t="s">
        <v>224</v>
      </c>
      <c r="F43" s="523"/>
      <c r="G43" s="523"/>
      <c r="H43" s="523"/>
    </row>
    <row r="44" spans="1:8" ht="15.75" customHeight="1">
      <c r="A44" s="29"/>
      <c r="B44" s="2"/>
      <c r="C44" s="2"/>
      <c r="D44" s="2"/>
      <c r="E44" s="523"/>
      <c r="F44" s="523"/>
      <c r="G44" s="523"/>
      <c r="H44" s="523"/>
    </row>
    <row r="45" spans="1:8" ht="15.75" customHeight="1">
      <c r="A45" s="2"/>
      <c r="B45" s="2"/>
      <c r="C45" s="2"/>
      <c r="D45" s="2"/>
      <c r="E45" s="523" t="s">
        <v>224</v>
      </c>
      <c r="F45" s="523"/>
      <c r="G45" s="523"/>
      <c r="H45" s="523"/>
    </row>
    <row r="46" spans="1:8" ht="15.75" customHeight="1">
      <c r="A46" s="29"/>
      <c r="B46" s="2"/>
      <c r="C46" s="2"/>
      <c r="D46" s="2"/>
      <c r="E46" s="523"/>
      <c r="F46" s="523"/>
      <c r="G46" s="523"/>
      <c r="H46" s="523"/>
    </row>
    <row r="47" spans="1:8" ht="15.75" customHeight="1">
      <c r="A47" s="2"/>
      <c r="B47" s="2"/>
      <c r="C47" s="2"/>
      <c r="D47" s="2"/>
      <c r="E47" s="523" t="s">
        <v>224</v>
      </c>
      <c r="F47" s="523"/>
      <c r="G47" s="523"/>
      <c r="H47" s="523"/>
    </row>
    <row r="48" spans="1:8" ht="15.75" customHeight="1">
      <c r="A48" s="29"/>
      <c r="B48" s="2"/>
      <c r="C48" s="2"/>
      <c r="D48" s="2"/>
      <c r="E48" s="2"/>
      <c r="F48" s="2"/>
      <c r="G48" s="2"/>
      <c r="H48" s="38"/>
    </row>
    <row r="49" spans="1:8" ht="15.75" customHeight="1">
      <c r="A49" s="29" t="s">
        <v>225</v>
      </c>
      <c r="B49" s="2"/>
      <c r="C49" s="2"/>
      <c r="D49" s="2"/>
      <c r="E49" s="2"/>
      <c r="F49" s="2"/>
      <c r="G49" s="2"/>
      <c r="H49" s="38"/>
    </row>
    <row r="50" spans="1:8" ht="15.75" customHeight="1">
      <c r="A50" s="29"/>
      <c r="B50" s="2"/>
      <c r="C50" s="2"/>
      <c r="D50" s="2"/>
      <c r="E50" s="2"/>
      <c r="F50" s="2"/>
      <c r="G50" s="29"/>
      <c r="H50" s="38"/>
    </row>
    <row r="51" spans="1:8" ht="15.75" customHeight="1">
      <c r="A51" s="30" t="s">
        <v>226</v>
      </c>
      <c r="B51" s="1"/>
      <c r="C51" s="1"/>
      <c r="D51" s="1"/>
      <c r="E51" s="1"/>
      <c r="F51" s="1"/>
      <c r="G51" s="29"/>
      <c r="H51" s="38"/>
    </row>
    <row r="52" spans="1:8" ht="15.75" customHeight="1">
      <c r="A52" s="523" t="s">
        <v>227</v>
      </c>
      <c r="B52" s="523"/>
      <c r="C52" s="523"/>
      <c r="D52" s="1"/>
      <c r="E52" s="1"/>
      <c r="F52" s="1"/>
      <c r="G52" s="29"/>
      <c r="H52" s="38"/>
    </row>
    <row r="53" spans="1:8" ht="15.75" customHeight="1">
      <c r="A53" s="30"/>
      <c r="B53" s="1"/>
      <c r="C53" s="1"/>
      <c r="D53" s="1"/>
      <c r="E53" s="1"/>
      <c r="F53" s="1"/>
      <c r="G53" s="29"/>
      <c r="H53" s="38"/>
    </row>
    <row r="54" spans="1:8" ht="15.75" customHeight="1">
      <c r="A54" s="30"/>
      <c r="B54" s="1"/>
      <c r="C54" s="1"/>
      <c r="D54" s="1"/>
      <c r="E54" s="1"/>
      <c r="F54" s="1"/>
      <c r="G54" s="29"/>
      <c r="H54" s="38"/>
    </row>
    <row r="55" spans="1:8" ht="15.75" customHeight="1">
      <c r="A55" s="31" t="s">
        <v>228</v>
      </c>
      <c r="B55" s="1"/>
      <c r="C55" s="1"/>
      <c r="D55" s="39" t="s">
        <v>112</v>
      </c>
      <c r="E55" s="3"/>
      <c r="F55" s="1"/>
      <c r="G55" s="29"/>
      <c r="H55" s="38"/>
    </row>
    <row r="56" spans="1:8" ht="15" customHeight="1">
      <c r="A56" s="38"/>
      <c r="B56" s="38"/>
      <c r="C56" s="38"/>
      <c r="D56" s="38"/>
      <c r="E56" s="38"/>
      <c r="F56" s="38"/>
      <c r="G56" s="38"/>
      <c r="H56" s="38"/>
    </row>
    <row r="57" spans="1:8" ht="15" customHeight="1">
      <c r="A57" s="38"/>
      <c r="B57" s="38"/>
      <c r="C57" s="38"/>
      <c r="D57" s="38"/>
      <c r="E57" s="38"/>
      <c r="F57" s="38"/>
      <c r="G57" s="38"/>
      <c r="H57" s="38"/>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fitToHeight="1" fitToWidth="1"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A1" sqref="A1"/>
    </sheetView>
  </sheetViews>
  <sheetFormatPr defaultColWidth="8.796875" defaultRowHeight="15"/>
  <cols>
    <col min="1" max="1" width="13.796875" style="0" customWidth="1"/>
    <col min="2" max="2" width="16.09765625" style="0" customWidth="1"/>
  </cols>
  <sheetData>
    <row r="2" spans="1:6" ht="54" customHeight="1">
      <c r="A2" s="469" t="s">
        <v>275</v>
      </c>
      <c r="B2" s="470"/>
      <c r="C2" s="470"/>
      <c r="D2" s="470"/>
      <c r="E2" s="470"/>
      <c r="F2" s="470"/>
    </row>
    <row r="4" spans="1:6" ht="15.75">
      <c r="A4" s="361"/>
      <c r="B4" s="361"/>
      <c r="C4" s="361"/>
      <c r="D4" s="362"/>
      <c r="E4" s="361"/>
      <c r="F4" s="361"/>
    </row>
    <row r="5" spans="1:6" ht="15.75">
      <c r="A5" s="363" t="s">
        <v>276</v>
      </c>
      <c r="B5" s="364" t="s">
        <v>431</v>
      </c>
      <c r="C5" s="365"/>
      <c r="D5" s="363" t="s">
        <v>306</v>
      </c>
      <c r="E5" s="361"/>
      <c r="F5" s="361"/>
    </row>
    <row r="6" spans="1:6" ht="15.75">
      <c r="A6" s="363"/>
      <c r="B6" s="366"/>
      <c r="C6" s="367"/>
      <c r="D6" s="363" t="s">
        <v>305</v>
      </c>
      <c r="E6" s="361"/>
      <c r="F6" s="361"/>
    </row>
    <row r="7" spans="1:6" ht="15.75">
      <c r="A7" s="363" t="s">
        <v>277</v>
      </c>
      <c r="B7" s="364" t="s">
        <v>432</v>
      </c>
      <c r="C7" s="368"/>
      <c r="D7" s="363"/>
      <c r="E7" s="361"/>
      <c r="F7" s="361"/>
    </row>
    <row r="8" spans="1:6" ht="15.75">
      <c r="A8" s="363"/>
      <c r="B8" s="363"/>
      <c r="C8" s="363"/>
      <c r="D8" s="363"/>
      <c r="E8" s="361"/>
      <c r="F8" s="361"/>
    </row>
    <row r="9" spans="1:6" ht="15.75">
      <c r="A9" s="363" t="s">
        <v>278</v>
      </c>
      <c r="B9" s="369" t="s">
        <v>427</v>
      </c>
      <c r="C9" s="369"/>
      <c r="D9" s="369"/>
      <c r="E9" s="370"/>
      <c r="F9" s="361"/>
    </row>
    <row r="10" spans="1:6" ht="15.75">
      <c r="A10" s="363"/>
      <c r="B10" s="363"/>
      <c r="C10" s="363"/>
      <c r="D10" s="363"/>
      <c r="E10" s="361"/>
      <c r="F10" s="361"/>
    </row>
    <row r="11" spans="1:6" ht="15.75">
      <c r="A11" s="363"/>
      <c r="B11" s="363"/>
      <c r="C11" s="363"/>
      <c r="D11" s="363"/>
      <c r="E11" s="361"/>
      <c r="F11" s="361"/>
    </row>
    <row r="12" spans="1:6" ht="15.75">
      <c r="A12" s="363" t="s">
        <v>280</v>
      </c>
      <c r="B12" s="369" t="s">
        <v>428</v>
      </c>
      <c r="C12" s="369"/>
      <c r="D12" s="369"/>
      <c r="E12" s="370"/>
      <c r="F12" s="361"/>
    </row>
    <row r="15" spans="1:6" ht="15.75">
      <c r="A15" s="471" t="s">
        <v>281</v>
      </c>
      <c r="B15" s="471"/>
      <c r="C15" s="363"/>
      <c r="D15" s="363"/>
      <c r="E15" s="363"/>
      <c r="F15" s="361"/>
    </row>
    <row r="16" spans="1:6" ht="15.75">
      <c r="A16" s="363"/>
      <c r="B16" s="363"/>
      <c r="C16" s="363"/>
      <c r="D16" s="363"/>
      <c r="E16" s="363"/>
      <c r="F16" s="361"/>
    </row>
    <row r="17" spans="1:5" ht="15.75">
      <c r="A17" s="363" t="s">
        <v>276</v>
      </c>
      <c r="B17" s="366" t="s">
        <v>282</v>
      </c>
      <c r="C17" s="363"/>
      <c r="D17" s="363"/>
      <c r="E17" s="363"/>
    </row>
    <row r="18" spans="1:5" ht="15.75">
      <c r="A18" s="363"/>
      <c r="B18" s="363"/>
      <c r="C18" s="363"/>
      <c r="D18" s="363"/>
      <c r="E18" s="363"/>
    </row>
    <row r="19" spans="1:5" ht="15.75">
      <c r="A19" s="363" t="s">
        <v>277</v>
      </c>
      <c r="B19" s="363" t="s">
        <v>283</v>
      </c>
      <c r="C19" s="363"/>
      <c r="D19" s="363"/>
      <c r="E19" s="363"/>
    </row>
    <row r="20" spans="1:5" ht="15.75">
      <c r="A20" s="363"/>
      <c r="B20" s="363"/>
      <c r="C20" s="363"/>
      <c r="D20" s="363"/>
      <c r="E20" s="363"/>
    </row>
    <row r="21" spans="1:5" ht="15.75">
      <c r="A21" s="363" t="s">
        <v>278</v>
      </c>
      <c r="B21" s="363" t="s">
        <v>279</v>
      </c>
      <c r="C21" s="363"/>
      <c r="D21" s="363"/>
      <c r="E21" s="363"/>
    </row>
    <row r="22" spans="1:5" ht="15.75">
      <c r="A22" s="363"/>
      <c r="B22" s="363"/>
      <c r="C22" s="363"/>
      <c r="D22" s="363"/>
      <c r="E22" s="363"/>
    </row>
    <row r="23" spans="1:5" ht="15.75">
      <c r="A23" s="363" t="s">
        <v>280</v>
      </c>
      <c r="B23" s="363" t="s">
        <v>279</v>
      </c>
      <c r="C23" s="363"/>
      <c r="D23" s="363"/>
      <c r="E23" s="36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81"/>
  <sheetViews>
    <sheetView tabSelected="1" zoomScale="90" zoomScaleNormal="90" zoomScalePageLayoutView="0" workbookViewId="0" topLeftCell="A1">
      <selection activeCell="C64" sqref="C64"/>
    </sheetView>
  </sheetViews>
  <sheetFormatPr defaultColWidth="8.796875" defaultRowHeight="15"/>
  <cols>
    <col min="1" max="1" width="20.796875" style="137" customWidth="1"/>
    <col min="2" max="2" width="9.796875" style="137" customWidth="1"/>
    <col min="3" max="3" width="5.796875" style="137" customWidth="1"/>
    <col min="4" max="6" width="15.796875" style="137" customWidth="1"/>
    <col min="7" max="16384" width="8.8984375" style="137" customWidth="1"/>
  </cols>
  <sheetData>
    <row r="1" spans="1:6" ht="12.75">
      <c r="A1" s="136"/>
      <c r="B1" s="136"/>
      <c r="C1" s="136"/>
      <c r="D1" s="136"/>
      <c r="E1" s="136"/>
      <c r="F1" s="136"/>
    </row>
    <row r="2" spans="1:6" ht="12.75">
      <c r="A2" s="473" t="s">
        <v>155</v>
      </c>
      <c r="B2" s="473"/>
      <c r="C2" s="473"/>
      <c r="D2" s="473"/>
      <c r="E2" s="473"/>
      <c r="F2" s="473"/>
    </row>
    <row r="3" spans="1:6" ht="15" customHeight="1">
      <c r="A3" s="138"/>
      <c r="B3" s="138"/>
      <c r="C3" s="138"/>
      <c r="D3" s="138"/>
      <c r="E3" s="138"/>
      <c r="F3" s="136">
        <f>inputPrYr!C4</f>
        <v>2012</v>
      </c>
    </row>
    <row r="4" spans="1:6" ht="15">
      <c r="A4" s="478" t="str">
        <f>CONCATENATE("To the Clerk of ",inputPrYr!C2,", State of Kansas")</f>
        <v>To the Clerk of Edwards County, State of Kansas</v>
      </c>
      <c r="B4" s="479"/>
      <c r="C4" s="479"/>
      <c r="D4" s="479"/>
      <c r="E4" s="479"/>
      <c r="F4" s="479"/>
    </row>
    <row r="5" spans="1:6" ht="15">
      <c r="A5" s="478" t="s">
        <v>5</v>
      </c>
      <c r="B5" s="480"/>
      <c r="C5" s="480"/>
      <c r="D5" s="480"/>
      <c r="E5" s="480"/>
      <c r="F5" s="480"/>
    </row>
    <row r="6" spans="1:6" ht="15">
      <c r="A6" s="476" t="str">
        <f>(inputPrYr!C2)</f>
        <v>Edwards County</v>
      </c>
      <c r="B6" s="477"/>
      <c r="C6" s="477"/>
      <c r="D6" s="477"/>
      <c r="E6" s="477"/>
      <c r="F6" s="477"/>
    </row>
    <row r="7" spans="1:6" ht="12.75">
      <c r="A7" s="140" t="s">
        <v>53</v>
      </c>
      <c r="B7" s="141"/>
      <c r="C7" s="141"/>
      <c r="D7" s="141"/>
      <c r="E7" s="141"/>
      <c r="F7" s="141"/>
    </row>
    <row r="8" spans="1:6" ht="12.75">
      <c r="A8" s="140" t="s">
        <v>54</v>
      </c>
      <c r="B8" s="141"/>
      <c r="C8" s="141"/>
      <c r="D8" s="141"/>
      <c r="E8" s="141"/>
      <c r="F8" s="141"/>
    </row>
    <row r="9" spans="1:6" ht="12.75">
      <c r="A9" s="140" t="str">
        <f>CONCATENATE("maximum expenditure for the various funds for the year ",F3,"; and")</f>
        <v>maximum expenditure for the various funds for the year 2012; and</v>
      </c>
      <c r="B9" s="141"/>
      <c r="C9" s="141"/>
      <c r="D9" s="141"/>
      <c r="E9" s="141"/>
      <c r="F9" s="141"/>
    </row>
    <row r="10" spans="1:6" ht="12.75">
      <c r="A10" s="140" t="str">
        <f>CONCATENATE("(3) the Amount(s) of ",F3-1," Ad Valorem Tax are within statutory limitations.")</f>
        <v>(3) the Amount(s) of 2011 Ad Valorem Tax are within statutory limitations.</v>
      </c>
      <c r="B10" s="141"/>
      <c r="C10" s="141"/>
      <c r="D10" s="141"/>
      <c r="E10" s="141"/>
      <c r="F10" s="141"/>
    </row>
    <row r="11" spans="1:6" ht="8.25" customHeight="1">
      <c r="A11" s="142"/>
      <c r="B11" s="138"/>
      <c r="C11" s="138"/>
      <c r="D11" s="143"/>
      <c r="E11" s="143"/>
      <c r="F11" s="143"/>
    </row>
    <row r="12" spans="1:6" ht="12.75">
      <c r="A12" s="138"/>
      <c r="B12" s="138"/>
      <c r="C12" s="138"/>
      <c r="D12" s="144" t="str">
        <f>CONCATENATE("",F3," Adopted Budget")</f>
        <v>2012 Adopted Budget</v>
      </c>
      <c r="E12" s="145"/>
      <c r="F12" s="146"/>
    </row>
    <row r="13" spans="1:6" ht="13.5" customHeight="1">
      <c r="A13" s="138"/>
      <c r="B13" s="138"/>
      <c r="C13" s="147" t="s">
        <v>55</v>
      </c>
      <c r="D13" s="396" t="s">
        <v>294</v>
      </c>
      <c r="E13" s="474" t="str">
        <f>CONCATENATE("Amount of ",F3-1,"               Ad Valorem Tax")</f>
        <v>Amount of 2011               Ad Valorem Tax</v>
      </c>
      <c r="F13" s="147" t="s">
        <v>56</v>
      </c>
    </row>
    <row r="14" spans="1:6" ht="12.75" customHeight="1">
      <c r="A14" s="148" t="s">
        <v>57</v>
      </c>
      <c r="B14" s="149"/>
      <c r="C14" s="150" t="s">
        <v>58</v>
      </c>
      <c r="D14" s="395" t="s">
        <v>295</v>
      </c>
      <c r="E14" s="475"/>
      <c r="F14" s="150" t="s">
        <v>60</v>
      </c>
    </row>
    <row r="15" spans="1:6" ht="12.75">
      <c r="A15" s="151" t="str">
        <f>CONCATENATE("Computation to Determine Limit for ",F3,"")</f>
        <v>Computation to Determine Limit for 2012</v>
      </c>
      <c r="B15" s="149"/>
      <c r="C15" s="150">
        <v>2</v>
      </c>
      <c r="D15" s="152"/>
      <c r="E15" s="152"/>
      <c r="F15" s="152"/>
    </row>
    <row r="16" spans="1:6" ht="12.75">
      <c r="A16" s="153" t="s">
        <v>33</v>
      </c>
      <c r="B16" s="154"/>
      <c r="C16" s="150">
        <v>3</v>
      </c>
      <c r="D16" s="152"/>
      <c r="E16" s="152"/>
      <c r="F16" s="152"/>
    </row>
    <row r="17" spans="1:6" ht="12.75">
      <c r="A17" s="155" t="s">
        <v>208</v>
      </c>
      <c r="B17" s="156"/>
      <c r="C17" s="157">
        <v>4</v>
      </c>
      <c r="D17" s="152"/>
      <c r="E17" s="152"/>
      <c r="F17" s="152"/>
    </row>
    <row r="18" spans="1:6" ht="12.75">
      <c r="A18" s="155" t="s">
        <v>61</v>
      </c>
      <c r="B18" s="156"/>
      <c r="C18" s="158">
        <v>5</v>
      </c>
      <c r="D18" s="159"/>
      <c r="E18" s="159"/>
      <c r="F18" s="159"/>
    </row>
    <row r="19" spans="1:6" ht="12.75">
      <c r="A19" s="155" t="s">
        <v>62</v>
      </c>
      <c r="B19" s="156"/>
      <c r="C19" s="160">
        <v>6</v>
      </c>
      <c r="D19" s="159"/>
      <c r="E19" s="159"/>
      <c r="F19" s="159"/>
    </row>
    <row r="20" spans="1:6" ht="12.75">
      <c r="A20" s="161" t="s">
        <v>63</v>
      </c>
      <c r="B20" s="162" t="s">
        <v>64</v>
      </c>
      <c r="C20" s="163"/>
      <c r="D20" s="164"/>
      <c r="E20" s="164"/>
      <c r="F20" s="164"/>
    </row>
    <row r="21" spans="1:6" ht="15.75">
      <c r="A21" s="151" t="str">
        <f>inputPrYr!B16</f>
        <v>General</v>
      </c>
      <c r="B21" s="165" t="str">
        <f>inputPrYr!C16</f>
        <v>79-1946</v>
      </c>
      <c r="C21" s="158">
        <v>7</v>
      </c>
      <c r="D21" s="166">
        <f>IF(general!$E$115&lt;&gt;0,general!$E$115,"  ")</f>
        <v>1937065</v>
      </c>
      <c r="E21" s="435">
        <f>IF(general!$E$122&lt;&gt;0,general!$E$122,0)</f>
        <v>1287578.3</v>
      </c>
      <c r="F21" s="167" t="str">
        <f>IF(AND(general!E122=0,$F$68&gt;=0)," ",IF(AND(E21&gt;0,$F$68=0)," ",IF(AND(E21&gt;0,$F$68&gt;0),ROUND(E21/$F$68*1000,3))))</f>
        <v> </v>
      </c>
    </row>
    <row r="22" spans="1:6" ht="15.75">
      <c r="A22" s="151" t="str">
        <f>inputPrYr!B18</f>
        <v>Road &amp; Bridge</v>
      </c>
      <c r="B22" s="165" t="str">
        <f>inputPrYr!C18</f>
        <v>79-1946</v>
      </c>
      <c r="C22" s="158">
        <f>IF(road!C58&gt;0,road!C58,"")</f>
        <v>8</v>
      </c>
      <c r="D22" s="166">
        <f>IF(road!$E$102&lt;&gt;0,road!$E$102,"  ")</f>
        <v>1141676</v>
      </c>
      <c r="E22" s="435">
        <f>IF(road!$E$109&lt;&gt;0,road!$E$109,0)</f>
        <v>794829.6</v>
      </c>
      <c r="F22" s="167" t="str">
        <f>IF(AND(road!E109=0,$F$68&gt;=0)," ",IF(AND(E22&gt;0,$F$68=0)," ",IF(AND(E22&gt;0,$F$68&gt;0),ROUND(E22/$F$68*1000,3))))</f>
        <v> </v>
      </c>
    </row>
    <row r="23" spans="1:6" ht="15.75">
      <c r="A23" s="166" t="str">
        <f>IF((inputPrYr!$B19&gt;"  "),(inputPrYr!$B19),"  ")</f>
        <v>Noxious Weed</v>
      </c>
      <c r="B23" s="165" t="str">
        <f>IF((inputPrYr!C19&gt;0),(inputPrYr!C19),"  ")</f>
        <v>2-1318</v>
      </c>
      <c r="C23" s="158">
        <f>IF('NoxWeed EmpBenefits'!C83&gt;0,'NoxWeed EmpBenefits'!C83,"  ")</f>
        <v>9</v>
      </c>
      <c r="D23" s="166">
        <f>IF('NoxWeed EmpBenefits'!$E$34&lt;&gt;0,'NoxWeed EmpBenefits'!$E$34,"  ")</f>
        <v>82536</v>
      </c>
      <c r="E23" s="435">
        <f>IF('NoxWeed EmpBenefits'!$E$41&lt;&gt;0,'NoxWeed EmpBenefits'!$E$41,0)</f>
        <v>65735</v>
      </c>
      <c r="F23" s="167" t="str">
        <f>IF(AND('NoxWeed EmpBenefits'!E41=0,$F$68&gt;=0)," ",IF(AND(E23&gt;0,$F$68=0)," ",IF(AND(E23&gt;0,$F$68&gt;0),ROUND(E23/$F$68*1000,3))))</f>
        <v> </v>
      </c>
    </row>
    <row r="24" spans="1:6" ht="15.75">
      <c r="A24" s="166" t="str">
        <f>IF((inputPrYr!$B20&gt;"  "),(inputPrYr!$B20),"  ")</f>
        <v>Employee Benefits</v>
      </c>
      <c r="B24" s="165" t="str">
        <f>IF((inputPrYr!C20&gt;0),(inputPrYr!C20),"  ")</f>
        <v>12-16,102</v>
      </c>
      <c r="C24" s="158">
        <f>IF('NoxWeed EmpBenefits'!C83&gt;0,'NoxWeed EmpBenefits'!C83,"  ")</f>
        <v>9</v>
      </c>
      <c r="D24" s="166">
        <f>IF('NoxWeed EmpBenefits'!$E$75&lt;&gt;0,'NoxWeed EmpBenefits'!$E$75,"  ")</f>
        <v>902379</v>
      </c>
      <c r="E24" s="435">
        <f>IF('NoxWeed EmpBenefits'!$E$82&lt;&gt;0,'NoxWeed EmpBenefits'!$E$82,0)</f>
        <v>795209</v>
      </c>
      <c r="F24" s="167" t="str">
        <f>IF(AND('NoxWeed EmpBenefits'!E82=0,$F$68&gt;=0)," ",IF(AND(E24&gt;0,$F$68=0)," ",IF(AND(E24&gt;0,$F$68&gt;0),ROUND(E24/$F$68*1000,3))))</f>
        <v> </v>
      </c>
    </row>
    <row r="25" spans="1:6" ht="15.75">
      <c r="A25" s="166" t="str">
        <f>IF((inputPrYr!$B21&gt;"  "),(inputPrYr!$B21),"  ")</f>
        <v>County Health</v>
      </c>
      <c r="B25" s="165" t="str">
        <f>IF((inputPrYr!C21&gt;0),(inputPrYr!C21),"  ")</f>
        <v>65-204</v>
      </c>
      <c r="C25" s="158">
        <f>IF('Health HospMaint'!C80&gt;0,'Health HospMaint'!C80,"  ")</f>
        <v>10</v>
      </c>
      <c r="D25" s="166">
        <f>IF('Health HospMaint'!$E$35&lt;&gt;0,'Health HospMaint'!$E$35,"  ")</f>
        <v>170690</v>
      </c>
      <c r="E25" s="435">
        <f>IF('Health HospMaint'!$E$42&lt;&gt;0,'Health HospMaint'!$E$42,0)</f>
        <v>130568</v>
      </c>
      <c r="F25" s="167" t="str">
        <f>IF(AND('Health HospMaint'!E42=0,$F$68&gt;=0)," ",IF(AND(E25&gt;0,$F$68=0)," ",IF(AND(E25&gt;0,$F$68&gt;0),ROUND(E25/$F$68*1000,3))))</f>
        <v> </v>
      </c>
    </row>
    <row r="26" spans="1:6" ht="15.75">
      <c r="A26" s="166" t="str">
        <f>IF((inputPrYr!$B22&gt;"  "),(inputPrYr!$B22),"  ")</f>
        <v>Hospital Maintenance</v>
      </c>
      <c r="B26" s="165" t="str">
        <f>IF((inputPrYr!C22&gt;0),(inputPrYr!C22),"  ")</f>
        <v>19-4606</v>
      </c>
      <c r="C26" s="158">
        <f>IF('Health HospMaint'!C80&gt;0,'Health HospMaint'!C80,"  ")</f>
        <v>10</v>
      </c>
      <c r="D26" s="166">
        <f>IF('Health HospMaint'!$E$72&lt;&gt;0,'Health HospMaint'!$E$72,"  ")</f>
        <v>231807</v>
      </c>
      <c r="E26" s="435">
        <f>IF('Health HospMaint'!$E$79&lt;&gt;0,'Health HospMaint'!$E$79,0)</f>
        <v>213066</v>
      </c>
      <c r="F26" s="167" t="str">
        <f>IF(AND('Health HospMaint'!E79=0,$F$68&gt;=0)," ",IF(AND(E26&gt;0,$F$68=0)," ",IF(AND(E26&gt;0,$F$68&gt;0),ROUND(E26/$F$68*1000,3))))</f>
        <v> </v>
      </c>
    </row>
    <row r="27" spans="1:6" ht="15.75" hidden="1">
      <c r="A27" s="166" t="str">
        <f>IF((inputPrYr!$B23&gt;"  "),(inputPrYr!$B23),"  ")</f>
        <v>  </v>
      </c>
      <c r="B27" s="165" t="str">
        <f>IF((inputPrYr!C23&gt;0),(inputPrYr!C23),"  ")</f>
        <v>  </v>
      </c>
      <c r="C27" s="158"/>
      <c r="D27" s="166"/>
      <c r="E27" s="435"/>
      <c r="F27" s="167"/>
    </row>
    <row r="28" spans="1:6" ht="15.75" hidden="1">
      <c r="A28" s="166" t="str">
        <f>IF((inputPrYr!$B24&gt;"  "),(inputPrYr!$B24),"  ")</f>
        <v>  </v>
      </c>
      <c r="B28" s="165" t="str">
        <f>IF((inputPrYr!C24&gt;0),(inputPrYr!C24),"  ")</f>
        <v>  </v>
      </c>
      <c r="C28" s="158"/>
      <c r="D28" s="166"/>
      <c r="E28" s="435"/>
      <c r="F28" s="167"/>
    </row>
    <row r="29" spans="1:6" ht="15.75" hidden="1">
      <c r="A29" s="166" t="str">
        <f>IF((inputPrYr!$B25&gt;"  "),(inputPrYr!$B25),"  ")</f>
        <v>  </v>
      </c>
      <c r="B29" s="165" t="str">
        <f>IF((inputPrYr!C25&gt;0),(inputPrYr!C25),"  ")</f>
        <v>  </v>
      </c>
      <c r="C29" s="158"/>
      <c r="D29" s="166"/>
      <c r="E29" s="435"/>
      <c r="F29" s="167"/>
    </row>
    <row r="30" spans="1:6" ht="15.75" hidden="1">
      <c r="A30" s="166" t="str">
        <f>IF((inputPrYr!$B26&gt;"  "),(inputPrYr!$B26),"  ")</f>
        <v>  </v>
      </c>
      <c r="B30" s="165" t="str">
        <f>IF((inputPrYr!C26&gt;0),(inputPrYr!C26),"  ")</f>
        <v>  </v>
      </c>
      <c r="C30" s="158"/>
      <c r="D30" s="166"/>
      <c r="E30" s="435"/>
      <c r="F30" s="167"/>
    </row>
    <row r="31" spans="1:6" ht="15.75" hidden="1">
      <c r="A31" s="166" t="str">
        <f>IF((inputPrYr!$B27&gt;"  "),(inputPrYr!$B27),"  ")</f>
        <v>  </v>
      </c>
      <c r="B31" s="165" t="str">
        <f>IF((inputPrYr!C27&gt;0),(inputPrYr!C27),"  ")</f>
        <v>  </v>
      </c>
      <c r="C31" s="158"/>
      <c r="D31" s="166"/>
      <c r="E31" s="435"/>
      <c r="F31" s="167"/>
    </row>
    <row r="32" spans="1:6" ht="15.75" hidden="1">
      <c r="A32" s="166" t="str">
        <f>IF((inputPrYr!$B28&gt;"  "),(inputPrYr!$B28),"  ")</f>
        <v>  </v>
      </c>
      <c r="B32" s="165" t="str">
        <f>IF((inputPrYr!C28&gt;0),(inputPrYr!C28),"  ")</f>
        <v>  </v>
      </c>
      <c r="C32" s="158"/>
      <c r="D32" s="166"/>
      <c r="E32" s="435"/>
      <c r="F32" s="167"/>
    </row>
    <row r="33" spans="1:6" ht="15.75" hidden="1">
      <c r="A33" s="166" t="str">
        <f>IF((inputPrYr!$B29&gt;"  "),(inputPrYr!$B29),"  ")</f>
        <v>  </v>
      </c>
      <c r="B33" s="165" t="str">
        <f>IF((inputPrYr!C29&gt;0),(inputPrYr!C29),"  ")</f>
        <v>  </v>
      </c>
      <c r="C33" s="158"/>
      <c r="D33" s="166"/>
      <c r="E33" s="435"/>
      <c r="F33" s="167"/>
    </row>
    <row r="34" spans="1:6" ht="15.75" hidden="1">
      <c r="A34" s="166" t="str">
        <f>IF((inputPrYr!$B30&gt;"  "),(inputPrYr!$B30),"  ")</f>
        <v>  </v>
      </c>
      <c r="B34" s="165" t="str">
        <f>IF((inputPrYr!C30&gt;0),(inputPrYr!C30),"  ")</f>
        <v>  </v>
      </c>
      <c r="C34" s="158"/>
      <c r="D34" s="166"/>
      <c r="E34" s="435"/>
      <c r="F34" s="167"/>
    </row>
    <row r="35" spans="1:6" ht="15.75" hidden="1">
      <c r="A35" s="166" t="str">
        <f>IF((inputPrYr!$B31&gt;"  "),(inputPrYr!$B31),"  ")</f>
        <v>  </v>
      </c>
      <c r="B35" s="165" t="str">
        <f>IF((inputPrYr!C31&gt;0),(inputPrYr!C31),"  ")</f>
        <v>  </v>
      </c>
      <c r="C35" s="158"/>
      <c r="D35" s="166"/>
      <c r="E35" s="435"/>
      <c r="F35" s="167"/>
    </row>
    <row r="36" spans="1:6" ht="15.75" hidden="1">
      <c r="A36" s="166" t="str">
        <f>IF((inputPrYr!$B32&gt;"  "),(inputPrYr!$B32),"  ")</f>
        <v>  </v>
      </c>
      <c r="B36" s="165" t="str">
        <f>IF((inputPrYr!C32&gt;0),(inputPrYr!C32),"  ")</f>
        <v>  </v>
      </c>
      <c r="C36" s="158"/>
      <c r="D36" s="166"/>
      <c r="E36" s="435"/>
      <c r="F36" s="167"/>
    </row>
    <row r="37" spans="1:6" ht="15.75" hidden="1">
      <c r="A37" s="166" t="str">
        <f>IF((inputPrYr!$B33&gt;"  "),(inputPrYr!$B33),"  ")</f>
        <v>  </v>
      </c>
      <c r="B37" s="165" t="str">
        <f>IF((inputPrYr!C33&gt;0),(inputPrYr!C33),"  ")</f>
        <v>  </v>
      </c>
      <c r="C37" s="158"/>
      <c r="D37" s="166"/>
      <c r="E37" s="435"/>
      <c r="F37" s="167"/>
    </row>
    <row r="38" spans="1:6" ht="15.75" hidden="1">
      <c r="A38" s="166" t="str">
        <f>IF((inputPrYr!$B34&gt;"  "),(inputPrYr!$B34),"  ")</f>
        <v>  </v>
      </c>
      <c r="B38" s="165" t="str">
        <f>IF((inputPrYr!C34&gt;0),(inputPrYr!C34),"  ")</f>
        <v>  </v>
      </c>
      <c r="C38" s="158"/>
      <c r="D38" s="166"/>
      <c r="E38" s="435"/>
      <c r="F38" s="167"/>
    </row>
    <row r="39" spans="1:6" ht="15.75" hidden="1">
      <c r="A39" s="166" t="str">
        <f>IF((inputPrYr!$B35&gt;"  "),(inputPrYr!$B35),"  ")</f>
        <v>  </v>
      </c>
      <c r="B39" s="165" t="str">
        <f>IF((inputPrYr!C35&gt;0),(inputPrYr!C35),"  ")</f>
        <v>  </v>
      </c>
      <c r="C39" s="158"/>
      <c r="D39" s="166"/>
      <c r="E39" s="435"/>
      <c r="F39" s="167"/>
    </row>
    <row r="40" spans="1:6" ht="15.75" hidden="1">
      <c r="A40" s="166" t="str">
        <f>IF((inputPrYr!$B36&gt;"  "),(inputPrYr!$B36),"  ")</f>
        <v>  </v>
      </c>
      <c r="B40" s="165" t="str">
        <f>IF((inputPrYr!C36&gt;0),(inputPrYr!C36),"  ")</f>
        <v>  </v>
      </c>
      <c r="C40" s="158"/>
      <c r="D40" s="166"/>
      <c r="E40" s="435"/>
      <c r="F40" s="167"/>
    </row>
    <row r="41" spans="1:6" ht="15.75" hidden="1">
      <c r="A41" s="166" t="str">
        <f>IF((inputPrYr!$B37&gt;"  "),(inputPrYr!$B37),"  ")</f>
        <v>  </v>
      </c>
      <c r="B41" s="165" t="str">
        <f>IF((inputPrYr!C37&gt;0),(inputPrYr!C37),"  ")</f>
        <v>  </v>
      </c>
      <c r="C41" s="158"/>
      <c r="D41" s="166"/>
      <c r="E41" s="435"/>
      <c r="F41" s="167"/>
    </row>
    <row r="42" spans="1:6" ht="15.75" hidden="1">
      <c r="A42" s="166" t="str">
        <f>IF((inputPrYr!$B38&gt;"  "),(inputPrYr!$B38),"  ")</f>
        <v>  </v>
      </c>
      <c r="B42" s="165" t="str">
        <f>IF((inputPrYr!C38&gt;0),(inputPrYr!C38),"  ")</f>
        <v>  </v>
      </c>
      <c r="C42" s="158"/>
      <c r="D42" s="166"/>
      <c r="E42" s="435"/>
      <c r="F42" s="167"/>
    </row>
    <row r="43" spans="1:6" ht="15.75" hidden="1">
      <c r="A43" s="166" t="str">
        <f>IF((inputPrYr!$B39&gt;"  "),(inputPrYr!$B39),"  ")</f>
        <v>  </v>
      </c>
      <c r="B43" s="165" t="str">
        <f>IF((inputPrYr!C39&gt;0),(inputPrYr!C39),"  ")</f>
        <v>  </v>
      </c>
      <c r="C43" s="158"/>
      <c r="D43" s="166"/>
      <c r="E43" s="435"/>
      <c r="F43" s="167"/>
    </row>
    <row r="44" spans="1:6" ht="15.75" hidden="1">
      <c r="A44" s="166" t="str">
        <f>IF((inputPrYr!$B40&gt;"  "),(inputPrYr!$B40),"  ")</f>
        <v>  </v>
      </c>
      <c r="B44" s="165" t="str">
        <f>IF((inputPrYr!C40&gt;0),(inputPrYr!C40),"  ")</f>
        <v>  </v>
      </c>
      <c r="C44" s="158"/>
      <c r="D44" s="166"/>
      <c r="E44" s="435"/>
      <c r="F44" s="167"/>
    </row>
    <row r="45" spans="1:6" ht="15" customHeight="1">
      <c r="A45" s="166" t="str">
        <f>IF((inputPrYr!$B43&gt;"  "),(inputPrYr!$B43),"  ")</f>
        <v>Special Drug and Alcohol</v>
      </c>
      <c r="B45" s="169"/>
      <c r="C45" s="158">
        <f>IF('SpDrug SpParks'!C66&gt;0,'SpDrug SpParks'!C66,"  ")</f>
        <v>11</v>
      </c>
      <c r="D45" s="166">
        <f>IF('SpDrug SpParks'!$E$29&lt;&gt;0,'SpDrug SpParks'!$E$29,"  ")</f>
        <v>11000</v>
      </c>
      <c r="E45" s="163"/>
      <c r="F45" s="163"/>
    </row>
    <row r="46" spans="1:6" ht="15" customHeight="1">
      <c r="A46" s="166" t="str">
        <f>IF((inputPrYr!$B44&gt;"  "),(inputPrYr!$B44),"  ")</f>
        <v>Special Parks and Recreation</v>
      </c>
      <c r="B46" s="169"/>
      <c r="C46" s="158">
        <f>IF('SpDrug SpParks'!C66&gt;0,'SpDrug SpParks'!C66,"  ")</f>
        <v>11</v>
      </c>
      <c r="D46" s="166">
        <f>IF('SpDrug SpParks'!$E$60&lt;&gt;0,'SpDrug SpParks'!$E$60,"  ")</f>
        <v>7000</v>
      </c>
      <c r="E46" s="163"/>
      <c r="F46" s="163"/>
    </row>
    <row r="47" spans="1:6" ht="15" customHeight="1">
      <c r="A47" s="166" t="str">
        <f>IF((inputPrYr!$B45&gt;"  "),(inputPrYr!$B45),"  ")</f>
        <v>Noxious Weed Capital Outlay</v>
      </c>
      <c r="B47" s="169"/>
      <c r="C47" s="158">
        <f>IF('NoxWeedCO 911TeleTax'!C66&gt;0,'NoxWeedCO 911TeleTax'!C66,"  ")</f>
        <v>12</v>
      </c>
      <c r="D47" s="166">
        <f>IF('NoxWeedCO 911TeleTax'!$E$29&lt;&gt;0,'NoxWeedCO 911TeleTax'!$E$29,"  ")</f>
        <v>19139</v>
      </c>
      <c r="E47" s="163"/>
      <c r="F47" s="163"/>
    </row>
    <row r="48" spans="1:6" ht="15" customHeight="1">
      <c r="A48" s="166" t="str">
        <f>IF((inputPrYr!$B46&gt;"  "),(inputPrYr!$B46),"  ")</f>
        <v>911 Emergency Telephone Tax</v>
      </c>
      <c r="B48" s="169"/>
      <c r="C48" s="158">
        <f>IF('NoxWeedCO 911TeleTax'!C66&gt;0,'NoxWeedCO 911TeleTax'!C66,"  ")</f>
        <v>12</v>
      </c>
      <c r="D48" s="166">
        <f>IF('NoxWeedCO 911TeleTax'!$E$60&lt;&gt;0,'NoxWeedCO 911TeleTax'!$E$60,"  ")</f>
        <v>55000</v>
      </c>
      <c r="E48" s="163"/>
      <c r="F48" s="163"/>
    </row>
    <row r="49" spans="1:6" ht="15" customHeight="1">
      <c r="A49" s="166" t="str">
        <f>IF((inputPrYr!$B47&gt;"  "),(inputPrYr!$B47),"  ")</f>
        <v>911 Wireless Phone Tax</v>
      </c>
      <c r="B49" s="169"/>
      <c r="C49" s="158">
        <f>IF('911Wireless SpMotorVeh'!C66&gt;0,'911Wireless SpMotorVeh'!C66,"  ")</f>
        <v>13</v>
      </c>
      <c r="D49" s="166">
        <f>IF('911Wireless SpMotorVeh'!$E$29&lt;&gt;0,'911Wireless SpMotorVeh'!$E$29,"  ")</f>
        <v>13000</v>
      </c>
      <c r="E49" s="163"/>
      <c r="F49" s="163"/>
    </row>
    <row r="50" spans="1:6" ht="15" customHeight="1">
      <c r="A50" s="166" t="str">
        <f>IF((inputPrYr!$B48&gt;"  "),(inputPrYr!$B48),"  ")</f>
        <v>Special Motor Vehicle</v>
      </c>
      <c r="B50" s="169"/>
      <c r="C50" s="158">
        <f>IF('911Wireless SpMotorVeh'!C66&gt;0,'911Wireless SpMotorVeh'!C66,"  ")</f>
        <v>13</v>
      </c>
      <c r="D50" s="166">
        <f>IF('911Wireless SpMotorVeh'!$E$60&lt;&gt;0,'911Wireless SpMotorVeh'!$E$60,"  ")</f>
        <v>46460</v>
      </c>
      <c r="E50" s="163"/>
      <c r="F50" s="163"/>
    </row>
    <row r="51" spans="1:6" ht="15" customHeight="1">
      <c r="A51" s="166" t="str">
        <f>IF((inputPrYr!$B49&gt;"  "),(inputPrYr!$B49),"  ")</f>
        <v>Risk Management Reserve</v>
      </c>
      <c r="B51" s="169"/>
      <c r="C51" s="158">
        <f>IF(RiskManagement!C66&gt;0,RiskManagement!C66,"  ")</f>
        <v>14</v>
      </c>
      <c r="D51" s="166">
        <f>IF(RiskManagement!$E$29&lt;&gt;0,RiskManagement!$E$29,"  ")</f>
        <v>8000</v>
      </c>
      <c r="E51" s="163"/>
      <c r="F51" s="163"/>
    </row>
    <row r="52" spans="1:6" ht="15" customHeight="1" hidden="1">
      <c r="A52" s="166" t="str">
        <f>IF((inputPrYr!$B50&gt;"  "),(inputPrYr!$B50),"  ")</f>
        <v>  </v>
      </c>
      <c r="B52" s="169"/>
      <c r="C52" s="158">
        <f>IF(RiskManagement!C66&gt;0,RiskManagement!C66,"  ")</f>
        <v>14</v>
      </c>
      <c r="D52" s="166" t="str">
        <f>IF(RiskManagement!$E$60&lt;&gt;0,RiskManagement!$E$60,"  ")</f>
        <v>  </v>
      </c>
      <c r="E52" s="163"/>
      <c r="F52" s="163"/>
    </row>
    <row r="53" spans="1:6" ht="15" customHeight="1" hidden="1">
      <c r="A53" s="166" t="str">
        <f>IF((inputPrYr!$B51&gt;"  "),(inputPrYr!$B51),"  ")</f>
        <v>  </v>
      </c>
      <c r="B53" s="169"/>
      <c r="C53" s="158"/>
      <c r="D53" s="166"/>
      <c r="E53" s="163"/>
      <c r="F53" s="163"/>
    </row>
    <row r="54" spans="1:6" ht="15" customHeight="1" hidden="1">
      <c r="A54" s="166" t="str">
        <f>IF((inputPrYr!$B52&gt;"  "),(inputPrYr!$B52),"  ")</f>
        <v>  </v>
      </c>
      <c r="B54" s="169"/>
      <c r="C54" s="158"/>
      <c r="D54" s="166"/>
      <c r="E54" s="163"/>
      <c r="F54" s="163"/>
    </row>
    <row r="55" spans="1:6" ht="15" customHeight="1" hidden="1">
      <c r="A55" s="166" t="str">
        <f>IF((inputPrYr!$B53&gt;"  "),(inputPrYr!$B53),"  ")</f>
        <v>  </v>
      </c>
      <c r="B55" s="169"/>
      <c r="C55" s="158"/>
      <c r="D55" s="166"/>
      <c r="E55" s="163"/>
      <c r="F55" s="163"/>
    </row>
    <row r="56" spans="1:6" ht="15" customHeight="1" hidden="1">
      <c r="A56" s="166" t="str">
        <f>IF((inputPrYr!$B54&gt;"  "),(inputPrYr!$B54),"  ")</f>
        <v>  </v>
      </c>
      <c r="B56" s="169"/>
      <c r="C56" s="158"/>
      <c r="D56" s="166"/>
      <c r="E56" s="170"/>
      <c r="F56" s="170"/>
    </row>
    <row r="57" spans="1:6" ht="15" customHeight="1" hidden="1">
      <c r="A57" s="166" t="str">
        <f>IF((inputPrYr!$B55&gt;"  "),(inputPrYr!$B55),"  ")</f>
        <v>  </v>
      </c>
      <c r="B57" s="169"/>
      <c r="C57" s="158"/>
      <c r="D57" s="166"/>
      <c r="E57" s="170"/>
      <c r="F57" s="170"/>
    </row>
    <row r="58" spans="1:6" ht="15" customHeight="1" hidden="1">
      <c r="A58" s="166" t="str">
        <f>IF((inputPrYr!$B56&gt;"  "),(inputPrYr!$B56),"  ")</f>
        <v>  </v>
      </c>
      <c r="B58" s="169"/>
      <c r="C58" s="158"/>
      <c r="D58" s="166"/>
      <c r="E58" s="170"/>
      <c r="F58" s="170"/>
    </row>
    <row r="59" spans="1:6" ht="15" customHeight="1" hidden="1">
      <c r="A59" s="166" t="str">
        <f>IF((inputPrYr!$B57&gt;"  "),(inputPrYr!$B57),"  ")</f>
        <v>  </v>
      </c>
      <c r="B59" s="169"/>
      <c r="C59" s="158"/>
      <c r="D59" s="166"/>
      <c r="E59" s="170"/>
      <c r="F59" s="170"/>
    </row>
    <row r="60" spans="1:6" ht="15" customHeight="1" hidden="1">
      <c r="A60" s="166" t="str">
        <f>IF((inputPrYr!$B58&gt;"  "),(inputPrYr!$B58),"  ")</f>
        <v>  </v>
      </c>
      <c r="B60" s="163"/>
      <c r="C60" s="158"/>
      <c r="D60" s="166"/>
      <c r="E60" s="170"/>
      <c r="F60" s="170"/>
    </row>
    <row r="61" spans="1:6" ht="15" customHeight="1">
      <c r="A61" s="166" t="str">
        <f>IF((inputPrYr!$B62&gt;"  "),(nonbudA!$A3),"  ")</f>
        <v>Non-Budgeted Funds-A</v>
      </c>
      <c r="B61" s="163"/>
      <c r="C61" s="158">
        <f>IF(nonbudA!$F$33&gt;0,nonbudA!$F$33,"  ")</f>
        <v>14</v>
      </c>
      <c r="D61" s="166"/>
      <c r="E61" s="170"/>
      <c r="F61" s="170"/>
    </row>
    <row r="62" spans="1:6" ht="15" customHeight="1">
      <c r="A62" s="166" t="str">
        <f>IF((inputPrYr!$B68&gt;"  "),(nonbudB!$A3),"  ")</f>
        <v>Non-Budgeted Funds-B</v>
      </c>
      <c r="B62" s="163"/>
      <c r="C62" s="158">
        <f>IF(nonbudB!$F$33&gt;0,nonbudB!$F$33,"  ")</f>
        <v>15</v>
      </c>
      <c r="D62" s="166"/>
      <c r="E62" s="170"/>
      <c r="F62" s="170"/>
    </row>
    <row r="63" spans="1:6" ht="15" customHeight="1">
      <c r="A63" s="166" t="str">
        <f>IF((inputPrYr!$B74&gt;"  "),(nonbudC!$A3),"  ")</f>
        <v>Non-Budgeted Funds-C</v>
      </c>
      <c r="B63" s="163"/>
      <c r="C63" s="158">
        <f>IF(nonbudC!$F$33&gt;0,nonbudC!$F$33,"  ")</f>
        <v>16</v>
      </c>
      <c r="D63" s="166"/>
      <c r="E63" s="170"/>
      <c r="F63" s="170"/>
    </row>
    <row r="64" spans="1:6" ht="12.75">
      <c r="A64" s="166" t="str">
        <f>IF((inputPrYr!$B80&gt;"  "),(#REF!),"  ")</f>
        <v>  </v>
      </c>
      <c r="B64" s="163"/>
      <c r="C64" s="158"/>
      <c r="D64" s="166"/>
      <c r="E64" s="170"/>
      <c r="F64" s="170"/>
    </row>
    <row r="65" spans="1:6" ht="14.25" customHeight="1" thickBot="1">
      <c r="A65" s="171" t="s">
        <v>76</v>
      </c>
      <c r="B65" s="170"/>
      <c r="C65" s="158" t="s">
        <v>27</v>
      </c>
      <c r="D65" s="172">
        <f>SUM(D21:D64)</f>
        <v>4625752</v>
      </c>
      <c r="E65" s="172">
        <f>SUM(E21:E44)</f>
        <v>3286985.9</v>
      </c>
      <c r="F65" s="173">
        <f>IF(SUM(F21:F44)=0,"",SUM(F21:F44))</f>
      </c>
    </row>
    <row r="66" spans="1:6" ht="14.25" customHeight="1" thickTop="1">
      <c r="A66" s="174" t="s">
        <v>26</v>
      </c>
      <c r="B66" s="175"/>
      <c r="C66" s="158">
        <f>summ!E77</f>
        <v>17</v>
      </c>
      <c r="D66" s="176"/>
      <c r="E66" s="176"/>
      <c r="F66" s="154"/>
    </row>
    <row r="67" spans="1:6" ht="12.75">
      <c r="A67" s="155"/>
      <c r="B67" s="156"/>
      <c r="C67" s="158"/>
      <c r="D67" s="177"/>
      <c r="E67" s="138"/>
      <c r="F67" s="390" t="s">
        <v>240</v>
      </c>
    </row>
    <row r="68" spans="1:6" ht="15.75">
      <c r="A68" s="481" t="s">
        <v>43</v>
      </c>
      <c r="B68" s="482"/>
      <c r="C68" s="168">
        <f>IF(Nhood!C51&gt;0,Nhood!C51,"")</f>
        <v>18</v>
      </c>
      <c r="D68" s="178" t="s">
        <v>29</v>
      </c>
      <c r="E68" s="179" t="str">
        <f>IF(E65&gt;computation!J35,"Yes","No")</f>
        <v>Yes</v>
      </c>
      <c r="F68" s="180"/>
    </row>
    <row r="69" spans="1:6" ht="14.25" customHeight="1">
      <c r="A69" s="155" t="s">
        <v>28</v>
      </c>
      <c r="B69" s="181"/>
      <c r="C69" s="168">
        <f>IF(Resolution!E55&gt;0,Resolution!E55,"")</f>
      </c>
      <c r="D69" s="177"/>
      <c r="E69" s="154"/>
      <c r="F69" s="484" t="str">
        <f>CONCATENATE("Nov 1, ",F3-1," Total Assessed Valuation")</f>
        <v>Nov 1, 2011 Total Assessed Valuation</v>
      </c>
    </row>
    <row r="70" spans="1:6" ht="12.75">
      <c r="A70" s="136" t="s">
        <v>66</v>
      </c>
      <c r="B70" s="138"/>
      <c r="C70" s="142"/>
      <c r="D70" s="138"/>
      <c r="E70" s="138"/>
      <c r="F70" s="485"/>
    </row>
    <row r="71" spans="1:6" ht="12.75">
      <c r="A71" s="183" t="s">
        <v>424</v>
      </c>
      <c r="B71" s="138"/>
      <c r="C71" s="138"/>
      <c r="D71" s="138"/>
      <c r="E71" s="360"/>
      <c r="F71" s="360"/>
    </row>
    <row r="72" spans="1:6" ht="12.75">
      <c r="A72" s="185"/>
      <c r="B72" s="182"/>
      <c r="C72" s="138"/>
      <c r="D72" s="138"/>
      <c r="E72" s="184"/>
      <c r="F72" s="184"/>
    </row>
    <row r="73" spans="1:6" ht="12.75">
      <c r="A73" s="359" t="s">
        <v>241</v>
      </c>
      <c r="B73" s="182"/>
      <c r="C73" s="388"/>
      <c r="D73" s="388"/>
      <c r="E73" s="389"/>
      <c r="F73" s="389"/>
    </row>
    <row r="74" spans="1:6" ht="12.75">
      <c r="A74" s="183" t="s">
        <v>425</v>
      </c>
      <c r="B74" s="138"/>
      <c r="C74" s="149"/>
      <c r="D74" s="149"/>
      <c r="E74" s="186"/>
      <c r="F74" s="186"/>
    </row>
    <row r="75" spans="1:6" ht="12.75">
      <c r="A75" s="185" t="s">
        <v>426</v>
      </c>
      <c r="B75" s="187"/>
      <c r="C75" s="138"/>
      <c r="D75" s="138"/>
      <c r="E75" s="184"/>
      <c r="F75" s="188"/>
    </row>
    <row r="76" spans="1:6" ht="12.75">
      <c r="A76" s="185"/>
      <c r="B76" s="138"/>
      <c r="C76" s="149"/>
      <c r="D76" s="149"/>
      <c r="E76" s="186"/>
      <c r="F76" s="189"/>
    </row>
    <row r="77" spans="1:6" ht="12.75">
      <c r="A77" s="387" t="s">
        <v>6</v>
      </c>
      <c r="B77" s="190">
        <f>F3-1</f>
        <v>2011</v>
      </c>
      <c r="C77" s="138"/>
      <c r="D77" s="138"/>
      <c r="E77" s="140"/>
      <c r="F77" s="138"/>
    </row>
    <row r="78" spans="1:6" ht="12.75">
      <c r="A78" s="386"/>
      <c r="B78" s="138"/>
      <c r="C78" s="149"/>
      <c r="D78" s="149"/>
      <c r="E78" s="149"/>
      <c r="F78" s="149"/>
    </row>
    <row r="79" spans="1:6" ht="15">
      <c r="A79" s="391" t="s">
        <v>68</v>
      </c>
      <c r="B79" s="138"/>
      <c r="C79" s="483" t="s">
        <v>67</v>
      </c>
      <c r="D79" s="480"/>
      <c r="E79" s="480"/>
      <c r="F79" s="480"/>
    </row>
    <row r="80" spans="1:6" ht="12.75">
      <c r="A80" s="472"/>
      <c r="B80" s="472"/>
      <c r="C80" s="472"/>
      <c r="D80" s="472"/>
      <c r="E80" s="472"/>
      <c r="F80" s="472"/>
    </row>
    <row r="81" spans="3:6" ht="12.75">
      <c r="C81" s="191"/>
      <c r="E81" s="191"/>
      <c r="F81" s="191"/>
    </row>
  </sheetData>
  <sheetProtection/>
  <mergeCells count="9">
    <mergeCell ref="A80:F80"/>
    <mergeCell ref="A2:F2"/>
    <mergeCell ref="E13:E14"/>
    <mergeCell ref="A6:F6"/>
    <mergeCell ref="A4:F4"/>
    <mergeCell ref="A5:F5"/>
    <mergeCell ref="A68:B68"/>
    <mergeCell ref="C79:F79"/>
    <mergeCell ref="F69:F70"/>
  </mergeCells>
  <printOptions/>
  <pageMargins left="0.5" right="0.5" top="0" bottom="0.23" header="0" footer="0"/>
  <pageSetup blackAndWhite="1" fitToHeight="1" fitToWidth="1" horizontalDpi="600" verticalDpi="600" orientation="portrait" scale="89" r:id="rId1"/>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
      <selection activeCell="A1" sqref="A1"/>
    </sheetView>
  </sheetViews>
  <sheetFormatPr defaultColWidth="8.796875" defaultRowHeight="15.75" customHeight="1"/>
  <cols>
    <col min="1" max="2" width="3.296875" style="55" customWidth="1"/>
    <col min="3" max="3" width="31.296875" style="55" customWidth="1"/>
    <col min="4" max="4" width="2.296875" style="55" customWidth="1"/>
    <col min="5" max="5" width="15.796875" style="55" customWidth="1"/>
    <col min="6" max="6" width="2" style="55" customWidth="1"/>
    <col min="7" max="7" width="15.796875" style="55" customWidth="1"/>
    <col min="8" max="8" width="1.8984375" style="55" customWidth="1"/>
    <col min="9" max="9" width="1.796875" style="55" customWidth="1"/>
    <col min="10" max="10" width="15.796875" style="55" customWidth="1"/>
    <col min="11" max="16384" width="8.8984375" style="55" customWidth="1"/>
  </cols>
  <sheetData>
    <row r="1" spans="1:10" ht="15.75" customHeight="1">
      <c r="A1" s="59"/>
      <c r="B1" s="59"/>
      <c r="C1" s="199" t="str">
        <f>inputPrYr!C2</f>
        <v>Edwards County</v>
      </c>
      <c r="D1" s="59"/>
      <c r="E1" s="59"/>
      <c r="F1" s="59"/>
      <c r="G1" s="59"/>
      <c r="H1" s="59"/>
      <c r="I1" s="59"/>
      <c r="J1" s="59">
        <f>inputPrYr!C4</f>
        <v>2012</v>
      </c>
    </row>
    <row r="2" spans="1:10" ht="15.75" customHeight="1">
      <c r="A2" s="59"/>
      <c r="B2" s="59"/>
      <c r="C2" s="59"/>
      <c r="D2" s="59"/>
      <c r="E2" s="59"/>
      <c r="F2" s="59"/>
      <c r="G2" s="59"/>
      <c r="H2" s="59"/>
      <c r="I2" s="59"/>
      <c r="J2" s="59"/>
    </row>
    <row r="3" spans="1:10" ht="15.75">
      <c r="A3" s="460" t="str">
        <f>CONCATENATE("Computation to Determine Limit for ",J1,"")</f>
        <v>Computation to Determine Limit for 2012</v>
      </c>
      <c r="B3" s="487"/>
      <c r="C3" s="487"/>
      <c r="D3" s="487"/>
      <c r="E3" s="487"/>
      <c r="F3" s="487"/>
      <c r="G3" s="487"/>
      <c r="H3" s="487"/>
      <c r="I3" s="487"/>
      <c r="J3" s="487"/>
    </row>
    <row r="4" spans="1:10" ht="15.75">
      <c r="A4" s="59"/>
      <c r="B4" s="59"/>
      <c r="C4" s="59"/>
      <c r="D4" s="59"/>
      <c r="E4" s="487"/>
      <c r="F4" s="487"/>
      <c r="G4" s="487"/>
      <c r="H4" s="200"/>
      <c r="I4" s="59"/>
      <c r="J4" s="201" t="s">
        <v>168</v>
      </c>
    </row>
    <row r="5" spans="1:10" ht="15.75">
      <c r="A5" s="202" t="s">
        <v>169</v>
      </c>
      <c r="B5" s="59" t="str">
        <f>CONCATENATE("Total Tax Levy Amount in ",J1-1," Budget")</f>
        <v>Total Tax Levy Amount in 2011 Budget</v>
      </c>
      <c r="C5" s="59"/>
      <c r="D5" s="59"/>
      <c r="E5" s="119"/>
      <c r="F5" s="119"/>
      <c r="G5" s="119"/>
      <c r="H5" s="203" t="s">
        <v>170</v>
      </c>
      <c r="I5" s="119" t="s">
        <v>171</v>
      </c>
      <c r="J5" s="204">
        <f>inputPrYr!E41</f>
        <v>3101099</v>
      </c>
    </row>
    <row r="6" spans="1:10" ht="15.75">
      <c r="A6" s="202" t="s">
        <v>172</v>
      </c>
      <c r="B6" s="59" t="str">
        <f>CONCATENATE("Debt Service Levy in ",J1-1," Budget")</f>
        <v>Debt Service Levy in 2011 Budget</v>
      </c>
      <c r="C6" s="59"/>
      <c r="D6" s="59"/>
      <c r="E6" s="119"/>
      <c r="F6" s="119"/>
      <c r="G6" s="119"/>
      <c r="H6" s="203" t="s">
        <v>173</v>
      </c>
      <c r="I6" s="119" t="s">
        <v>171</v>
      </c>
      <c r="J6" s="125">
        <f>inputPrYr!E17</f>
        <v>0</v>
      </c>
    </row>
    <row r="7" spans="1:10" ht="15.75">
      <c r="A7" s="202" t="s">
        <v>174</v>
      </c>
      <c r="B7" s="126" t="s">
        <v>193</v>
      </c>
      <c r="C7" s="59"/>
      <c r="D7" s="59"/>
      <c r="E7" s="119"/>
      <c r="F7" s="119"/>
      <c r="G7" s="119"/>
      <c r="H7" s="119"/>
      <c r="I7" s="119" t="s">
        <v>171</v>
      </c>
      <c r="J7" s="125">
        <f>J5-J6</f>
        <v>3101099</v>
      </c>
    </row>
    <row r="8" spans="1:10" ht="15.75">
      <c r="A8" s="59"/>
      <c r="B8" s="59"/>
      <c r="C8" s="59"/>
      <c r="D8" s="59"/>
      <c r="E8" s="119"/>
      <c r="F8" s="119"/>
      <c r="G8" s="119"/>
      <c r="H8" s="119"/>
      <c r="I8" s="119"/>
      <c r="J8" s="119"/>
    </row>
    <row r="9" spans="1:10" ht="15.75">
      <c r="A9" s="59"/>
      <c r="B9" s="126" t="str">
        <f>CONCATENATE("",J1-1," Valuation Information for Valuation Adjustments:")</f>
        <v>2011 Valuation Information for Valuation Adjustments:</v>
      </c>
      <c r="C9" s="59"/>
      <c r="D9" s="59"/>
      <c r="E9" s="119"/>
      <c r="F9" s="119"/>
      <c r="G9" s="119"/>
      <c r="H9" s="119"/>
      <c r="I9" s="119"/>
      <c r="J9" s="119"/>
    </row>
    <row r="10" spans="1:10" ht="15.75">
      <c r="A10" s="59"/>
      <c r="B10" s="59"/>
      <c r="C10" s="126"/>
      <c r="D10" s="59"/>
      <c r="E10" s="119"/>
      <c r="F10" s="119"/>
      <c r="G10" s="119"/>
      <c r="H10" s="119"/>
      <c r="I10" s="119"/>
      <c r="J10" s="119"/>
    </row>
    <row r="11" spans="1:10" ht="15.75">
      <c r="A11" s="202" t="s">
        <v>175</v>
      </c>
      <c r="B11" s="126" t="str">
        <f>CONCATENATE("New Improvements for ",J1-1,":")</f>
        <v>New Improvements for 2011:</v>
      </c>
      <c r="C11" s="59"/>
      <c r="D11" s="59"/>
      <c r="E11" s="203"/>
      <c r="F11" s="203" t="s">
        <v>170</v>
      </c>
      <c r="G11" s="204">
        <f>inputOth!E7</f>
        <v>115827</v>
      </c>
      <c r="H11" s="97"/>
      <c r="I11" s="119"/>
      <c r="J11" s="119"/>
    </row>
    <row r="12" spans="1:10" ht="15.75">
      <c r="A12" s="202"/>
      <c r="B12" s="202"/>
      <c r="C12" s="59"/>
      <c r="D12" s="59"/>
      <c r="E12" s="203"/>
      <c r="F12" s="203"/>
      <c r="G12" s="97"/>
      <c r="H12" s="97"/>
      <c r="I12" s="119"/>
      <c r="J12" s="119"/>
    </row>
    <row r="13" spans="1:10" ht="15.75">
      <c r="A13" s="202" t="s">
        <v>176</v>
      </c>
      <c r="B13" s="126" t="str">
        <f>CONCATENATE("Increase in Personal Property for ",J1-1,":")</f>
        <v>Increase in Personal Property for 2011:</v>
      </c>
      <c r="C13" s="59"/>
      <c r="D13" s="59"/>
      <c r="E13" s="203"/>
      <c r="F13" s="203"/>
      <c r="G13" s="97"/>
      <c r="H13" s="97"/>
      <c r="I13" s="119"/>
      <c r="J13" s="119"/>
    </row>
    <row r="14" spans="1:10" ht="15.75">
      <c r="A14" s="59"/>
      <c r="B14" s="59" t="s">
        <v>177</v>
      </c>
      <c r="C14" s="59" t="str">
        <f>CONCATENATE("Personal Property ",J1-1,"")</f>
        <v>Personal Property 2011</v>
      </c>
      <c r="D14" s="202" t="s">
        <v>170</v>
      </c>
      <c r="E14" s="204">
        <f>inputOth!E8</f>
        <v>1401103</v>
      </c>
      <c r="F14" s="203"/>
      <c r="G14" s="119"/>
      <c r="H14" s="119"/>
      <c r="I14" s="97"/>
      <c r="J14" s="119"/>
    </row>
    <row r="15" spans="1:10" ht="15.75">
      <c r="A15" s="202"/>
      <c r="B15" s="59" t="s">
        <v>178</v>
      </c>
      <c r="C15" s="59" t="str">
        <f>CONCATENATE("Personal Property ",J1-2,"")</f>
        <v>Personal Property 2010</v>
      </c>
      <c r="D15" s="202" t="s">
        <v>173</v>
      </c>
      <c r="E15" s="125">
        <f>inputOth!E10</f>
        <v>1363612</v>
      </c>
      <c r="F15" s="203"/>
      <c r="G15" s="97"/>
      <c r="H15" s="97"/>
      <c r="I15" s="119"/>
      <c r="J15" s="119"/>
    </row>
    <row r="16" spans="1:10" ht="15.75">
      <c r="A16" s="202"/>
      <c r="B16" s="59" t="s">
        <v>179</v>
      </c>
      <c r="C16" s="59" t="s">
        <v>195</v>
      </c>
      <c r="D16" s="59"/>
      <c r="E16" s="119"/>
      <c r="F16" s="119" t="s">
        <v>170</v>
      </c>
      <c r="G16" s="204">
        <f>IF(E14&gt;E15,E14-E15,0)</f>
        <v>37491</v>
      </c>
      <c r="H16" s="97"/>
      <c r="I16" s="119"/>
      <c r="J16" s="119"/>
    </row>
    <row r="17" spans="1:10" ht="15.75">
      <c r="A17" s="202"/>
      <c r="B17" s="202"/>
      <c r="C17" s="59"/>
      <c r="D17" s="59"/>
      <c r="E17" s="119"/>
      <c r="F17" s="119"/>
      <c r="G17" s="97" t="s">
        <v>185</v>
      </c>
      <c r="H17" s="97"/>
      <c r="I17" s="119"/>
      <c r="J17" s="119"/>
    </row>
    <row r="18" spans="1:10" ht="15.75">
      <c r="A18" s="202"/>
      <c r="B18" s="202"/>
      <c r="C18" s="59"/>
      <c r="D18" s="202"/>
      <c r="E18" s="97"/>
      <c r="F18" s="119"/>
      <c r="G18" s="97"/>
      <c r="H18" s="97"/>
      <c r="I18" s="119"/>
      <c r="J18" s="119"/>
    </row>
    <row r="19" spans="1:10" ht="15.75">
      <c r="A19" s="202" t="s">
        <v>180</v>
      </c>
      <c r="B19" s="126" t="str">
        <f>CONCATENATE("Valuation of Property that has Changed in Use during ",J1-1,":")</f>
        <v>Valuation of Property that has Changed in Use during 2011:</v>
      </c>
      <c r="C19" s="59"/>
      <c r="D19" s="59"/>
      <c r="E19" s="119"/>
      <c r="F19" s="119"/>
      <c r="G19" s="119">
        <f>inputOth!E9</f>
        <v>21294</v>
      </c>
      <c r="H19" s="119"/>
      <c r="I19" s="119"/>
      <c r="J19" s="119"/>
    </row>
    <row r="20" spans="1:10" ht="15.75">
      <c r="A20" s="202"/>
      <c r="B20" s="59"/>
      <c r="C20" s="59"/>
      <c r="D20" s="202"/>
      <c r="E20" s="97"/>
      <c r="F20" s="119"/>
      <c r="G20" s="205"/>
      <c r="H20" s="97"/>
      <c r="I20" s="119"/>
      <c r="J20" s="119"/>
    </row>
    <row r="21" spans="1:10" ht="15.75">
      <c r="A21" s="202" t="s">
        <v>189</v>
      </c>
      <c r="B21" s="126" t="s">
        <v>194</v>
      </c>
      <c r="C21" s="59"/>
      <c r="D21" s="59"/>
      <c r="E21" s="119"/>
      <c r="F21" s="119"/>
      <c r="G21" s="204">
        <f>G11+G16+G19</f>
        <v>174612</v>
      </c>
      <c r="H21" s="97"/>
      <c r="I21" s="119"/>
      <c r="J21" s="119"/>
    </row>
    <row r="22" spans="1:10" ht="15.75">
      <c r="A22" s="202"/>
      <c r="B22" s="202"/>
      <c r="C22" s="126"/>
      <c r="D22" s="59"/>
      <c r="E22" s="119"/>
      <c r="F22" s="119"/>
      <c r="G22" s="97"/>
      <c r="H22" s="97"/>
      <c r="I22" s="119"/>
      <c r="J22" s="119"/>
    </row>
    <row r="23" spans="1:10" ht="15.75">
      <c r="A23" s="202" t="s">
        <v>190</v>
      </c>
      <c r="B23" s="59" t="str">
        <f>CONCATENATE("Total Estimated Valuation July 1,",J1-1,"")</f>
        <v>Total Estimated Valuation July 1,2011</v>
      </c>
      <c r="C23" s="59"/>
      <c r="D23" s="59"/>
      <c r="E23" s="204">
        <f>inputOth!E6</f>
        <v>43479093</v>
      </c>
      <c r="F23" s="119"/>
      <c r="G23" s="119"/>
      <c r="H23" s="119"/>
      <c r="I23" s="203"/>
      <c r="J23" s="119"/>
    </row>
    <row r="24" spans="1:10" ht="15.75">
      <c r="A24" s="202"/>
      <c r="B24" s="202"/>
      <c r="C24" s="59"/>
      <c r="D24" s="59"/>
      <c r="E24" s="97"/>
      <c r="F24" s="119"/>
      <c r="G24" s="119"/>
      <c r="H24" s="119"/>
      <c r="I24" s="203"/>
      <c r="J24" s="119"/>
    </row>
    <row r="25" spans="1:10" ht="15.75">
      <c r="A25" s="202" t="s">
        <v>181</v>
      </c>
      <c r="B25" s="126" t="s">
        <v>198</v>
      </c>
      <c r="C25" s="59"/>
      <c r="D25" s="59"/>
      <c r="E25" s="119"/>
      <c r="F25" s="119"/>
      <c r="G25" s="204">
        <f>E23-G21</f>
        <v>43304481</v>
      </c>
      <c r="H25" s="97"/>
      <c r="I25" s="203"/>
      <c r="J25" s="119"/>
    </row>
    <row r="26" spans="1:10" ht="15.75">
      <c r="A26" s="202"/>
      <c r="B26" s="202"/>
      <c r="C26" s="126"/>
      <c r="D26" s="59"/>
      <c r="E26" s="59"/>
      <c r="F26" s="59"/>
      <c r="G26" s="206"/>
      <c r="H26" s="62"/>
      <c r="I26" s="202"/>
      <c r="J26" s="59"/>
    </row>
    <row r="27" spans="1:10" ht="15.75">
      <c r="A27" s="202" t="s">
        <v>182</v>
      </c>
      <c r="B27" s="59" t="s">
        <v>197</v>
      </c>
      <c r="C27" s="59"/>
      <c r="D27" s="59"/>
      <c r="E27" s="59"/>
      <c r="F27" s="59"/>
      <c r="G27" s="207">
        <f>IF(G21&gt;0,G21/G25,0)</f>
        <v>0.004032192419070904</v>
      </c>
      <c r="H27" s="62"/>
      <c r="I27" s="59"/>
      <c r="J27" s="59"/>
    </row>
    <row r="28" spans="1:10" ht="15.75">
      <c r="A28" s="202"/>
      <c r="B28" s="202"/>
      <c r="C28" s="59"/>
      <c r="D28" s="59"/>
      <c r="E28" s="59"/>
      <c r="F28" s="59"/>
      <c r="G28" s="62"/>
      <c r="H28" s="62"/>
      <c r="I28" s="59"/>
      <c r="J28" s="59"/>
    </row>
    <row r="29" spans="1:10" ht="15.75">
      <c r="A29" s="202" t="s">
        <v>183</v>
      </c>
      <c r="B29" s="59" t="s">
        <v>196</v>
      </c>
      <c r="C29" s="59"/>
      <c r="D29" s="59"/>
      <c r="E29" s="59"/>
      <c r="F29" s="59"/>
      <c r="G29" s="62"/>
      <c r="H29" s="208" t="s">
        <v>170</v>
      </c>
      <c r="I29" s="59" t="s">
        <v>171</v>
      </c>
      <c r="J29" s="204">
        <f>ROUND(G27*J7,0)</f>
        <v>12504</v>
      </c>
    </row>
    <row r="30" spans="1:10" ht="15.75">
      <c r="A30" s="202"/>
      <c r="B30" s="202"/>
      <c r="C30" s="59"/>
      <c r="D30" s="59"/>
      <c r="E30" s="59"/>
      <c r="F30" s="59"/>
      <c r="G30" s="62"/>
      <c r="H30" s="208"/>
      <c r="I30" s="59"/>
      <c r="J30" s="97"/>
    </row>
    <row r="31" spans="1:10" ht="16.5" thickBot="1">
      <c r="A31" s="202" t="s">
        <v>184</v>
      </c>
      <c r="B31" s="126" t="s">
        <v>202</v>
      </c>
      <c r="C31" s="59"/>
      <c r="D31" s="59"/>
      <c r="E31" s="59"/>
      <c r="F31" s="59"/>
      <c r="G31" s="59"/>
      <c r="H31" s="59"/>
      <c r="I31" s="59" t="s">
        <v>171</v>
      </c>
      <c r="J31" s="209">
        <f>J7+J29</f>
        <v>3113603</v>
      </c>
    </row>
    <row r="32" spans="1:10" ht="16.5" thickTop="1">
      <c r="A32" s="59"/>
      <c r="B32" s="59"/>
      <c r="C32" s="59"/>
      <c r="D32" s="59"/>
      <c r="E32" s="59"/>
      <c r="F32" s="59"/>
      <c r="G32" s="59"/>
      <c r="H32" s="59"/>
      <c r="I32" s="59"/>
      <c r="J32" s="59"/>
    </row>
    <row r="33" spans="1:10" ht="15.75">
      <c r="A33" s="202" t="s">
        <v>200</v>
      </c>
      <c r="B33" s="126" t="str">
        <f>CONCATENATE("Debt Service Levy in this ",J1," Budget")</f>
        <v>Debt Service Levy in this 2012 Budget</v>
      </c>
      <c r="C33" s="59"/>
      <c r="D33" s="59"/>
      <c r="E33" s="59"/>
      <c r="F33" s="59"/>
      <c r="G33" s="59"/>
      <c r="H33" s="59"/>
      <c r="I33" s="59"/>
      <c r="J33" s="204">
        <v>0</v>
      </c>
    </row>
    <row r="34" spans="1:10" ht="15.75">
      <c r="A34" s="202"/>
      <c r="B34" s="126"/>
      <c r="C34" s="59"/>
      <c r="D34" s="59"/>
      <c r="E34" s="59"/>
      <c r="F34" s="59"/>
      <c r="G34" s="59"/>
      <c r="H34" s="59"/>
      <c r="I34" s="59"/>
      <c r="J34" s="62"/>
    </row>
    <row r="35" spans="1:10" ht="16.5" thickBot="1">
      <c r="A35" s="202" t="s">
        <v>201</v>
      </c>
      <c r="B35" s="126" t="s">
        <v>203</v>
      </c>
      <c r="C35" s="59"/>
      <c r="D35" s="59"/>
      <c r="E35" s="59"/>
      <c r="F35" s="59"/>
      <c r="G35" s="59"/>
      <c r="H35" s="59"/>
      <c r="I35" s="59"/>
      <c r="J35" s="209">
        <f>J31+J33</f>
        <v>3113603</v>
      </c>
    </row>
    <row r="36" spans="1:10" ht="16.5" thickTop="1">
      <c r="A36" s="59"/>
      <c r="B36" s="59"/>
      <c r="C36" s="59"/>
      <c r="D36" s="59"/>
      <c r="E36" s="59"/>
      <c r="F36" s="59"/>
      <c r="G36" s="59"/>
      <c r="H36" s="59"/>
      <c r="I36" s="59"/>
      <c r="J36" s="59"/>
    </row>
    <row r="37" spans="1:10" s="210" customFormat="1" ht="18.75">
      <c r="A37" s="486" t="str">
        <f>CONCATENATE("If the ",J1," budget includes tax levies exceeding the total on line 14, you must")</f>
        <v>If the 2012 budget includes tax levies exceeding the total on line 14, you must</v>
      </c>
      <c r="B37" s="486"/>
      <c r="C37" s="486"/>
      <c r="D37" s="486"/>
      <c r="E37" s="486"/>
      <c r="F37" s="486"/>
      <c r="G37" s="486"/>
      <c r="H37" s="486"/>
      <c r="I37" s="486"/>
      <c r="J37" s="486"/>
    </row>
    <row r="38" spans="1:10" s="210" customFormat="1" ht="18.75">
      <c r="A38" s="486" t="s">
        <v>199</v>
      </c>
      <c r="B38" s="486"/>
      <c r="C38" s="486"/>
      <c r="D38" s="486"/>
      <c r="E38" s="486"/>
      <c r="F38" s="486"/>
      <c r="G38" s="486"/>
      <c r="H38" s="486"/>
      <c r="I38" s="486"/>
      <c r="J38" s="486"/>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A1" sqref="A1"/>
    </sheetView>
  </sheetViews>
  <sheetFormatPr defaultColWidth="8.796875" defaultRowHeight="15"/>
  <cols>
    <col min="1" max="1" width="19.69921875" style="1" customWidth="1"/>
    <col min="2" max="2" width="17.59765625" style="1" customWidth="1"/>
    <col min="3" max="3" width="0.203125" style="1" customWidth="1"/>
    <col min="4" max="8" width="11.796875" style="1" customWidth="1"/>
    <col min="9" max="16384" width="8.8984375" style="1" customWidth="1"/>
  </cols>
  <sheetData>
    <row r="1" spans="1:8" ht="15.75">
      <c r="A1" s="13" t="str">
        <f>inputPrYr!C2</f>
        <v>Edwards County</v>
      </c>
      <c r="B1" s="6"/>
      <c r="C1" s="6"/>
      <c r="D1" s="6"/>
      <c r="E1" s="6"/>
      <c r="F1" s="5"/>
      <c r="G1" s="5"/>
      <c r="H1" s="50">
        <f>inputPrYr!C4</f>
        <v>2012</v>
      </c>
    </row>
    <row r="2" spans="1:8" ht="15.75">
      <c r="A2" s="6"/>
      <c r="B2" s="6"/>
      <c r="C2" s="6"/>
      <c r="D2" s="6"/>
      <c r="E2" s="6"/>
      <c r="F2" s="5"/>
      <c r="G2" s="5"/>
      <c r="H2" s="14"/>
    </row>
    <row r="3" spans="1:8" ht="15.75">
      <c r="A3" s="490" t="s">
        <v>41</v>
      </c>
      <c r="B3" s="490"/>
      <c r="C3" s="490"/>
      <c r="D3" s="490"/>
      <c r="E3" s="490"/>
      <c r="F3" s="490"/>
      <c r="G3" s="490"/>
      <c r="H3" s="491"/>
    </row>
    <row r="4" spans="1:8" ht="15.75">
      <c r="A4" s="51"/>
      <c r="B4" s="51"/>
      <c r="C4" s="51"/>
      <c r="D4" s="51"/>
      <c r="E4" s="51"/>
      <c r="F4" s="51"/>
      <c r="G4" s="51"/>
      <c r="H4" s="53"/>
    </row>
    <row r="5" spans="1:8" ht="15.75">
      <c r="A5" s="8"/>
      <c r="B5" s="9"/>
      <c r="C5" s="9"/>
      <c r="D5" s="9"/>
      <c r="E5" s="9"/>
      <c r="F5" s="6"/>
      <c r="G5" s="6"/>
      <c r="H5" s="14"/>
    </row>
    <row r="6" spans="1:8" ht="21.75" customHeight="1">
      <c r="A6" s="16"/>
      <c r="B6" s="488" t="str">
        <f>CONCATENATE("Budget Tax Levy Amount for ",H1-2,"")</f>
        <v>Budget Tax Levy Amount for 2010</v>
      </c>
      <c r="C6" s="488" t="str">
        <f>CONCATENATE("Budget Tax Levy Rate for ",H1-1,"")</f>
        <v>Budget Tax Levy Rate for 2011</v>
      </c>
      <c r="D6" s="492" t="str">
        <f>CONCATENATE("Allocation for Year ",H1,"")</f>
        <v>Allocation for Year 2012</v>
      </c>
      <c r="E6" s="493"/>
      <c r="F6" s="493"/>
      <c r="G6" s="494"/>
      <c r="H6" s="52"/>
    </row>
    <row r="7" spans="1:8" ht="15.75">
      <c r="A7" s="4" t="str">
        <f>CONCATENATE("",H1-1," Budgeted Funds")</f>
        <v>2011 Budgeted Funds</v>
      </c>
      <c r="B7" s="489"/>
      <c r="C7" s="489"/>
      <c r="D7" s="10" t="s">
        <v>75</v>
      </c>
      <c r="E7" s="10" t="s">
        <v>165</v>
      </c>
      <c r="F7" s="10" t="s">
        <v>192</v>
      </c>
      <c r="G7" s="10" t="s">
        <v>256</v>
      </c>
      <c r="H7" s="52"/>
    </row>
    <row r="8" spans="1:8" ht="15.75">
      <c r="A8" s="12" t="str">
        <f>(inputPrYr!B16)</f>
        <v>General</v>
      </c>
      <c r="B8" s="40">
        <f>(inputPrYr!E16)</f>
        <v>1235707</v>
      </c>
      <c r="C8" s="41">
        <f>IF(inputPrYr!F16&gt;0,(inputPrYr!F16),"  ")</f>
        <v>28.422</v>
      </c>
      <c r="D8" s="40">
        <f>IF(inputPrYr!E16&gt;0,D35-SUM(D9:D32),0)</f>
        <v>99068</v>
      </c>
      <c r="E8" s="40">
        <f>IF(inputPrYr!E16=0,0,E37-SUM(E9:E32))</f>
        <v>1994</v>
      </c>
      <c r="F8" s="40">
        <f>IF(inputPrYr!E16=0,0,F39-SUM(F9:F32))</f>
        <v>12911</v>
      </c>
      <c r="G8" s="40">
        <f>IF(inputPrYr!E16=0,0,G41-SUM(G9:G32))</f>
        <v>0</v>
      </c>
      <c r="H8" s="52"/>
    </row>
    <row r="9" spans="1:8" ht="15.75">
      <c r="A9" s="12" t="str">
        <f>(inputPrYr!B17)</f>
        <v>Debt Service</v>
      </c>
      <c r="B9" s="40" t="str">
        <f>IF(inputPrYr!E17&gt;0,inputPrYr!E17," ")</f>
        <v> </v>
      </c>
      <c r="C9" s="41" t="str">
        <f>IF(inputPrYr!F17&gt;0,(inputPrYr!F17),"  ")</f>
        <v>  </v>
      </c>
      <c r="D9" s="40" t="str">
        <f>IF(inputPrYr!$E$17&gt;0,ROUND(+B9*D$43,0)," ")</f>
        <v> </v>
      </c>
      <c r="E9" s="40" t="str">
        <f>IF(inputPrYr!$E$17&gt;0,ROUND(+B9*E$45,0)," ")</f>
        <v> </v>
      </c>
      <c r="F9" s="40" t="str">
        <f>IF(inputPrYr!$E$17&gt;0,ROUND(+B9*F$47,0)," ")</f>
        <v> </v>
      </c>
      <c r="G9" s="40" t="str">
        <f>IF(inputPrYr!$E$17&gt;0,ROUND(+B9*G$49,0)," ")</f>
        <v> </v>
      </c>
      <c r="H9" s="52"/>
    </row>
    <row r="10" spans="1:8" ht="15.75">
      <c r="A10" s="12" t="str">
        <f>(inputPrYr!B18)</f>
        <v>Road &amp; Bridge</v>
      </c>
      <c r="B10" s="40">
        <f>IF(inputPrYr!E18&gt;0,inputPrYr!E18," ")</f>
        <v>762719</v>
      </c>
      <c r="C10" s="41">
        <f>IF(inputPrYr!F18&gt;0,(inputPrYr!F18),"  ")</f>
        <v>17.543</v>
      </c>
      <c r="D10" s="40">
        <f>IF(inputPrYr!$E$18&gt;0,ROUND(+B10*D$43,0)," ")</f>
        <v>61147</v>
      </c>
      <c r="E10" s="40">
        <f>IF(inputPrYr!$E$18&gt;0,ROUND(+B10*E$45,0)," ")</f>
        <v>1231</v>
      </c>
      <c r="F10" s="40">
        <f>IF(inputPrYr!$E$18&gt;0,ROUND(+B10*F$47,0)," ")</f>
        <v>7969</v>
      </c>
      <c r="G10" s="40">
        <f>IF(inputPrYr!$E$18&gt;0,ROUND(+B10*G$49,0)," ")</f>
        <v>0</v>
      </c>
      <c r="H10" s="52"/>
    </row>
    <row r="11" spans="1:8" ht="15.75">
      <c r="A11" s="12" t="str">
        <f>IF((inputPrYr!$B19&gt;" "),(inputPrYr!$B19),"  ")</f>
        <v>Noxious Weed</v>
      </c>
      <c r="B11" s="40">
        <f>IF(inputPrYr!E19&gt;0,inputPrYr!E19,"  ")</f>
        <v>65442</v>
      </c>
      <c r="C11" s="41">
        <f>IF(inputPrYr!F19&gt;0,(inputPrYr!F19),"  ")</f>
        <v>1.505</v>
      </c>
      <c r="D11" s="40">
        <f>IF(inputPrYr!$E$19&gt;0,ROUND(+B11*D$43,0)," ")</f>
        <v>5247</v>
      </c>
      <c r="E11" s="40">
        <f>IF(inputPrYr!$E$19&gt;0,ROUND(+B11*E$45,0)," ")</f>
        <v>106</v>
      </c>
      <c r="F11" s="40">
        <f>IF(inputPrYr!$E$19&gt;0,ROUND(+B11*F$47,0)," ")</f>
        <v>684</v>
      </c>
      <c r="G11" s="40">
        <f>IF(inputPrYr!$E$19&gt;0,ROUND(+B11*G$49,0)," ")</f>
        <v>0</v>
      </c>
      <c r="H11" s="52"/>
    </row>
    <row r="12" spans="1:8" ht="15.75">
      <c r="A12" s="12" t="str">
        <f>IF((inputPrYr!$B20&gt;" "),(inputPrYr!$B20),"  ")</f>
        <v>Employee Benefits</v>
      </c>
      <c r="B12" s="40">
        <f>IF(inputPrYr!E20&gt;0,inputPrYr!E20,"  ")</f>
        <v>692769</v>
      </c>
      <c r="C12" s="41">
        <f>IF(inputPrYr!F20&gt;0,(inputPrYr!F20),"  ")</f>
        <v>15.934</v>
      </c>
      <c r="D12" s="40">
        <f>IF(inputPrYr!E20&gt;0,ROUND(+B12*D$43,0),"  ")</f>
        <v>55539</v>
      </c>
      <c r="E12" s="40">
        <f>IF(inputPrYr!E20&gt;0,ROUND(+B12*E$45,0),"  ")</f>
        <v>1118</v>
      </c>
      <c r="F12" s="40">
        <f>IF(inputPrYr!E20&gt;0,ROUND(+B12*F$47,0),"  ")</f>
        <v>7238</v>
      </c>
      <c r="G12" s="40">
        <f>IF(inputPrYr!$E$20&gt;0,ROUND(+B12*G$49,0)," ")</f>
        <v>0</v>
      </c>
      <c r="H12" s="52"/>
    </row>
    <row r="13" spans="1:8" ht="15.75">
      <c r="A13" s="12" t="str">
        <f>IF((inputPrYr!$B21&gt;" "),(inputPrYr!$B21),"  ")</f>
        <v>County Health</v>
      </c>
      <c r="B13" s="40">
        <f>IF(inputPrYr!E21&gt;0,inputPrYr!E21,"  ")</f>
        <v>129231</v>
      </c>
      <c r="C13" s="41">
        <f>IF(inputPrYr!F21&gt;0,(inputPrYr!F21),"  ")</f>
        <v>2.972</v>
      </c>
      <c r="D13" s="40">
        <f>IF(inputPrYr!E21&gt;0,ROUND(+B13*D$43,0),"  ")</f>
        <v>10360</v>
      </c>
      <c r="E13" s="40">
        <f>IF(inputPrYr!E21&gt;0,ROUND(+B13*E$45,0),"  ")</f>
        <v>209</v>
      </c>
      <c r="F13" s="40">
        <f>IF(inputPrYr!E21&gt;0,ROUND(+B13*F$47,0),"  ")</f>
        <v>1350</v>
      </c>
      <c r="G13" s="40">
        <f>IF(inputPrYr!$E$21&gt;0,ROUND(+B13*G$49,0)," ")</f>
        <v>0</v>
      </c>
      <c r="H13" s="52"/>
    </row>
    <row r="14" spans="1:8" ht="15.75">
      <c r="A14" s="12" t="str">
        <f>IF((inputPrYr!$B22&gt;" "),(inputPrYr!$B22),"  ")</f>
        <v>Hospital Maintenance</v>
      </c>
      <c r="B14" s="40">
        <f>IF(inputPrYr!E22&gt;0,inputPrYr!E22,"  ")</f>
        <v>215231</v>
      </c>
      <c r="C14" s="41">
        <f>IF(inputPrYr!F22&gt;0,(inputPrYr!F22),"  ")</f>
        <v>4.95</v>
      </c>
      <c r="D14" s="40">
        <f>IF(inputPrYr!E22&gt;0,ROUND(+B14*D$43,0),"  ")</f>
        <v>17255</v>
      </c>
      <c r="E14" s="40">
        <f>IF(inputPrYr!E22&gt;0,ROUND(+B14*E$45,0),"  ")</f>
        <v>347</v>
      </c>
      <c r="F14" s="40">
        <f>IF(inputPrYr!E22&gt;0,ROUND(+B14*F$47,0),"  ")</f>
        <v>2249</v>
      </c>
      <c r="G14" s="40">
        <f>IF(inputPrYr!$E$22&gt;0,ROUND(+B14*G$49,0)," ")</f>
        <v>0</v>
      </c>
      <c r="H14" s="52"/>
    </row>
    <row r="15" spans="1:8" ht="15.75">
      <c r="A15" s="12" t="str">
        <f>IF((inputPrYr!$B23&gt;" "),(inputPrYr!$B23),"  ")</f>
        <v>  </v>
      </c>
      <c r="B15" s="40" t="str">
        <f>IF(inputPrYr!E23&gt;0,inputPrYr!E23,"  ")</f>
        <v>  </v>
      </c>
      <c r="C15" s="41" t="str">
        <f>IF(inputPrYr!F23&gt;0,(inputPrYr!F23),"  ")</f>
        <v>  </v>
      </c>
      <c r="D15" s="40" t="str">
        <f>IF(inputPrYr!E23&gt;0,ROUND(+B15*D$43,0),"  ")</f>
        <v>  </v>
      </c>
      <c r="E15" s="40" t="str">
        <f>IF(inputPrYr!E23&gt;0,ROUND(+B15*E$45,0),"  ")</f>
        <v>  </v>
      </c>
      <c r="F15" s="40" t="str">
        <f>IF(inputPrYr!E23&gt;0,ROUND(+B15*F$47,0),"  ")</f>
        <v>  </v>
      </c>
      <c r="G15" s="40" t="str">
        <f>IF(inputPrYr!$E$23&gt;0,ROUND(+B15*G$49,0)," ")</f>
        <v> </v>
      </c>
      <c r="H15" s="52"/>
    </row>
    <row r="16" spans="1:8" ht="15.75">
      <c r="A16" s="12" t="str">
        <f>IF((inputPrYr!$B24&gt;" "),(inputPrYr!$B24),"  ")</f>
        <v>  </v>
      </c>
      <c r="B16" s="40" t="str">
        <f>IF(inputPrYr!E24&gt;0,inputPrYr!E24,"  ")</f>
        <v>  </v>
      </c>
      <c r="C16" s="41" t="str">
        <f>IF(inputPrYr!F24&gt;0,(inputPrYr!F24),"  ")</f>
        <v>  </v>
      </c>
      <c r="D16" s="40" t="str">
        <f>IF(inputPrYr!E24&gt;0,ROUND(+B16*D$43,0),"  ")</f>
        <v>  </v>
      </c>
      <c r="E16" s="40" t="str">
        <f>IF(inputPrYr!E24&gt;0,ROUND(+B16*E$45,0),"  ")</f>
        <v>  </v>
      </c>
      <c r="F16" s="40" t="str">
        <f>IF(inputPrYr!E24&gt;0,ROUND(+B16*F$47,0),"  ")</f>
        <v>  </v>
      </c>
      <c r="G16" s="40" t="str">
        <f>IF(inputPrYr!$E$24&gt;0,ROUND(+B16*G$49,0)," ")</f>
        <v> </v>
      </c>
      <c r="H16" s="52"/>
    </row>
    <row r="17" spans="1:8" ht="15.75">
      <c r="A17" s="12" t="str">
        <f>IF((inputPrYr!$B25&gt;" "),(inputPrYr!$B25),"  ")</f>
        <v>  </v>
      </c>
      <c r="B17" s="40" t="str">
        <f>IF(inputPrYr!E25&gt;0,inputPrYr!E25,"  ")</f>
        <v>  </v>
      </c>
      <c r="C17" s="41" t="str">
        <f>IF(inputPrYr!F25&gt;0,(inputPrYr!F25),"  ")</f>
        <v>  </v>
      </c>
      <c r="D17" s="40" t="str">
        <f>IF(inputPrYr!E25&gt;0,ROUND(+B17*D$43,0),"  ")</f>
        <v>  </v>
      </c>
      <c r="E17" s="40" t="str">
        <f>IF(inputPrYr!E25&gt;0,ROUND(+B17*E$45,0),"  ")</f>
        <v>  </v>
      </c>
      <c r="F17" s="40" t="str">
        <f>IF(inputPrYr!E25&gt;0,ROUND(+B17*F$47,0),"  ")</f>
        <v>  </v>
      </c>
      <c r="G17" s="40" t="str">
        <f>IF(inputPrYr!$E$25&gt;0,ROUND(+B17*G$49,0)," ")</f>
        <v> </v>
      </c>
      <c r="H17" s="52"/>
    </row>
    <row r="18" spans="1:8" ht="15.75">
      <c r="A18" s="12" t="str">
        <f>IF((inputPrYr!$B26&gt;" "),(inputPrYr!$B26),"  ")</f>
        <v>  </v>
      </c>
      <c r="B18" s="40" t="str">
        <f>IF(inputPrYr!E26&gt;0,inputPrYr!E26,"  ")</f>
        <v>  </v>
      </c>
      <c r="C18" s="41" t="str">
        <f>IF(inputPrYr!F26&gt;0,(inputPrYr!F26),"  ")</f>
        <v>  </v>
      </c>
      <c r="D18" s="40" t="str">
        <f>IF(inputPrYr!E26&gt;0,ROUND(+B18*D$43,0),"  ")</f>
        <v>  </v>
      </c>
      <c r="E18" s="40" t="str">
        <f>IF(inputPrYr!E26&gt;0,ROUND(+B18*E$45,0),"  ")</f>
        <v>  </v>
      </c>
      <c r="F18" s="40" t="str">
        <f>IF(inputPrYr!E26&gt;0,ROUND(+B18*F$47,0),"  ")</f>
        <v>  </v>
      </c>
      <c r="G18" s="40" t="str">
        <f>IF(inputPrYr!$E$26&gt;0,ROUND(+B18*G$49,0)," ")</f>
        <v> </v>
      </c>
      <c r="H18" s="52"/>
    </row>
    <row r="19" spans="1:8" ht="15.75">
      <c r="A19" s="12" t="str">
        <f>IF((inputPrYr!$B27&gt;" "),(inputPrYr!$B27),"  ")</f>
        <v>  </v>
      </c>
      <c r="B19" s="40" t="str">
        <f>IF(inputPrYr!E27&gt;0,inputPrYr!E27,"  ")</f>
        <v>  </v>
      </c>
      <c r="C19" s="41" t="str">
        <f>IF(inputPrYr!F27&gt;0,(inputPrYr!F27),"  ")</f>
        <v>  </v>
      </c>
      <c r="D19" s="40" t="str">
        <f>IF(inputPrYr!E27&gt;0,ROUND(+B19*D$43,0),"  ")</f>
        <v>  </v>
      </c>
      <c r="E19" s="40" t="str">
        <f>IF(inputPrYr!E27&gt;0,ROUND(+B19*E$45,0),"  ")</f>
        <v>  </v>
      </c>
      <c r="F19" s="40" t="str">
        <f>IF(inputPrYr!E27&gt;0,ROUND(+B19*F$47,0),"  ")</f>
        <v>  </v>
      </c>
      <c r="G19" s="40" t="str">
        <f>IF(inputPrYr!$E$27&gt;0,ROUND(+B19*G$49,0)," ")</f>
        <v> </v>
      </c>
      <c r="H19" s="52"/>
    </row>
    <row r="20" spans="1:8" ht="15.75">
      <c r="A20" s="12" t="str">
        <f>IF((inputPrYr!$B28&gt;" "),(inputPrYr!$B28),"  ")</f>
        <v>  </v>
      </c>
      <c r="B20" s="40" t="str">
        <f>IF(inputPrYr!E28&gt;0,inputPrYr!E28,"  ")</f>
        <v>  </v>
      </c>
      <c r="C20" s="41" t="str">
        <f>IF(inputPrYr!F28&gt;0,(inputPrYr!F28),"  ")</f>
        <v>  </v>
      </c>
      <c r="D20" s="40" t="str">
        <f>IF(inputPrYr!E28&gt;0,ROUND(+B20*D$43,0),"  ")</f>
        <v>  </v>
      </c>
      <c r="E20" s="40" t="str">
        <f>IF(inputPrYr!E28&gt;0,ROUND(+B20*E$45,0),"  ")</f>
        <v>  </v>
      </c>
      <c r="F20" s="40" t="str">
        <f>IF(inputPrYr!E28&gt;0,ROUND(+B20*F$47,0),"  ")</f>
        <v>  </v>
      </c>
      <c r="G20" s="40" t="str">
        <f>IF(inputPrYr!$E$28&gt;0,ROUND(+B20*G$49,0)," ")</f>
        <v> </v>
      </c>
      <c r="H20" s="52"/>
    </row>
    <row r="21" spans="1:8" ht="15.75">
      <c r="A21" s="12" t="str">
        <f>IF((inputPrYr!$B29&gt;" "),(inputPrYr!$B29),"  ")</f>
        <v>  </v>
      </c>
      <c r="B21" s="40" t="str">
        <f>IF(inputPrYr!E29&gt;0,inputPrYr!E29,"  ")</f>
        <v>  </v>
      </c>
      <c r="C21" s="41" t="str">
        <f>IF(inputPrYr!F29&gt;0,(inputPrYr!F29),"  ")</f>
        <v>  </v>
      </c>
      <c r="D21" s="40" t="str">
        <f>IF(inputPrYr!E29&gt;0,ROUND(+B21*D$43,0),"  ")</f>
        <v>  </v>
      </c>
      <c r="E21" s="40" t="str">
        <f>IF(inputPrYr!E29&gt;0,ROUND(+B21*E$45,0),"  ")</f>
        <v>  </v>
      </c>
      <c r="F21" s="40" t="str">
        <f>IF(inputPrYr!E29&gt;0,ROUND(+B21*F$47,0),"  ")</f>
        <v>  </v>
      </c>
      <c r="G21" s="40" t="str">
        <f>IF(inputPrYr!$E$29&gt;0,ROUND(+B21*G$49,0)," ")</f>
        <v> </v>
      </c>
      <c r="H21" s="52"/>
    </row>
    <row r="22" spans="1:8" ht="15.75">
      <c r="A22" s="12" t="str">
        <f>IF((inputPrYr!$B30&gt;" "),(inputPrYr!$B30),"  ")</f>
        <v>  </v>
      </c>
      <c r="B22" s="40" t="str">
        <f>IF(inputPrYr!E30&gt;0,inputPrYr!E30,"  ")</f>
        <v>  </v>
      </c>
      <c r="C22" s="41" t="str">
        <f>IF(inputPrYr!F30&gt;0,(inputPrYr!F30),"  ")</f>
        <v>  </v>
      </c>
      <c r="D22" s="40" t="str">
        <f>IF(inputPrYr!E30&gt;0,ROUND(+B22*D$43,0),"  ")</f>
        <v>  </v>
      </c>
      <c r="E22" s="40" t="str">
        <f>IF(inputPrYr!E30&gt;0,ROUND(+B22*E$45,0),"  ")</f>
        <v>  </v>
      </c>
      <c r="F22" s="40" t="str">
        <f>IF(inputPrYr!E30&gt;0,ROUND(+B22*F$47,0),"  ")</f>
        <v>  </v>
      </c>
      <c r="G22" s="40" t="str">
        <f>IF(inputPrYr!$E$30&gt;0,ROUND(+B22*G$49,0)," ")</f>
        <v> </v>
      </c>
      <c r="H22" s="52"/>
    </row>
    <row r="23" spans="1:8" ht="15.75">
      <c r="A23" s="12" t="str">
        <f>IF((inputPrYr!$B31&gt;" "),(inputPrYr!$B31),"  ")</f>
        <v>  </v>
      </c>
      <c r="B23" s="40" t="str">
        <f>IF(inputPrYr!E31&gt;0,inputPrYr!E31,"  ")</f>
        <v>  </v>
      </c>
      <c r="C23" s="41" t="str">
        <f>IF(inputPrYr!F31&gt;0,(inputPrYr!F31),"  ")</f>
        <v>  </v>
      </c>
      <c r="D23" s="40" t="str">
        <f>IF(inputPrYr!E31&gt;0,ROUND(+B23*D$43,0),"  ")</f>
        <v>  </v>
      </c>
      <c r="E23" s="40" t="str">
        <f>IF(inputPrYr!E31&gt;0,ROUND(+B23*E$45,0),"  ")</f>
        <v>  </v>
      </c>
      <c r="F23" s="40" t="str">
        <f>IF(inputPrYr!E31&gt;0,ROUND(+B23*F$47,0),"  ")</f>
        <v>  </v>
      </c>
      <c r="G23" s="40" t="str">
        <f>IF(inputPrYr!$E$31&gt;0,ROUND(+B23*G$49,0)," ")</f>
        <v> </v>
      </c>
      <c r="H23" s="52"/>
    </row>
    <row r="24" spans="1:8" ht="15.75">
      <c r="A24" s="12" t="str">
        <f>IF((inputPrYr!$B32&gt;" "),(inputPrYr!$B32),"  ")</f>
        <v>  </v>
      </c>
      <c r="B24" s="40" t="str">
        <f>IF(inputPrYr!E32&gt;0,inputPrYr!E32,"  ")</f>
        <v>  </v>
      </c>
      <c r="C24" s="41" t="str">
        <f>IF(inputPrYr!F32&gt;0,(inputPrYr!F32),"  ")</f>
        <v>  </v>
      </c>
      <c r="D24" s="40" t="str">
        <f>IF(inputPrYr!E32&gt;0,ROUND(+B24*D$43,0),"  ")</f>
        <v>  </v>
      </c>
      <c r="E24" s="40" t="str">
        <f>IF(inputPrYr!E32&gt;0,ROUND(+B24*E$45,0),"  ")</f>
        <v>  </v>
      </c>
      <c r="F24" s="40" t="str">
        <f>IF(inputPrYr!E32&gt;0,ROUND(+B24*F$47,0),"  ")</f>
        <v>  </v>
      </c>
      <c r="G24" s="40" t="str">
        <f>IF(inputPrYr!$E$32&gt;0,ROUND(+B24*G$49,0)," ")</f>
        <v> </v>
      </c>
      <c r="H24" s="52"/>
    </row>
    <row r="25" spans="1:8" ht="15.75">
      <c r="A25" s="12" t="str">
        <f>IF((inputPrYr!$B33&gt;" "),(inputPrYr!$B33),"  ")</f>
        <v>  </v>
      </c>
      <c r="B25" s="40" t="str">
        <f>IF(inputPrYr!E33&gt;0,inputPrYr!E33,"  ")</f>
        <v>  </v>
      </c>
      <c r="C25" s="41" t="str">
        <f>IF(inputPrYr!F33&gt;0,(inputPrYr!F33),"  ")</f>
        <v>  </v>
      </c>
      <c r="D25" s="40" t="str">
        <f>IF(inputPrYr!E33&gt;0,ROUND(+B25*D$43,0),"  ")</f>
        <v>  </v>
      </c>
      <c r="E25" s="40" t="str">
        <f>IF(inputPrYr!E33&gt;0,ROUND(+B25*E$45,0),"  ")</f>
        <v>  </v>
      </c>
      <c r="F25" s="40" t="str">
        <f>IF(inputPrYr!E33&gt;0,ROUND(+B25*F$47,0),"  ")</f>
        <v>  </v>
      </c>
      <c r="G25" s="40" t="str">
        <f>IF(inputPrYr!$E$33&gt;0,ROUND(+B25*G$49,0)," ")</f>
        <v> </v>
      </c>
      <c r="H25" s="52"/>
    </row>
    <row r="26" spans="1:8" ht="15.75">
      <c r="A26" s="12" t="str">
        <f>IF((inputPrYr!$B34&gt;" "),(inputPrYr!$B34),"  ")</f>
        <v>  </v>
      </c>
      <c r="B26" s="40" t="str">
        <f>IF(inputPrYr!E34&gt;0,inputPrYr!E34,"  ")</f>
        <v>  </v>
      </c>
      <c r="C26" s="41" t="str">
        <f>IF(inputPrYr!F34&gt;0,(inputPrYr!F34),"  ")</f>
        <v>  </v>
      </c>
      <c r="D26" s="40" t="str">
        <f>IF(inputPrYr!E34&gt;0,ROUND(+B26*D$43,0),"  ")</f>
        <v>  </v>
      </c>
      <c r="E26" s="40" t="str">
        <f>IF(inputPrYr!E34&gt;0,ROUND(+B26*E$45,0),"  ")</f>
        <v>  </v>
      </c>
      <c r="F26" s="40" t="str">
        <f>IF(inputPrYr!E34&gt;0,ROUND(+B26*F$47,0),"  ")</f>
        <v>  </v>
      </c>
      <c r="G26" s="40" t="str">
        <f>IF(inputPrYr!$E$34&gt;0,ROUND(+B26*G$49,0)," ")</f>
        <v> </v>
      </c>
      <c r="H26" s="52"/>
    </row>
    <row r="27" spans="1:8" ht="15.75">
      <c r="A27" s="12" t="str">
        <f>IF((inputPrYr!$B35&gt;" "),(inputPrYr!$B35),"  ")</f>
        <v>  </v>
      </c>
      <c r="B27" s="40" t="str">
        <f>IF(inputPrYr!E35&gt;0,inputPrYr!E35,"  ")</f>
        <v>  </v>
      </c>
      <c r="C27" s="41" t="str">
        <f>IF(inputPrYr!F35&gt;0,(inputPrYr!F35),"  ")</f>
        <v>  </v>
      </c>
      <c r="D27" s="40" t="str">
        <f>IF(inputPrYr!E35&gt;0,ROUND(+B27*D$43,0),"  ")</f>
        <v>  </v>
      </c>
      <c r="E27" s="40" t="str">
        <f>IF(inputPrYr!E35&gt;0,ROUND(+B27*E$45,0),"  ")</f>
        <v>  </v>
      </c>
      <c r="F27" s="40" t="str">
        <f>IF(inputPrYr!E35&gt;0,ROUND(+B27*F$47,0),"  ")</f>
        <v>  </v>
      </c>
      <c r="G27" s="40" t="str">
        <f>IF(inputPrYr!$E$35&gt;0,ROUND(+B27*G$49,0)," ")</f>
        <v> </v>
      </c>
      <c r="H27" s="52"/>
    </row>
    <row r="28" spans="1:8" ht="15.75">
      <c r="A28" s="12" t="str">
        <f>IF((inputPrYr!$B36&gt;" "),(inputPrYr!$B36),"  ")</f>
        <v>  </v>
      </c>
      <c r="B28" s="40" t="str">
        <f>IF(inputPrYr!E36&gt;0,inputPrYr!E36,"  ")</f>
        <v>  </v>
      </c>
      <c r="C28" s="41" t="str">
        <f>IF(inputPrYr!F36&gt;0,(inputPrYr!F36),"  ")</f>
        <v>  </v>
      </c>
      <c r="D28" s="40" t="str">
        <f>IF(inputPrYr!E36&gt;0,ROUND(+B28*D$43,0),"  ")</f>
        <v>  </v>
      </c>
      <c r="E28" s="40" t="str">
        <f>IF(inputPrYr!E36&gt;0,ROUND(+B28*E$45,0),"  ")</f>
        <v>  </v>
      </c>
      <c r="F28" s="40" t="str">
        <f>IF(inputPrYr!E36&gt;0,ROUND(+B28*F$47,0),"  ")</f>
        <v>  </v>
      </c>
      <c r="G28" s="40" t="str">
        <f>IF(inputPrYr!$E$36&gt;0,ROUND(+B28*G$49,0)," ")</f>
        <v> </v>
      </c>
      <c r="H28" s="52"/>
    </row>
    <row r="29" spans="1:8" ht="15.75">
      <c r="A29" s="12" t="str">
        <f>IF((inputPrYr!$B37&gt;" "),(inputPrYr!$B37),"  ")</f>
        <v>  </v>
      </c>
      <c r="B29" s="40" t="str">
        <f>IF(inputPrYr!E37&gt;0,inputPrYr!E37,"  ")</f>
        <v>  </v>
      </c>
      <c r="C29" s="41" t="str">
        <f>IF(inputPrYr!F37&gt;0,(inputPrYr!F37),"  ")</f>
        <v>  </v>
      </c>
      <c r="D29" s="40" t="str">
        <f>IF(inputPrYr!E37&gt;0,ROUND(+B29*D$43,0),"  ")</f>
        <v>  </v>
      </c>
      <c r="E29" s="40" t="str">
        <f>IF(inputPrYr!E37&gt;0,ROUND(+B29*E$45,0),"  ")</f>
        <v>  </v>
      </c>
      <c r="F29" s="40" t="str">
        <f>IF(inputPrYr!E37&gt;0,ROUND(+B29*F$47,0),"  ")</f>
        <v>  </v>
      </c>
      <c r="G29" s="40" t="str">
        <f>IF(inputPrYr!$E$37&gt;0,ROUND(+B29*G$49,0)," ")</f>
        <v> </v>
      </c>
      <c r="H29" s="52"/>
    </row>
    <row r="30" spans="1:8" ht="15.75">
      <c r="A30" s="12" t="str">
        <f>IF((inputPrYr!$B38&gt;" "),(inputPrYr!$B38),"  ")</f>
        <v>  </v>
      </c>
      <c r="B30" s="40" t="str">
        <f>IF(inputPrYr!E38&gt;0,inputPrYr!E38,"  ")</f>
        <v>  </v>
      </c>
      <c r="C30" s="41" t="str">
        <f>IF(inputPrYr!F38&gt;0,(inputPrYr!F38),"  ")</f>
        <v>  </v>
      </c>
      <c r="D30" s="40" t="str">
        <f>IF(inputPrYr!E38&gt;0,ROUND(+B30*D$43,0),"  ")</f>
        <v>  </v>
      </c>
      <c r="E30" s="40" t="str">
        <f>IF(inputPrYr!E38&gt;0,ROUND(+B30*E$45,0),"  ")</f>
        <v>  </v>
      </c>
      <c r="F30" s="40" t="str">
        <f>IF(inputPrYr!E38&gt;0,ROUND(+B30*F$47,0),"  ")</f>
        <v>  </v>
      </c>
      <c r="G30" s="40" t="str">
        <f>IF(inputPrYr!$E$38&gt;0,ROUND(+B30*G$49,0)," ")</f>
        <v> </v>
      </c>
      <c r="H30" s="52"/>
    </row>
    <row r="31" spans="1:8" ht="15.75">
      <c r="A31" s="12" t="str">
        <f>IF((inputPrYr!$B39&gt;" "),(inputPrYr!$B39),"  ")</f>
        <v>  </v>
      </c>
      <c r="B31" s="40" t="str">
        <f>IF(inputPrYr!E39&gt;0,inputPrYr!E39,"  ")</f>
        <v>  </v>
      </c>
      <c r="C31" s="41" t="str">
        <f>IF(inputPrYr!F39&gt;0,(inputPrYr!F39),"  ")</f>
        <v>  </v>
      </c>
      <c r="D31" s="40" t="str">
        <f>IF(inputPrYr!E39&gt;0,ROUND(+B31*D$43,0),"  ")</f>
        <v>  </v>
      </c>
      <c r="E31" s="40" t="str">
        <f>IF(inputPrYr!E39&gt;0,ROUND(+B31*E$45,0),"  ")</f>
        <v>  </v>
      </c>
      <c r="F31" s="40" t="str">
        <f>IF(inputPrYr!E39&gt;0,ROUND(+B31*F$47,0),"  ")</f>
        <v>  </v>
      </c>
      <c r="G31" s="40" t="str">
        <f>IF(inputPrYr!$E$39&gt;0,ROUND(+B31*G$49,0)," ")</f>
        <v> </v>
      </c>
      <c r="H31" s="52"/>
    </row>
    <row r="32" spans="1:8" ht="15.75">
      <c r="A32" s="12" t="str">
        <f>IF((inputPrYr!$B40&gt;" "),(inputPrYr!$B40),"  ")</f>
        <v>  </v>
      </c>
      <c r="B32" s="40" t="str">
        <f>IF(inputPrYr!E40&gt;0,inputPrYr!E40,"  ")</f>
        <v>  </v>
      </c>
      <c r="C32" s="41" t="str">
        <f>IF(inputPrYr!F40&gt;0,(inputPrYr!F40),"  ")</f>
        <v>  </v>
      </c>
      <c r="D32" s="40" t="str">
        <f>IF(inputPrYr!E40&gt;0,ROUND(+B32*D$43,0),"  ")</f>
        <v>  </v>
      </c>
      <c r="E32" s="40" t="str">
        <f>IF(inputPrYr!E40&gt;0,ROUND(+B32*E$45,0),"  ")</f>
        <v>  </v>
      </c>
      <c r="F32" s="40" t="str">
        <f>IF(inputPrYr!E40&gt;0,ROUND(+B32*F$47,0),"  ")</f>
        <v>  </v>
      </c>
      <c r="G32" s="40" t="str">
        <f>IF(inputPrYr!$E$40&gt;0,ROUND(+B32*G$49,0)," ")</f>
        <v> </v>
      </c>
      <c r="H32" s="52"/>
    </row>
    <row r="33" spans="1:8" ht="16.5" thickBot="1">
      <c r="A33" s="11" t="s">
        <v>71</v>
      </c>
      <c r="B33" s="42">
        <f aca="true" t="shared" si="0" ref="B33:G33">SUM(B8:B32)</f>
        <v>3101099</v>
      </c>
      <c r="C33" s="43">
        <f t="shared" si="0"/>
        <v>71.32600000000001</v>
      </c>
      <c r="D33" s="42">
        <f t="shared" si="0"/>
        <v>248616</v>
      </c>
      <c r="E33" s="42">
        <f t="shared" si="0"/>
        <v>5005</v>
      </c>
      <c r="F33" s="42">
        <f t="shared" si="0"/>
        <v>32401</v>
      </c>
      <c r="G33" s="42">
        <f t="shared" si="0"/>
        <v>0</v>
      </c>
      <c r="H33" s="52"/>
    </row>
    <row r="34" spans="1:8" ht="16.5" thickTop="1">
      <c r="A34" s="32"/>
      <c r="B34" s="46"/>
      <c r="C34" s="54"/>
      <c r="D34" s="46"/>
      <c r="E34" s="46"/>
      <c r="F34" s="46"/>
      <c r="G34" s="46"/>
      <c r="H34" s="52"/>
    </row>
    <row r="35" spans="1:8" ht="15.75">
      <c r="A35" s="7" t="s">
        <v>72</v>
      </c>
      <c r="B35" s="44"/>
      <c r="C35" s="44"/>
      <c r="D35" s="45">
        <f>(inputOth!E15)</f>
        <v>248616</v>
      </c>
      <c r="E35" s="44"/>
      <c r="F35" s="15"/>
      <c r="G35" s="15"/>
      <c r="H35" s="33"/>
    </row>
    <row r="36" spans="1:8" ht="15.75">
      <c r="A36" s="7"/>
      <c r="B36" s="44"/>
      <c r="C36" s="44"/>
      <c r="D36" s="46"/>
      <c r="E36" s="44"/>
      <c r="F36" s="15"/>
      <c r="G36" s="15"/>
      <c r="H36" s="33"/>
    </row>
    <row r="37" spans="1:8" ht="15.75">
      <c r="A37" s="7" t="s">
        <v>73</v>
      </c>
      <c r="B37" s="15"/>
      <c r="C37" s="15"/>
      <c r="D37" s="15"/>
      <c r="E37" s="45">
        <f>(inputOth!E16)</f>
        <v>5005</v>
      </c>
      <c r="F37" s="15"/>
      <c r="G37" s="15"/>
      <c r="H37" s="33"/>
    </row>
    <row r="38" spans="1:8" ht="15.75">
      <c r="A38" s="7"/>
      <c r="B38" s="15"/>
      <c r="C38" s="15"/>
      <c r="D38" s="15"/>
      <c r="E38" s="46"/>
      <c r="F38" s="15"/>
      <c r="G38" s="15"/>
      <c r="H38" s="33"/>
    </row>
    <row r="39" spans="1:8" ht="15.75">
      <c r="A39" s="7" t="s">
        <v>166</v>
      </c>
      <c r="B39" s="15"/>
      <c r="C39" s="15"/>
      <c r="D39" s="15"/>
      <c r="E39" s="15"/>
      <c r="F39" s="45">
        <f>inputOth!E17</f>
        <v>32401</v>
      </c>
      <c r="G39" s="46"/>
      <c r="H39" s="33"/>
    </row>
    <row r="40" spans="1:8" ht="15.75">
      <c r="A40" s="6"/>
      <c r="B40" s="15"/>
      <c r="C40" s="15"/>
      <c r="D40" s="15"/>
      <c r="E40" s="15"/>
      <c r="F40" s="15"/>
      <c r="G40" s="15"/>
      <c r="H40" s="33"/>
    </row>
    <row r="41" spans="1:8" ht="15.75">
      <c r="A41" s="6" t="s">
        <v>34</v>
      </c>
      <c r="B41" s="15"/>
      <c r="C41" s="15"/>
      <c r="D41" s="15"/>
      <c r="E41" s="15"/>
      <c r="F41" s="15"/>
      <c r="G41" s="49">
        <f>inputOth!E20</f>
        <v>0</v>
      </c>
      <c r="H41" s="33"/>
    </row>
    <row r="42" spans="1:8" ht="15.75">
      <c r="A42" s="6"/>
      <c r="B42" s="15"/>
      <c r="C42" s="15"/>
      <c r="D42" s="15"/>
      <c r="E42" s="15"/>
      <c r="F42" s="15"/>
      <c r="G42" s="15"/>
      <c r="H42" s="33"/>
    </row>
    <row r="43" spans="1:8" ht="15.75">
      <c r="A43" s="7" t="s">
        <v>74</v>
      </c>
      <c r="B43" s="15"/>
      <c r="C43" s="15"/>
      <c r="D43" s="47">
        <f>IF(B33=0,0,D35/B33)</f>
        <v>0.08017028801724808</v>
      </c>
      <c r="E43" s="15"/>
      <c r="F43" s="15"/>
      <c r="G43" s="15"/>
      <c r="H43" s="33"/>
    </row>
    <row r="44" spans="1:8" ht="15.75">
      <c r="A44" s="7"/>
      <c r="B44" s="15"/>
      <c r="C44" s="15"/>
      <c r="D44" s="48"/>
      <c r="E44" s="15"/>
      <c r="F44" s="15"/>
      <c r="G44" s="15"/>
      <c r="H44" s="33"/>
    </row>
    <row r="45" spans="1:8" ht="15.75">
      <c r="A45" s="7" t="s">
        <v>230</v>
      </c>
      <c r="B45" s="15"/>
      <c r="C45" s="15"/>
      <c r="D45" s="15"/>
      <c r="E45" s="47">
        <f>IF(B33=0,0,E37/B33)</f>
        <v>0.001613943959867131</v>
      </c>
      <c r="F45" s="15"/>
      <c r="G45" s="15"/>
      <c r="H45" s="33"/>
    </row>
    <row r="46" spans="1:8" ht="15.75">
      <c r="A46" s="7"/>
      <c r="B46" s="15"/>
      <c r="C46" s="15"/>
      <c r="D46" s="15"/>
      <c r="E46" s="48"/>
      <c r="F46" s="15"/>
      <c r="G46" s="15"/>
      <c r="H46" s="33"/>
    </row>
    <row r="47" spans="1:8" ht="15.75">
      <c r="A47" s="7" t="s">
        <v>229</v>
      </c>
      <c r="B47" s="15"/>
      <c r="C47" s="15"/>
      <c r="D47" s="15"/>
      <c r="E47" s="15"/>
      <c r="F47" s="47">
        <f>IF(B33=0,0,F39/B33)</f>
        <v>0.010448231417313669</v>
      </c>
      <c r="G47" s="48"/>
      <c r="H47" s="33"/>
    </row>
    <row r="48" spans="1:8" ht="15.75">
      <c r="A48" s="14"/>
      <c r="B48" s="33"/>
      <c r="C48" s="33"/>
      <c r="D48" s="33"/>
      <c r="E48" s="33"/>
      <c r="F48" s="33"/>
      <c r="G48" s="33"/>
      <c r="H48" s="33"/>
    </row>
    <row r="49" spans="1:8" ht="15.75">
      <c r="A49" s="14"/>
      <c r="B49" s="33"/>
      <c r="C49" s="33"/>
      <c r="D49" s="33"/>
      <c r="E49" s="33" t="s">
        <v>35</v>
      </c>
      <c r="F49" s="33"/>
      <c r="G49" s="47">
        <f>IF(B33=0,0,G41/B33)</f>
        <v>0</v>
      </c>
      <c r="H49" s="33"/>
    </row>
    <row r="50" spans="1:8" ht="15.75">
      <c r="A50" s="14"/>
      <c r="B50" s="33"/>
      <c r="C50" s="33"/>
      <c r="D50" s="33"/>
      <c r="E50" s="33"/>
      <c r="F50" s="33"/>
      <c r="G50" s="33"/>
      <c r="H50" s="33"/>
    </row>
  </sheetData>
  <sheetProtection/>
  <mergeCells count="4">
    <mergeCell ref="B6:B7"/>
    <mergeCell ref="C6:C7"/>
    <mergeCell ref="A3:H3"/>
    <mergeCell ref="D6:G6"/>
  </mergeCells>
  <printOptions/>
  <pageMargins left="1.5" right="0.75" top="0.25" bottom="0.18" header="0" footer="0"/>
  <pageSetup blackAndWhite="1" firstPageNumber="3" useFirstPageNumber="1" fitToHeight="1" fitToWidth="1" horizontalDpi="600" verticalDpi="600" orientation="landscape" scale="70" r:id="rId1"/>
  <headerFooter alignWithMargins="0">
    <oddHeader>&amp;RState of Kansas
County</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8" sqref="E18"/>
    </sheetView>
  </sheetViews>
  <sheetFormatPr defaultColWidth="8.796875" defaultRowHeight="15"/>
  <cols>
    <col min="1" max="1" width="17.796875" style="117" customWidth="1"/>
    <col min="2" max="2" width="22.3984375" style="117" customWidth="1"/>
    <col min="3" max="6" width="12.796875" style="117" customWidth="1"/>
    <col min="7" max="16384" width="8.8984375" style="117" customWidth="1"/>
  </cols>
  <sheetData>
    <row r="1" spans="1:6" ht="15.75">
      <c r="A1" s="199"/>
      <c r="B1" s="59"/>
      <c r="C1" s="59"/>
      <c r="D1" s="59"/>
      <c r="E1" s="211"/>
      <c r="F1" s="59"/>
    </row>
    <row r="2" spans="1:6" ht="15.75">
      <c r="A2" s="118" t="str">
        <f>inputPrYr!C2</f>
        <v>Edwards County</v>
      </c>
      <c r="B2" s="118"/>
      <c r="C2" s="59"/>
      <c r="D2" s="59"/>
      <c r="E2" s="211"/>
      <c r="F2" s="59">
        <f>inputPrYr!C4</f>
        <v>2012</v>
      </c>
    </row>
    <row r="3" spans="1:6" ht="15.75">
      <c r="A3" s="199"/>
      <c r="B3" s="118"/>
      <c r="C3" s="59"/>
      <c r="D3" s="59"/>
      <c r="E3" s="211"/>
      <c r="F3" s="59"/>
    </row>
    <row r="4" spans="1:6" ht="15.75">
      <c r="A4" s="199"/>
      <c r="B4" s="59"/>
      <c r="C4" s="59"/>
      <c r="D4" s="59"/>
      <c r="E4" s="211"/>
      <c r="F4" s="59"/>
    </row>
    <row r="5" spans="1:6" ht="15" customHeight="1">
      <c r="A5" s="487" t="s">
        <v>208</v>
      </c>
      <c r="B5" s="487"/>
      <c r="C5" s="487"/>
      <c r="D5" s="487"/>
      <c r="E5" s="487"/>
      <c r="F5" s="487"/>
    </row>
    <row r="6" spans="1:6" ht="14.25" customHeight="1">
      <c r="A6" s="200"/>
      <c r="B6" s="212"/>
      <c r="C6" s="212"/>
      <c r="D6" s="212"/>
      <c r="E6" s="212"/>
      <c r="F6" s="212"/>
    </row>
    <row r="7" spans="1:6" ht="15" customHeight="1">
      <c r="A7" s="213" t="s">
        <v>288</v>
      </c>
      <c r="B7" s="213" t="s">
        <v>289</v>
      </c>
      <c r="C7" s="214" t="s">
        <v>115</v>
      </c>
      <c r="D7" s="214" t="s">
        <v>231</v>
      </c>
      <c r="E7" s="214" t="s">
        <v>232</v>
      </c>
      <c r="F7" s="214" t="s">
        <v>263</v>
      </c>
    </row>
    <row r="8" spans="1:6" ht="15" customHeight="1">
      <c r="A8" s="215" t="s">
        <v>290</v>
      </c>
      <c r="B8" s="215" t="s">
        <v>291</v>
      </c>
      <c r="C8" s="216" t="s">
        <v>262</v>
      </c>
      <c r="D8" s="216" t="s">
        <v>262</v>
      </c>
      <c r="E8" s="216" t="s">
        <v>262</v>
      </c>
      <c r="F8" s="216" t="s">
        <v>264</v>
      </c>
    </row>
    <row r="9" spans="1:6" s="198" customFormat="1" ht="15" customHeight="1" thickBot="1">
      <c r="A9" s="217" t="s">
        <v>260</v>
      </c>
      <c r="B9" s="218" t="s">
        <v>261</v>
      </c>
      <c r="C9" s="219">
        <f>F2-2</f>
        <v>2010</v>
      </c>
      <c r="D9" s="219">
        <f>F2-1</f>
        <v>2011</v>
      </c>
      <c r="E9" s="219">
        <f>F2</f>
        <v>2012</v>
      </c>
      <c r="F9" s="218" t="s">
        <v>48</v>
      </c>
    </row>
    <row r="10" spans="1:6" ht="15" customHeight="1" thickTop="1">
      <c r="A10" s="220" t="s">
        <v>49</v>
      </c>
      <c r="B10" s="220" t="s">
        <v>336</v>
      </c>
      <c r="C10" s="450">
        <v>16000</v>
      </c>
      <c r="D10" s="450">
        <v>0</v>
      </c>
      <c r="E10" s="450"/>
      <c r="F10" s="220" t="s">
        <v>338</v>
      </c>
    </row>
    <row r="11" spans="1:6" ht="15" customHeight="1">
      <c r="A11" s="85" t="s">
        <v>49</v>
      </c>
      <c r="B11" s="85" t="s">
        <v>327</v>
      </c>
      <c r="C11" s="451">
        <v>10000</v>
      </c>
      <c r="D11" s="451">
        <v>0</v>
      </c>
      <c r="E11" s="451"/>
      <c r="F11" s="85" t="s">
        <v>337</v>
      </c>
    </row>
    <row r="12" spans="1:6" ht="15" customHeight="1">
      <c r="A12" s="85" t="s">
        <v>49</v>
      </c>
      <c r="B12" s="85" t="s">
        <v>102</v>
      </c>
      <c r="C12" s="451">
        <v>40000</v>
      </c>
      <c r="D12" s="451">
        <v>40000</v>
      </c>
      <c r="E12" s="451">
        <v>40000</v>
      </c>
      <c r="F12" s="85" t="s">
        <v>207</v>
      </c>
    </row>
    <row r="13" spans="1:6" ht="15" customHeight="1">
      <c r="A13" s="85" t="s">
        <v>309</v>
      </c>
      <c r="B13" s="85" t="s">
        <v>327</v>
      </c>
      <c r="C13" s="451">
        <v>0</v>
      </c>
      <c r="D13" s="451">
        <v>0</v>
      </c>
      <c r="E13" s="451">
        <v>0</v>
      </c>
      <c r="F13" s="85" t="s">
        <v>337</v>
      </c>
    </row>
    <row r="14" spans="1:6" ht="15" customHeight="1">
      <c r="A14" s="85" t="s">
        <v>309</v>
      </c>
      <c r="B14" s="85" t="s">
        <v>336</v>
      </c>
      <c r="C14" s="451">
        <v>10000</v>
      </c>
      <c r="D14" s="451">
        <v>0</v>
      </c>
      <c r="E14" s="451">
        <v>5000</v>
      </c>
      <c r="F14" s="85" t="s">
        <v>338</v>
      </c>
    </row>
    <row r="15" spans="1:6" ht="15" customHeight="1">
      <c r="A15" s="85" t="s">
        <v>339</v>
      </c>
      <c r="B15" s="85" t="s">
        <v>324</v>
      </c>
      <c r="C15" s="451">
        <v>10000</v>
      </c>
      <c r="D15" s="451">
        <v>0</v>
      </c>
      <c r="E15" s="451">
        <v>0</v>
      </c>
      <c r="F15" s="85" t="s">
        <v>340</v>
      </c>
    </row>
    <row r="16" spans="1:6" ht="15" customHeight="1">
      <c r="A16" s="85" t="s">
        <v>339</v>
      </c>
      <c r="B16" s="85" t="s">
        <v>325</v>
      </c>
      <c r="C16" s="451">
        <v>60000</v>
      </c>
      <c r="D16" s="451">
        <v>0</v>
      </c>
      <c r="E16" s="451">
        <v>0</v>
      </c>
      <c r="F16" s="85" t="s">
        <v>341</v>
      </c>
    </row>
    <row r="17" spans="1:6" ht="15" customHeight="1">
      <c r="A17" s="85" t="s">
        <v>320</v>
      </c>
      <c r="B17" s="85" t="s">
        <v>49</v>
      </c>
      <c r="C17" s="451">
        <v>13935</v>
      </c>
      <c r="D17" s="451">
        <v>13895</v>
      </c>
      <c r="E17" s="451">
        <v>15000</v>
      </c>
      <c r="F17" s="85" t="s">
        <v>342</v>
      </c>
    </row>
    <row r="18" spans="1:6" ht="15" customHeight="1">
      <c r="A18" s="85" t="s">
        <v>308</v>
      </c>
      <c r="B18" s="85" t="s">
        <v>317</v>
      </c>
      <c r="C18" s="451">
        <v>3000</v>
      </c>
      <c r="D18" s="451">
        <v>0</v>
      </c>
      <c r="E18" s="451">
        <v>0</v>
      </c>
      <c r="F18" s="85" t="s">
        <v>311</v>
      </c>
    </row>
    <row r="19" spans="1:6" ht="15" customHeight="1">
      <c r="A19" s="85"/>
      <c r="B19" s="221"/>
      <c r="C19" s="451"/>
      <c r="D19" s="451"/>
      <c r="E19" s="451"/>
      <c r="F19" s="85"/>
    </row>
    <row r="20" spans="1:6" ht="15" customHeight="1">
      <c r="A20" s="85"/>
      <c r="B20" s="85"/>
      <c r="C20" s="451"/>
      <c r="D20" s="451"/>
      <c r="E20" s="451"/>
      <c r="F20" s="85"/>
    </row>
    <row r="21" spans="1:6" ht="15" customHeight="1">
      <c r="A21" s="85"/>
      <c r="B21" s="85"/>
      <c r="C21" s="451"/>
      <c r="D21" s="451"/>
      <c r="E21" s="451"/>
      <c r="F21" s="85"/>
    </row>
    <row r="22" spans="1:6" ht="15" customHeight="1">
      <c r="A22" s="85"/>
      <c r="B22" s="85"/>
      <c r="C22" s="451"/>
      <c r="D22" s="451"/>
      <c r="E22" s="451"/>
      <c r="F22" s="85"/>
    </row>
    <row r="23" spans="1:6" ht="15" customHeight="1">
      <c r="A23" s="85"/>
      <c r="B23" s="85"/>
      <c r="C23" s="451"/>
      <c r="D23" s="451"/>
      <c r="E23" s="451"/>
      <c r="F23" s="85"/>
    </row>
    <row r="24" spans="1:6" ht="15" customHeight="1">
      <c r="A24" s="85"/>
      <c r="B24" s="85"/>
      <c r="C24" s="451"/>
      <c r="D24" s="451"/>
      <c r="E24" s="451"/>
      <c r="F24" s="85"/>
    </row>
    <row r="25" spans="1:6" ht="15" customHeight="1">
      <c r="A25" s="85"/>
      <c r="B25" s="85"/>
      <c r="C25" s="451"/>
      <c r="D25" s="451"/>
      <c r="E25" s="451"/>
      <c r="F25" s="85"/>
    </row>
    <row r="26" spans="1:6" ht="15" customHeight="1">
      <c r="A26" s="85"/>
      <c r="B26" s="85"/>
      <c r="C26" s="451"/>
      <c r="D26" s="451"/>
      <c r="E26" s="451"/>
      <c r="F26" s="85"/>
    </row>
    <row r="27" spans="1:6" ht="15.75">
      <c r="A27" s="111"/>
      <c r="B27" s="222" t="s">
        <v>50</v>
      </c>
      <c r="C27" s="452">
        <f>SUM(C10:C26)</f>
        <v>162935</v>
      </c>
      <c r="D27" s="452">
        <f>SUM(D10:D26)</f>
        <v>53895</v>
      </c>
      <c r="E27" s="452">
        <f>SUM(E10:E26)</f>
        <v>60000</v>
      </c>
      <c r="F27" s="111"/>
    </row>
    <row r="28" spans="1:6" ht="15.75">
      <c r="A28" s="111"/>
      <c r="B28" s="223" t="s">
        <v>286</v>
      </c>
      <c r="C28" s="453"/>
      <c r="D28" s="454"/>
      <c r="E28" s="454"/>
      <c r="F28" s="111"/>
    </row>
    <row r="29" spans="1:6" ht="15.75">
      <c r="A29" s="111"/>
      <c r="B29" s="222" t="s">
        <v>265</v>
      </c>
      <c r="C29" s="452">
        <f>C27</f>
        <v>162935</v>
      </c>
      <c r="D29" s="452">
        <f>SUM(D27-D28)</f>
        <v>53895</v>
      </c>
      <c r="E29" s="452">
        <f>SUM(E27-E28)</f>
        <v>60000</v>
      </c>
      <c r="F29" s="111"/>
    </row>
    <row r="30" spans="1:6" ht="15.75">
      <c r="A30" s="111"/>
      <c r="B30" s="111"/>
      <c r="C30" s="111"/>
      <c r="D30" s="111"/>
      <c r="E30" s="111"/>
      <c r="F30" s="111"/>
    </row>
    <row r="31" spans="1:6" ht="15.75">
      <c r="A31" s="111"/>
      <c r="B31" s="111"/>
      <c r="C31" s="111"/>
      <c r="D31" s="111"/>
      <c r="E31" s="111"/>
      <c r="F31" s="111"/>
    </row>
    <row r="32" spans="1:6" ht="15.75">
      <c r="A32" s="371" t="s">
        <v>287</v>
      </c>
      <c r="B32" s="372" t="str">
        <f>CONCATENATE("Adjustments are required only if the transfer is being made in ",D9," and/or ",E9," from a non-budgeted fund.")</f>
        <v>Adjustments are required only if the transfer is being made in 2011 and/or 2012 from a non-budgeted fund.</v>
      </c>
      <c r="C32" s="111"/>
      <c r="D32" s="111"/>
      <c r="E32" s="111"/>
      <c r="F32" s="111"/>
    </row>
  </sheetData>
  <sheetProtection/>
  <mergeCells count="1">
    <mergeCell ref="A5:F5"/>
  </mergeCells>
  <printOptions/>
  <pageMargins left="0.5" right="0.5" top="0.72" bottom="0.23" header="0.5" footer="0"/>
  <pageSetup blackAndWhite="1" fitToHeight="1" fitToWidth="1" horizontalDpi="600" verticalDpi="600" orientation="landscape" r:id="rId1"/>
  <headerFooter alignWithMargins="0">
    <oddHeader>&amp;RState of Kansas
County
</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2"/>
  <sheetViews>
    <sheetView zoomScale="75" zoomScaleNormal="75" zoomScalePageLayoutView="0" workbookViewId="0" topLeftCell="A1">
      <selection activeCell="A1" sqref="A1"/>
    </sheetView>
  </sheetViews>
  <sheetFormatPr defaultColWidth="8.796875" defaultRowHeight="15"/>
  <cols>
    <col min="1" max="1" width="20.796875" style="117" customWidth="1"/>
    <col min="2" max="2" width="9.3984375" style="117" customWidth="1"/>
    <col min="3" max="3" width="9.796875" style="117" customWidth="1"/>
    <col min="4" max="4" width="8.796875" style="117" customWidth="1"/>
    <col min="5" max="5" width="12.796875" style="117" customWidth="1"/>
    <col min="6" max="6" width="14" style="117" customWidth="1"/>
    <col min="7" max="12" width="9.796875" style="117" customWidth="1"/>
    <col min="13" max="16384" width="8.8984375" style="117" customWidth="1"/>
  </cols>
  <sheetData>
    <row r="1" spans="1:12" ht="15.75">
      <c r="A1" s="199" t="str">
        <f>inputPrYr!$C$2</f>
        <v>Edwards County</v>
      </c>
      <c r="B1" s="59"/>
      <c r="C1" s="59"/>
      <c r="D1" s="59"/>
      <c r="E1" s="59"/>
      <c r="F1" s="59"/>
      <c r="G1" s="59"/>
      <c r="H1" s="59"/>
      <c r="I1" s="59"/>
      <c r="J1" s="59"/>
      <c r="K1" s="59"/>
      <c r="L1" s="224">
        <f>inputPrYr!$C$4</f>
        <v>2012</v>
      </c>
    </row>
    <row r="2" spans="1:12" ht="15.75">
      <c r="A2" s="199"/>
      <c r="B2" s="59"/>
      <c r="C2" s="59"/>
      <c r="D2" s="59"/>
      <c r="E2" s="59"/>
      <c r="F2" s="59"/>
      <c r="G2" s="59"/>
      <c r="H2" s="59"/>
      <c r="I2" s="59"/>
      <c r="J2" s="59"/>
      <c r="K2" s="59"/>
      <c r="L2" s="211"/>
    </row>
    <row r="3" spans="1:12" ht="15.75">
      <c r="A3" s="225" t="s">
        <v>164</v>
      </c>
      <c r="B3" s="67"/>
      <c r="C3" s="67"/>
      <c r="D3" s="67"/>
      <c r="E3" s="67"/>
      <c r="F3" s="67"/>
      <c r="G3" s="67"/>
      <c r="H3" s="67"/>
      <c r="I3" s="67"/>
      <c r="J3" s="67"/>
      <c r="K3" s="67"/>
      <c r="L3" s="67"/>
    </row>
    <row r="4" spans="1:12" ht="15.75">
      <c r="A4" s="59"/>
      <c r="B4" s="226"/>
      <c r="C4" s="226"/>
      <c r="D4" s="226"/>
      <c r="E4" s="226"/>
      <c r="F4" s="226"/>
      <c r="G4" s="226"/>
      <c r="H4" s="226"/>
      <c r="I4" s="226"/>
      <c r="J4" s="226"/>
      <c r="K4" s="226"/>
      <c r="L4" s="226"/>
    </row>
    <row r="5" spans="1:12" ht="15.75">
      <c r="A5" s="59"/>
      <c r="B5" s="227" t="s">
        <v>130</v>
      </c>
      <c r="C5" s="227" t="s">
        <v>130</v>
      </c>
      <c r="D5" s="227" t="s">
        <v>145</v>
      </c>
      <c r="E5" s="227"/>
      <c r="F5" s="227" t="s">
        <v>266</v>
      </c>
      <c r="G5" s="59"/>
      <c r="H5" s="59"/>
      <c r="I5" s="228" t="s">
        <v>131</v>
      </c>
      <c r="J5" s="229"/>
      <c r="K5" s="228" t="s">
        <v>131</v>
      </c>
      <c r="L5" s="229"/>
    </row>
    <row r="6" spans="1:12" ht="15.75">
      <c r="A6" s="59"/>
      <c r="B6" s="230" t="s">
        <v>132</v>
      </c>
      <c r="C6" s="230" t="s">
        <v>267</v>
      </c>
      <c r="D6" s="230" t="s">
        <v>133</v>
      </c>
      <c r="E6" s="230" t="s">
        <v>69</v>
      </c>
      <c r="F6" s="230" t="s">
        <v>209</v>
      </c>
      <c r="G6" s="495" t="s">
        <v>134</v>
      </c>
      <c r="H6" s="496"/>
      <c r="I6" s="497">
        <f>L1-1</f>
        <v>2011</v>
      </c>
      <c r="J6" s="498"/>
      <c r="K6" s="497">
        <f>L1</f>
        <v>2012</v>
      </c>
      <c r="L6" s="498"/>
    </row>
    <row r="7" spans="1:12" ht="15.75">
      <c r="A7" s="232" t="s">
        <v>135</v>
      </c>
      <c r="B7" s="233" t="s">
        <v>136</v>
      </c>
      <c r="C7" s="233" t="s">
        <v>268</v>
      </c>
      <c r="D7" s="233" t="s">
        <v>92</v>
      </c>
      <c r="E7" s="233" t="s">
        <v>137</v>
      </c>
      <c r="F7" s="231" t="str">
        <f>CONCATENATE("Jan 1,",L1-1,"")</f>
        <v>Jan 1,2011</v>
      </c>
      <c r="G7" s="222" t="s">
        <v>145</v>
      </c>
      <c r="H7" s="222" t="s">
        <v>146</v>
      </c>
      <c r="I7" s="222" t="s">
        <v>145</v>
      </c>
      <c r="J7" s="222" t="s">
        <v>146</v>
      </c>
      <c r="K7" s="222" t="s">
        <v>145</v>
      </c>
      <c r="L7" s="222" t="s">
        <v>146</v>
      </c>
    </row>
    <row r="8" spans="1:12" ht="15.75">
      <c r="A8" s="232" t="s">
        <v>138</v>
      </c>
      <c r="B8" s="82"/>
      <c r="C8" s="82"/>
      <c r="D8" s="234"/>
      <c r="E8" s="235"/>
      <c r="F8" s="235"/>
      <c r="G8" s="82"/>
      <c r="H8" s="82"/>
      <c r="I8" s="235"/>
      <c r="J8" s="235"/>
      <c r="K8" s="235"/>
      <c r="L8" s="235"/>
    </row>
    <row r="9" spans="1:12" ht="15.75">
      <c r="A9" s="236" t="s">
        <v>343</v>
      </c>
      <c r="B9" s="375"/>
      <c r="C9" s="375"/>
      <c r="D9" s="237"/>
      <c r="E9" s="238"/>
      <c r="F9" s="239"/>
      <c r="G9" s="240"/>
      <c r="H9" s="240"/>
      <c r="I9" s="239"/>
      <c r="J9" s="239"/>
      <c r="K9" s="239"/>
      <c r="L9" s="239"/>
    </row>
    <row r="10" spans="1:12" ht="15.75">
      <c r="A10" s="236"/>
      <c r="B10" s="375"/>
      <c r="C10" s="375"/>
      <c r="D10" s="237"/>
      <c r="E10" s="238"/>
      <c r="F10" s="239"/>
      <c r="G10" s="240"/>
      <c r="H10" s="240"/>
      <c r="I10" s="239"/>
      <c r="J10" s="239"/>
      <c r="K10" s="239"/>
      <c r="L10" s="239"/>
    </row>
    <row r="11" spans="1:12" ht="15.75">
      <c r="A11" s="236"/>
      <c r="B11" s="375"/>
      <c r="C11" s="375"/>
      <c r="D11" s="237"/>
      <c r="E11" s="238"/>
      <c r="F11" s="239"/>
      <c r="G11" s="240"/>
      <c r="H11" s="240"/>
      <c r="I11" s="239"/>
      <c r="J11" s="239"/>
      <c r="K11" s="239"/>
      <c r="L11" s="239"/>
    </row>
    <row r="12" spans="1:12" ht="15.75">
      <c r="A12" s="236"/>
      <c r="B12" s="375"/>
      <c r="C12" s="375"/>
      <c r="D12" s="237"/>
      <c r="E12" s="238"/>
      <c r="F12" s="239"/>
      <c r="G12" s="240"/>
      <c r="H12" s="240"/>
      <c r="I12" s="239"/>
      <c r="J12" s="239"/>
      <c r="K12" s="239"/>
      <c r="L12" s="239"/>
    </row>
    <row r="13" spans="1:12" ht="15.75">
      <c r="A13" s="236"/>
      <c r="B13" s="375"/>
      <c r="C13" s="375"/>
      <c r="D13" s="237"/>
      <c r="E13" s="238"/>
      <c r="F13" s="239"/>
      <c r="G13" s="240"/>
      <c r="H13" s="240"/>
      <c r="I13" s="239"/>
      <c r="J13" s="239"/>
      <c r="K13" s="239"/>
      <c r="L13" s="239"/>
    </row>
    <row r="14" spans="1:12" ht="15.75">
      <c r="A14" s="236"/>
      <c r="B14" s="375"/>
      <c r="C14" s="375"/>
      <c r="D14" s="237"/>
      <c r="E14" s="238"/>
      <c r="F14" s="239"/>
      <c r="G14" s="240"/>
      <c r="H14" s="240"/>
      <c r="I14" s="239"/>
      <c r="J14" s="239"/>
      <c r="K14" s="239"/>
      <c r="L14" s="239"/>
    </row>
    <row r="15" spans="1:12" ht="15.75">
      <c r="A15" s="236"/>
      <c r="B15" s="375"/>
      <c r="C15" s="375"/>
      <c r="D15" s="237"/>
      <c r="E15" s="238"/>
      <c r="F15" s="239"/>
      <c r="G15" s="240"/>
      <c r="H15" s="240"/>
      <c r="I15" s="239"/>
      <c r="J15" s="239"/>
      <c r="K15" s="239"/>
      <c r="L15" s="239"/>
    </row>
    <row r="16" spans="1:12" ht="15.75">
      <c r="A16" s="236"/>
      <c r="B16" s="375"/>
      <c r="C16" s="375"/>
      <c r="D16" s="237"/>
      <c r="E16" s="238"/>
      <c r="F16" s="239"/>
      <c r="G16" s="240"/>
      <c r="H16" s="240"/>
      <c r="I16" s="239"/>
      <c r="J16" s="239"/>
      <c r="K16" s="239"/>
      <c r="L16" s="239"/>
    </row>
    <row r="17" spans="1:12" ht="15.75">
      <c r="A17" s="236"/>
      <c r="B17" s="375"/>
      <c r="C17" s="375"/>
      <c r="D17" s="237"/>
      <c r="E17" s="238"/>
      <c r="F17" s="239"/>
      <c r="G17" s="240"/>
      <c r="H17" s="240"/>
      <c r="I17" s="239"/>
      <c r="J17" s="239"/>
      <c r="K17" s="239"/>
      <c r="L17" s="239"/>
    </row>
    <row r="18" spans="1:12" ht="15.75">
      <c r="A18" s="236"/>
      <c r="B18" s="375"/>
      <c r="C18" s="375"/>
      <c r="D18" s="237"/>
      <c r="E18" s="238"/>
      <c r="F18" s="239"/>
      <c r="G18" s="240"/>
      <c r="H18" s="240"/>
      <c r="I18" s="239"/>
      <c r="J18" s="239"/>
      <c r="K18" s="239"/>
      <c r="L18" s="239"/>
    </row>
    <row r="19" spans="1:12" ht="15.75">
      <c r="A19" s="241" t="s">
        <v>139</v>
      </c>
      <c r="B19" s="242"/>
      <c r="C19" s="242"/>
      <c r="D19" s="243"/>
      <c r="E19" s="244"/>
      <c r="F19" s="245">
        <f>SUM(F9:F18)</f>
        <v>0</v>
      </c>
      <c r="G19" s="246"/>
      <c r="H19" s="246"/>
      <c r="I19" s="245">
        <f>SUM(I9:I18)</f>
        <v>0</v>
      </c>
      <c r="J19" s="245">
        <f>SUM(J9:J18)</f>
        <v>0</v>
      </c>
      <c r="K19" s="245">
        <f>SUM(K9:K18)</f>
        <v>0</v>
      </c>
      <c r="L19" s="245">
        <f>SUM(L9:L18)</f>
        <v>0</v>
      </c>
    </row>
    <row r="20" spans="1:12" ht="15.75">
      <c r="A20" s="222" t="s">
        <v>140</v>
      </c>
      <c r="B20" s="247"/>
      <c r="C20" s="247"/>
      <c r="D20" s="248"/>
      <c r="E20" s="249"/>
      <c r="F20" s="249"/>
      <c r="G20" s="250"/>
      <c r="H20" s="250"/>
      <c r="I20" s="249"/>
      <c r="J20" s="249"/>
      <c r="K20" s="249"/>
      <c r="L20" s="249"/>
    </row>
    <row r="21" spans="1:12" ht="15.75">
      <c r="A21" s="236" t="s">
        <v>343</v>
      </c>
      <c r="B21" s="375"/>
      <c r="C21" s="375"/>
      <c r="D21" s="237"/>
      <c r="E21" s="238"/>
      <c r="F21" s="239"/>
      <c r="G21" s="240"/>
      <c r="H21" s="240"/>
      <c r="I21" s="239"/>
      <c r="J21" s="239"/>
      <c r="K21" s="239"/>
      <c r="L21" s="239"/>
    </row>
    <row r="22" spans="1:12" ht="15.75">
      <c r="A22" s="236"/>
      <c r="B22" s="375"/>
      <c r="C22" s="375"/>
      <c r="D22" s="237"/>
      <c r="E22" s="238"/>
      <c r="F22" s="239"/>
      <c r="G22" s="240"/>
      <c r="H22" s="240"/>
      <c r="I22" s="239"/>
      <c r="J22" s="239"/>
      <c r="K22" s="239"/>
      <c r="L22" s="239"/>
    </row>
    <row r="23" spans="1:12" ht="15.75">
      <c r="A23" s="236"/>
      <c r="B23" s="375"/>
      <c r="C23" s="375"/>
      <c r="D23" s="237"/>
      <c r="E23" s="238"/>
      <c r="F23" s="239"/>
      <c r="G23" s="240"/>
      <c r="H23" s="240"/>
      <c r="I23" s="239"/>
      <c r="J23" s="239"/>
      <c r="K23" s="239"/>
      <c r="L23" s="239"/>
    </row>
    <row r="24" spans="1:12" ht="15.75">
      <c r="A24" s="236"/>
      <c r="B24" s="375"/>
      <c r="C24" s="375"/>
      <c r="D24" s="237"/>
      <c r="E24" s="238"/>
      <c r="F24" s="239"/>
      <c r="G24" s="240"/>
      <c r="H24" s="240"/>
      <c r="I24" s="239"/>
      <c r="J24" s="239"/>
      <c r="K24" s="239"/>
      <c r="L24" s="239"/>
    </row>
    <row r="25" spans="1:12" ht="15.75">
      <c r="A25" s="236"/>
      <c r="B25" s="375"/>
      <c r="C25" s="375"/>
      <c r="D25" s="237"/>
      <c r="E25" s="238"/>
      <c r="F25" s="239"/>
      <c r="G25" s="240"/>
      <c r="H25" s="240"/>
      <c r="I25" s="239"/>
      <c r="J25" s="239"/>
      <c r="K25" s="239"/>
      <c r="L25" s="239"/>
    </row>
    <row r="26" spans="1:12" ht="15.75">
      <c r="A26" s="236"/>
      <c r="B26" s="375"/>
      <c r="C26" s="375"/>
      <c r="D26" s="237"/>
      <c r="E26" s="238"/>
      <c r="F26" s="239"/>
      <c r="G26" s="240"/>
      <c r="H26" s="240"/>
      <c r="I26" s="239"/>
      <c r="J26" s="239"/>
      <c r="K26" s="239"/>
      <c r="L26" s="239"/>
    </row>
    <row r="27" spans="1:12" ht="15.75">
      <c r="A27" s="241" t="s">
        <v>141</v>
      </c>
      <c r="B27" s="242"/>
      <c r="C27" s="242"/>
      <c r="D27" s="251"/>
      <c r="E27" s="244"/>
      <c r="F27" s="252">
        <f>SUM(F21:F26)</f>
        <v>0</v>
      </c>
      <c r="G27" s="246"/>
      <c r="H27" s="246"/>
      <c r="I27" s="252">
        <f>SUM(I21:I26)</f>
        <v>0</v>
      </c>
      <c r="J27" s="252">
        <f>SUM(J21:J26)</f>
        <v>0</v>
      </c>
      <c r="K27" s="245">
        <f>SUM(K21:K26)</f>
        <v>0</v>
      </c>
      <c r="L27" s="252">
        <f>SUM(L21:L26)</f>
        <v>0</v>
      </c>
    </row>
    <row r="28" spans="1:12" ht="15.75">
      <c r="A28" s="222" t="s">
        <v>142</v>
      </c>
      <c r="B28" s="247"/>
      <c r="C28" s="247"/>
      <c r="D28" s="248"/>
      <c r="E28" s="249"/>
      <c r="F28" s="253"/>
      <c r="G28" s="250"/>
      <c r="H28" s="250"/>
      <c r="I28" s="249"/>
      <c r="J28" s="249"/>
      <c r="K28" s="249"/>
      <c r="L28" s="249"/>
    </row>
    <row r="29" spans="1:12" ht="15.75">
      <c r="A29" s="236" t="s">
        <v>343</v>
      </c>
      <c r="B29" s="375"/>
      <c r="C29" s="375"/>
      <c r="D29" s="237"/>
      <c r="E29" s="238"/>
      <c r="F29" s="239"/>
      <c r="G29" s="240"/>
      <c r="H29" s="240"/>
      <c r="I29" s="239"/>
      <c r="J29" s="239"/>
      <c r="K29" s="239"/>
      <c r="L29" s="239"/>
    </row>
    <row r="30" spans="1:12" ht="15.75">
      <c r="A30" s="236"/>
      <c r="B30" s="375"/>
      <c r="C30" s="375"/>
      <c r="D30" s="237"/>
      <c r="E30" s="238"/>
      <c r="F30" s="239"/>
      <c r="G30" s="240"/>
      <c r="H30" s="240"/>
      <c r="I30" s="239"/>
      <c r="J30" s="239"/>
      <c r="K30" s="239"/>
      <c r="L30" s="239"/>
    </row>
    <row r="31" spans="1:12" ht="15.75">
      <c r="A31" s="236"/>
      <c r="B31" s="375"/>
      <c r="C31" s="375"/>
      <c r="D31" s="237"/>
      <c r="E31" s="238"/>
      <c r="F31" s="239"/>
      <c r="G31" s="240"/>
      <c r="H31" s="240"/>
      <c r="I31" s="239"/>
      <c r="J31" s="239"/>
      <c r="K31" s="239"/>
      <c r="L31" s="239"/>
    </row>
    <row r="32" spans="1:12" ht="15.75">
      <c r="A32" s="236"/>
      <c r="B32" s="375"/>
      <c r="C32" s="375"/>
      <c r="D32" s="237"/>
      <c r="E32" s="238"/>
      <c r="F32" s="239"/>
      <c r="G32" s="240"/>
      <c r="H32" s="240"/>
      <c r="I32" s="239"/>
      <c r="J32" s="239"/>
      <c r="K32" s="239"/>
      <c r="L32" s="239"/>
    </row>
    <row r="33" spans="1:12" ht="15.75">
      <c r="A33" s="236"/>
      <c r="B33" s="375"/>
      <c r="C33" s="375"/>
      <c r="D33" s="237"/>
      <c r="E33" s="238"/>
      <c r="F33" s="239"/>
      <c r="G33" s="240"/>
      <c r="H33" s="240"/>
      <c r="I33" s="239"/>
      <c r="J33" s="239"/>
      <c r="K33" s="239"/>
      <c r="L33" s="239"/>
    </row>
    <row r="34" spans="1:12" ht="15.75">
      <c r="A34" s="236"/>
      <c r="B34" s="375"/>
      <c r="C34" s="375"/>
      <c r="D34" s="237"/>
      <c r="E34" s="238"/>
      <c r="F34" s="239"/>
      <c r="G34" s="240"/>
      <c r="H34" s="240"/>
      <c r="I34" s="239"/>
      <c r="J34" s="239"/>
      <c r="K34" s="239"/>
      <c r="L34" s="239"/>
    </row>
    <row r="35" spans="1:28" ht="15.75">
      <c r="A35" s="236"/>
      <c r="B35" s="375"/>
      <c r="C35" s="375"/>
      <c r="D35" s="237"/>
      <c r="E35" s="238"/>
      <c r="F35" s="239"/>
      <c r="G35" s="240"/>
      <c r="H35" s="240"/>
      <c r="I35" s="239"/>
      <c r="J35" s="239"/>
      <c r="K35" s="239"/>
      <c r="L35" s="239"/>
      <c r="M35" s="55"/>
      <c r="N35" s="55"/>
      <c r="O35" s="55"/>
      <c r="P35" s="55"/>
      <c r="Q35" s="55"/>
      <c r="R35" s="55"/>
      <c r="S35" s="55"/>
      <c r="T35" s="55"/>
      <c r="U35" s="55"/>
      <c r="V35" s="55"/>
      <c r="W35" s="55"/>
      <c r="X35" s="55"/>
      <c r="Y35" s="55"/>
      <c r="Z35" s="55"/>
      <c r="AA35" s="55"/>
      <c r="AB35" s="55"/>
    </row>
    <row r="36" spans="1:12" ht="15.75">
      <c r="A36" s="241" t="s">
        <v>269</v>
      </c>
      <c r="B36" s="241"/>
      <c r="C36" s="241"/>
      <c r="D36" s="251"/>
      <c r="E36" s="244"/>
      <c r="F36" s="252">
        <f>SUM(F29:F35)</f>
        <v>0</v>
      </c>
      <c r="G36" s="244"/>
      <c r="H36" s="244"/>
      <c r="I36" s="252">
        <f>SUM(I29:I35)</f>
        <v>0</v>
      </c>
      <c r="J36" s="252">
        <f>SUM(J29:J35)</f>
        <v>0</v>
      </c>
      <c r="K36" s="252">
        <f>SUM(K29:K35)</f>
        <v>0</v>
      </c>
      <c r="L36" s="252">
        <f>SUM(L29:L35)</f>
        <v>0</v>
      </c>
    </row>
    <row r="37" spans="1:12" ht="15.75">
      <c r="A37" s="241" t="s">
        <v>143</v>
      </c>
      <c r="B37" s="241"/>
      <c r="C37" s="241"/>
      <c r="D37" s="241"/>
      <c r="E37" s="244"/>
      <c r="F37" s="252">
        <f>SUM(F19+F27+F36)</f>
        <v>0</v>
      </c>
      <c r="G37" s="244"/>
      <c r="H37" s="244"/>
      <c r="I37" s="252">
        <f>SUM(I19+I27+I36)</f>
        <v>0</v>
      </c>
      <c r="J37" s="252">
        <f>SUM(J19+J27+J36)</f>
        <v>0</v>
      </c>
      <c r="K37" s="252">
        <f>SUM(K19+K27+K36)</f>
        <v>0</v>
      </c>
      <c r="L37" s="252">
        <f>SUM(L19+L27+L36)</f>
        <v>0</v>
      </c>
    </row>
    <row r="38" spans="1:12" ht="15.75">
      <c r="A38" s="55"/>
      <c r="B38" s="55"/>
      <c r="C38" s="55"/>
      <c r="D38" s="55"/>
      <c r="E38" s="55"/>
      <c r="F38" s="55"/>
      <c r="G38" s="55"/>
      <c r="H38" s="55"/>
      <c r="I38" s="55"/>
      <c r="J38" s="55"/>
      <c r="K38" s="55"/>
      <c r="L38" s="55"/>
    </row>
    <row r="39" spans="5:12" ht="15.75">
      <c r="E39" s="254"/>
      <c r="F39" s="254"/>
      <c r="I39" s="254"/>
      <c r="J39" s="254"/>
      <c r="K39" s="254"/>
      <c r="L39" s="254"/>
    </row>
    <row r="40" spans="5:13" ht="15.75">
      <c r="E40" s="55"/>
      <c r="G40" s="255"/>
      <c r="M40" s="55"/>
    </row>
    <row r="41" spans="1:12" ht="15.75">
      <c r="A41" s="55"/>
      <c r="B41" s="55"/>
      <c r="C41" s="55"/>
      <c r="D41" s="55"/>
      <c r="E41" s="55"/>
      <c r="F41" s="55"/>
      <c r="G41" s="55"/>
      <c r="H41" s="55"/>
      <c r="I41" s="55"/>
      <c r="J41" s="55"/>
      <c r="K41" s="55"/>
      <c r="L41" s="55"/>
    </row>
    <row r="42" spans="1:12" ht="15.75">
      <c r="A42" s="55"/>
      <c r="B42" s="55"/>
      <c r="C42" s="55"/>
      <c r="D42" s="55"/>
      <c r="E42" s="55"/>
      <c r="F42" s="55"/>
      <c r="G42" s="55"/>
      <c r="H42" s="55"/>
      <c r="I42" s="55"/>
      <c r="J42" s="55"/>
      <c r="K42" s="55"/>
      <c r="L42" s="55"/>
    </row>
  </sheetData>
  <sheetProtection sheet="1"/>
  <mergeCells count="3">
    <mergeCell ref="G6:H6"/>
    <mergeCell ref="I6:J6"/>
    <mergeCell ref="K6:L6"/>
  </mergeCells>
  <printOptions/>
  <pageMargins left="1" right="0.5" top="0.78" bottom="0.4" header="0.5" footer="0"/>
  <pageSetup blackAndWhite="1" fitToHeight="1" fitToWidth="1" horizontalDpi="600" verticalDpi="600" orientation="landscape" scale="70" r:id="rId1"/>
  <headerFooter alignWithMargins="0">
    <oddHeader>&amp;RState of Kansas
County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zoomScale="75" zoomScaleNormal="75" zoomScalePageLayoutView="0" workbookViewId="0" topLeftCell="A1">
      <selection activeCell="A11" sqref="A11"/>
    </sheetView>
  </sheetViews>
  <sheetFormatPr defaultColWidth="8.796875" defaultRowHeight="15"/>
  <cols>
    <col min="1" max="1" width="25.796875" style="55" customWidth="1"/>
    <col min="2" max="4" width="9.796875" style="55" customWidth="1"/>
    <col min="5" max="5" width="17.09765625" style="55" customWidth="1"/>
    <col min="6" max="8" width="15.796875" style="55" customWidth="1"/>
    <col min="9" max="16384" width="8.8984375" style="55" customWidth="1"/>
  </cols>
  <sheetData>
    <row r="1" spans="1:8" ht="15.75">
      <c r="A1" s="199" t="str">
        <f>inputPrYr!$C$2</f>
        <v>Edwards County</v>
      </c>
      <c r="B1" s="59"/>
      <c r="C1" s="59"/>
      <c r="D1" s="59"/>
      <c r="E1" s="59"/>
      <c r="F1" s="59"/>
      <c r="G1" s="59"/>
      <c r="H1" s="256">
        <f>inputPrYr!C4</f>
        <v>2012</v>
      </c>
    </row>
    <row r="2" spans="1:8" ht="15.75">
      <c r="A2" s="59"/>
      <c r="B2" s="59"/>
      <c r="C2" s="59"/>
      <c r="D2" s="59"/>
      <c r="E2" s="59"/>
      <c r="F2" s="59"/>
      <c r="G2" s="59"/>
      <c r="H2" s="211"/>
    </row>
    <row r="3" spans="1:8" ht="15.75">
      <c r="A3" s="59"/>
      <c r="B3" s="67"/>
      <c r="C3" s="67"/>
      <c r="D3" s="67"/>
      <c r="E3" s="67"/>
      <c r="F3" s="67"/>
      <c r="G3" s="67"/>
      <c r="H3" s="257"/>
    </row>
    <row r="4" spans="1:8" ht="15.75">
      <c r="A4" s="225" t="s">
        <v>156</v>
      </c>
      <c r="B4" s="67"/>
      <c r="C4" s="67"/>
      <c r="D4" s="67"/>
      <c r="E4" s="67"/>
      <c r="F4" s="67"/>
      <c r="G4" s="67"/>
      <c r="H4" s="67"/>
    </row>
    <row r="5" spans="1:8" ht="15.75">
      <c r="A5" s="88"/>
      <c r="B5" s="226"/>
      <c r="C5" s="226"/>
      <c r="D5" s="226"/>
      <c r="E5" s="226"/>
      <c r="F5" s="226"/>
      <c r="G5" s="226"/>
      <c r="H5" s="226"/>
    </row>
    <row r="6" spans="1:8" ht="15.75">
      <c r="A6" s="258"/>
      <c r="B6" s="259"/>
      <c r="C6" s="259"/>
      <c r="D6" s="259"/>
      <c r="E6" s="227" t="s">
        <v>50</v>
      </c>
      <c r="F6" s="259"/>
      <c r="G6" s="259"/>
      <c r="H6" s="259"/>
    </row>
    <row r="7" spans="1:8" ht="15.75">
      <c r="A7" s="258"/>
      <c r="B7" s="230"/>
      <c r="C7" s="230" t="s">
        <v>144</v>
      </c>
      <c r="D7" s="230" t="s">
        <v>145</v>
      </c>
      <c r="E7" s="230" t="s">
        <v>69</v>
      </c>
      <c r="F7" s="230" t="s">
        <v>146</v>
      </c>
      <c r="G7" s="230" t="s">
        <v>147</v>
      </c>
      <c r="H7" s="230" t="s">
        <v>147</v>
      </c>
    </row>
    <row r="8" spans="1:8" ht="15.75">
      <c r="A8" s="258"/>
      <c r="B8" s="230" t="s">
        <v>148</v>
      </c>
      <c r="C8" s="230" t="s">
        <v>149</v>
      </c>
      <c r="D8" s="230" t="s">
        <v>133</v>
      </c>
      <c r="E8" s="230" t="s">
        <v>150</v>
      </c>
      <c r="F8" s="230" t="s">
        <v>191</v>
      </c>
      <c r="G8" s="230" t="s">
        <v>151</v>
      </c>
      <c r="H8" s="230" t="s">
        <v>151</v>
      </c>
    </row>
    <row r="9" spans="1:8" ht="15.75">
      <c r="A9" s="260" t="s">
        <v>152</v>
      </c>
      <c r="B9" s="233" t="s">
        <v>130</v>
      </c>
      <c r="C9" s="261" t="s">
        <v>153</v>
      </c>
      <c r="D9" s="233" t="s">
        <v>92</v>
      </c>
      <c r="E9" s="261" t="s">
        <v>210</v>
      </c>
      <c r="F9" s="262" t="str">
        <f>CONCATENATE("Jan 1,",H1-1,"")</f>
        <v>Jan 1,2011</v>
      </c>
      <c r="G9" s="233">
        <f>H1-1</f>
        <v>2011</v>
      </c>
      <c r="H9" s="233">
        <f>H1</f>
        <v>2012</v>
      </c>
    </row>
    <row r="10" spans="1:8" ht="15.75">
      <c r="A10" s="263" t="s">
        <v>344</v>
      </c>
      <c r="B10" s="374">
        <v>40485</v>
      </c>
      <c r="C10" s="264">
        <v>36</v>
      </c>
      <c r="D10" s="265">
        <v>0</v>
      </c>
      <c r="E10" s="86">
        <v>39108</v>
      </c>
      <c r="F10" s="86">
        <v>26072</v>
      </c>
      <c r="G10" s="86">
        <v>13036</v>
      </c>
      <c r="H10" s="86">
        <v>13036</v>
      </c>
    </row>
    <row r="11" spans="1:8" ht="15.75">
      <c r="A11" s="263"/>
      <c r="B11" s="263"/>
      <c r="C11" s="264"/>
      <c r="D11" s="265"/>
      <c r="E11" s="86"/>
      <c r="F11" s="86"/>
      <c r="G11" s="86"/>
      <c r="H11" s="86"/>
    </row>
    <row r="12" spans="1:8" ht="15.75">
      <c r="A12" s="263"/>
      <c r="B12" s="374"/>
      <c r="C12" s="264"/>
      <c r="D12" s="265"/>
      <c r="E12" s="86"/>
      <c r="F12" s="86"/>
      <c r="G12" s="86"/>
      <c r="H12" s="86"/>
    </row>
    <row r="13" spans="1:8" ht="15.75">
      <c r="A13" s="263"/>
      <c r="B13" s="263"/>
      <c r="C13" s="264"/>
      <c r="D13" s="265"/>
      <c r="E13" s="86"/>
      <c r="F13" s="86"/>
      <c r="G13" s="86"/>
      <c r="H13" s="86"/>
    </row>
    <row r="14" spans="1:8" ht="15.75">
      <c r="A14" s="263"/>
      <c r="B14" s="263"/>
      <c r="C14" s="264"/>
      <c r="D14" s="265"/>
      <c r="E14" s="86"/>
      <c r="F14" s="86"/>
      <c r="G14" s="86"/>
      <c r="H14" s="86"/>
    </row>
    <row r="15" spans="1:8" ht="15.75">
      <c r="A15" s="263"/>
      <c r="B15" s="263"/>
      <c r="C15" s="264"/>
      <c r="D15" s="265"/>
      <c r="E15" s="86"/>
      <c r="F15" s="86"/>
      <c r="G15" s="86"/>
      <c r="H15" s="86"/>
    </row>
    <row r="16" spans="1:8" ht="15.75">
      <c r="A16" s="263"/>
      <c r="B16" s="263"/>
      <c r="C16" s="264"/>
      <c r="D16" s="265"/>
      <c r="E16" s="86"/>
      <c r="F16" s="86"/>
      <c r="G16" s="86"/>
      <c r="H16" s="86"/>
    </row>
    <row r="17" spans="1:8" ht="15.75">
      <c r="A17" s="263"/>
      <c r="B17" s="263"/>
      <c r="C17" s="264"/>
      <c r="D17" s="265"/>
      <c r="E17" s="86"/>
      <c r="F17" s="86"/>
      <c r="G17" s="86"/>
      <c r="H17" s="86"/>
    </row>
    <row r="18" spans="1:8" ht="15.75">
      <c r="A18" s="263"/>
      <c r="B18" s="263"/>
      <c r="C18" s="264"/>
      <c r="D18" s="265"/>
      <c r="E18" s="86"/>
      <c r="F18" s="86"/>
      <c r="G18" s="86"/>
      <c r="H18" s="86"/>
    </row>
    <row r="19" spans="1:8" ht="15.75">
      <c r="A19" s="263"/>
      <c r="B19" s="263"/>
      <c r="C19" s="264"/>
      <c r="D19" s="265"/>
      <c r="E19" s="86"/>
      <c r="F19" s="86"/>
      <c r="G19" s="86"/>
      <c r="H19" s="86"/>
    </row>
    <row r="20" spans="1:8" ht="15.75">
      <c r="A20" s="263"/>
      <c r="B20" s="263"/>
      <c r="C20" s="264"/>
      <c r="D20" s="265"/>
      <c r="E20" s="86"/>
      <c r="F20" s="86"/>
      <c r="G20" s="86"/>
      <c r="H20" s="86"/>
    </row>
    <row r="21" spans="1:8" ht="15.75">
      <c r="A21" s="263"/>
      <c r="B21" s="263"/>
      <c r="C21" s="264"/>
      <c r="D21" s="265"/>
      <c r="E21" s="86"/>
      <c r="F21" s="86"/>
      <c r="G21" s="86"/>
      <c r="H21" s="86"/>
    </row>
    <row r="22" spans="1:8" ht="15.75">
      <c r="A22" s="263"/>
      <c r="B22" s="263"/>
      <c r="C22" s="264"/>
      <c r="D22" s="265"/>
      <c r="E22" s="86"/>
      <c r="F22" s="86"/>
      <c r="G22" s="86"/>
      <c r="H22" s="86"/>
    </row>
    <row r="23" spans="1:8" ht="15.75">
      <c r="A23" s="263"/>
      <c r="B23" s="263"/>
      <c r="C23" s="264"/>
      <c r="D23" s="265"/>
      <c r="E23" s="86"/>
      <c r="F23" s="86"/>
      <c r="G23" s="86"/>
      <c r="H23" s="86"/>
    </row>
    <row r="24" spans="1:8" ht="15.75">
      <c r="A24" s="263"/>
      <c r="B24" s="263"/>
      <c r="C24" s="264"/>
      <c r="D24" s="265"/>
      <c r="E24" s="86"/>
      <c r="F24" s="86"/>
      <c r="G24" s="86"/>
      <c r="H24" s="86"/>
    </row>
    <row r="25" spans="1:8" ht="15.75">
      <c r="A25" s="263"/>
      <c r="B25" s="263"/>
      <c r="C25" s="264"/>
      <c r="D25" s="265"/>
      <c r="E25" s="86"/>
      <c r="F25" s="86"/>
      <c r="G25" s="86"/>
      <c r="H25" s="86"/>
    </row>
    <row r="26" spans="1:8" ht="15.75">
      <c r="A26" s="263"/>
      <c r="B26" s="263"/>
      <c r="C26" s="264"/>
      <c r="D26" s="265"/>
      <c r="E26" s="86"/>
      <c r="F26" s="86"/>
      <c r="G26" s="86"/>
      <c r="H26" s="86"/>
    </row>
    <row r="27" spans="1:8" ht="15.75">
      <c r="A27" s="263"/>
      <c r="B27" s="263"/>
      <c r="C27" s="264"/>
      <c r="D27" s="265"/>
      <c r="E27" s="86"/>
      <c r="F27" s="86"/>
      <c r="G27" s="86"/>
      <c r="H27" s="86"/>
    </row>
    <row r="28" spans="1:8" ht="15.75">
      <c r="A28" s="263"/>
      <c r="B28" s="263"/>
      <c r="C28" s="264"/>
      <c r="D28" s="265"/>
      <c r="E28" s="86"/>
      <c r="F28" s="86"/>
      <c r="G28" s="86"/>
      <c r="H28" s="86"/>
    </row>
    <row r="29" spans="1:8" ht="15.75">
      <c r="A29" s="263"/>
      <c r="B29" s="263"/>
      <c r="C29" s="264"/>
      <c r="D29" s="265"/>
      <c r="E29" s="86"/>
      <c r="F29" s="86"/>
      <c r="G29" s="86"/>
      <c r="H29" s="86"/>
    </row>
    <row r="30" spans="1:8" ht="15.75">
      <c r="A30" s="263"/>
      <c r="B30" s="263"/>
      <c r="C30" s="264"/>
      <c r="D30" s="265"/>
      <c r="E30" s="86"/>
      <c r="F30" s="86"/>
      <c r="G30" s="86"/>
      <c r="H30" s="86"/>
    </row>
    <row r="31" spans="1:8" ht="15.75">
      <c r="A31" s="263"/>
      <c r="B31" s="263"/>
      <c r="C31" s="264"/>
      <c r="D31" s="265"/>
      <c r="E31" s="86"/>
      <c r="F31" s="86"/>
      <c r="G31" s="86"/>
      <c r="H31" s="86"/>
    </row>
    <row r="32" spans="1:8" ht="15.75">
      <c r="A32" s="263"/>
      <c r="B32" s="263"/>
      <c r="C32" s="264"/>
      <c r="D32" s="265"/>
      <c r="E32" s="86"/>
      <c r="F32" s="86"/>
      <c r="G32" s="86"/>
      <c r="H32" s="86"/>
    </row>
    <row r="33" spans="1:8" ht="15.75">
      <c r="A33" s="263"/>
      <c r="B33" s="263"/>
      <c r="C33" s="264"/>
      <c r="D33" s="265"/>
      <c r="E33" s="86"/>
      <c r="F33" s="86"/>
      <c r="G33" s="86"/>
      <c r="H33" s="86"/>
    </row>
    <row r="34" spans="1:8" ht="15.75">
      <c r="A34" s="263"/>
      <c r="B34" s="263"/>
      <c r="C34" s="264"/>
      <c r="D34" s="265"/>
      <c r="E34" s="86"/>
      <c r="F34" s="86"/>
      <c r="G34" s="86"/>
      <c r="H34" s="86"/>
    </row>
    <row r="35" spans="1:8" ht="15.75">
      <c r="A35" s="263"/>
      <c r="B35" s="263"/>
      <c r="C35" s="264"/>
      <c r="D35" s="265"/>
      <c r="E35" s="86"/>
      <c r="F35" s="86"/>
      <c r="G35" s="86"/>
      <c r="H35" s="86"/>
    </row>
    <row r="36" spans="1:8" ht="15.75">
      <c r="A36" s="263"/>
      <c r="B36" s="263"/>
      <c r="C36" s="264"/>
      <c r="D36" s="265"/>
      <c r="E36" s="86"/>
      <c r="F36" s="86"/>
      <c r="G36" s="86"/>
      <c r="H36" s="86"/>
    </row>
    <row r="37" spans="1:9" ht="16.5" thickBot="1">
      <c r="A37" s="232" t="s">
        <v>76</v>
      </c>
      <c r="B37" s="59"/>
      <c r="C37" s="59"/>
      <c r="D37" s="59"/>
      <c r="E37" s="59"/>
      <c r="F37" s="266">
        <f>SUM(F10:F36)</f>
        <v>26072</v>
      </c>
      <c r="G37" s="266">
        <f>SUM(G10:G36)</f>
        <v>13036</v>
      </c>
      <c r="H37" s="266">
        <f>SUM(H10:H36)</f>
        <v>13036</v>
      </c>
      <c r="I37" s="267"/>
    </row>
    <row r="38" spans="1:8" ht="16.5" thickTop="1">
      <c r="A38" s="59"/>
      <c r="B38" s="59"/>
      <c r="C38" s="59"/>
      <c r="D38" s="59"/>
      <c r="E38" s="59"/>
      <c r="F38" s="59"/>
      <c r="G38" s="199"/>
      <c r="H38" s="199"/>
    </row>
    <row r="39" spans="1:8" ht="15.75">
      <c r="A39" s="268" t="s">
        <v>45</v>
      </c>
      <c r="B39" s="269"/>
      <c r="C39" s="269"/>
      <c r="D39" s="269"/>
      <c r="E39" s="269"/>
      <c r="F39" s="269"/>
      <c r="G39" s="199"/>
      <c r="H39" s="199"/>
    </row>
    <row r="40" spans="1:8" ht="15.75">
      <c r="A40" s="117"/>
      <c r="B40" s="117"/>
      <c r="C40" s="255"/>
      <c r="D40" s="117"/>
      <c r="E40" s="117"/>
      <c r="F40" s="117"/>
      <c r="G40" s="254"/>
      <c r="H40" s="254"/>
    </row>
    <row r="41" spans="1:8" ht="15.75">
      <c r="A41" s="117"/>
      <c r="B41" s="117"/>
      <c r="C41" s="117"/>
      <c r="D41" s="117"/>
      <c r="E41" s="117"/>
      <c r="F41" s="117"/>
      <c r="G41" s="117"/>
      <c r="H41" s="117"/>
    </row>
    <row r="42" spans="1:8" ht="15.75">
      <c r="A42" s="117"/>
      <c r="B42" s="117"/>
      <c r="C42" s="117"/>
      <c r="D42" s="117"/>
      <c r="E42" s="117"/>
      <c r="F42" s="117"/>
      <c r="G42" s="117"/>
      <c r="H42" s="117"/>
    </row>
    <row r="43" spans="1:8" ht="15.75">
      <c r="A43" s="117"/>
      <c r="B43" s="117"/>
      <c r="C43" s="117"/>
      <c r="D43" s="117"/>
      <c r="E43" s="117"/>
      <c r="F43" s="117"/>
      <c r="G43" s="117"/>
      <c r="H43" s="117"/>
    </row>
    <row r="44" spans="1:8" ht="15.75">
      <c r="A44" s="117"/>
      <c r="B44" s="117"/>
      <c r="C44" s="117"/>
      <c r="D44" s="117"/>
      <c r="E44" s="117"/>
      <c r="F44" s="117"/>
      <c r="G44" s="117"/>
      <c r="H44" s="117"/>
    </row>
    <row r="45" spans="1:8" ht="15.75">
      <c r="A45" s="117"/>
      <c r="B45" s="117"/>
      <c r="C45" s="117"/>
      <c r="D45" s="117"/>
      <c r="E45" s="117"/>
      <c r="F45" s="117"/>
      <c r="G45" s="117"/>
      <c r="H45" s="117"/>
    </row>
    <row r="46" spans="1:8" ht="15.75">
      <c r="A46" s="117"/>
      <c r="B46" s="117"/>
      <c r="C46" s="117"/>
      <c r="D46" s="117"/>
      <c r="E46" s="117"/>
      <c r="F46" s="117"/>
      <c r="G46" s="117"/>
      <c r="H46" s="117"/>
    </row>
    <row r="47" spans="1:8" ht="15.75">
      <c r="A47" s="117"/>
      <c r="B47" s="117"/>
      <c r="C47" s="117"/>
      <c r="D47" s="117"/>
      <c r="E47" s="117"/>
      <c r="F47" s="117"/>
      <c r="G47" s="117"/>
      <c r="H47" s="117"/>
    </row>
    <row r="48" spans="1:8" ht="15.75">
      <c r="A48" s="117"/>
      <c r="B48" s="117"/>
      <c r="C48" s="117"/>
      <c r="D48" s="117"/>
      <c r="E48" s="117"/>
      <c r="F48" s="117"/>
      <c r="G48" s="117"/>
      <c r="H48" s="117"/>
    </row>
  </sheetData>
  <sheetProtection sheet="1"/>
  <printOptions/>
  <pageMargins left="1" right="0.5" top="0.78" bottom="0.4" header="0.5" footer="0"/>
  <pageSetup blackAndWhite="1" fitToHeight="1" fitToWidth="1" horizontalDpi="600" verticalDpi="600" orientation="landscape" scale="79" r:id="rId1"/>
  <headerFooter alignWithMargins="0">
    <oddHeader>&amp;RState of Kansas
County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2011-08-26T19:49:28Z</cp:lastPrinted>
  <dcterms:created xsi:type="dcterms:W3CDTF">1998-08-26T13:26:11Z</dcterms:created>
  <dcterms:modified xsi:type="dcterms:W3CDTF">2014-01-19T22:15:34Z</dcterms:modified>
  <cp:category/>
  <cp:version/>
  <cp:contentType/>
  <cp:contentStatus/>
</cp:coreProperties>
</file>