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1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vs-Employee" sheetId="14" r:id="rId14"/>
    <sheet name="SpecHwy-Utility" sheetId="15" r:id="rId15"/>
    <sheet name="nonbud" sheetId="16" r:id="rId16"/>
    <sheet name="summ" sheetId="17" r:id="rId17"/>
    <sheet name="Nhood" sheetId="18" r:id="rId18"/>
    <sheet name="No" sheetId="19" r:id="rId19"/>
    <sheet name="levy page9" sheetId="20" r:id="rId20"/>
    <sheet name="levy page10" sheetId="21" r:id="rId21"/>
    <sheet name="no levy page13" sheetId="22" r:id="rId22"/>
    <sheet name="Sinnolevy14" sheetId="23" r:id="rId23"/>
    <sheet name="NonBudFunds"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'DebtSvs-Employee'!$B$1:$E$78</definedName>
    <definedName name="_xlnm.Print_Area" localSheetId="11">'general'!$B$1:$E$70</definedName>
    <definedName name="_xlnm.Print_Area" localSheetId="1">'inputPrYr'!$A$1:$E$58</definedName>
    <definedName name="_xlnm.Print_Area" localSheetId="10">'lpform'!$A$1:$H$22</definedName>
    <definedName name="_xlnm.Print_Area" localSheetId="30">'Mill Rate Computation'!$B$4:$K$150</definedName>
    <definedName name="_xlnm.Print_Area" localSheetId="16">'summ'!$A$1:$H$42</definedName>
  </definedNames>
  <calcPr fullCalcOnLoad="1"/>
</workbook>
</file>

<file path=xl/sharedStrings.xml><?xml version="1.0" encoding="utf-8"?>
<sst xmlns="http://schemas.openxmlformats.org/spreadsheetml/2006/main" count="1562" uniqueCount="940">
  <si>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</si>
  <si>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</si>
  <si>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</si>
  <si>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</si>
  <si>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</si>
  <si>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</si>
  <si>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</si>
  <si>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</si>
  <si>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</si>
  <si>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</si>
  <si>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</si>
  <si>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</si>
  <si>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</si>
  <si>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</si>
  <si>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</si>
  <si>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</si>
  <si>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</si>
  <si>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</si>
  <si>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</si>
  <si>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</si>
  <si>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</si>
  <si>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</si>
  <si>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</si>
  <si>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</si>
  <si>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</si>
  <si>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</si>
  <si>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</si>
  <si>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</si>
  <si>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</si>
  <si>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</si>
  <si>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</si>
  <si>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</si>
  <si>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</si>
  <si>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</si>
  <si>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</si>
  <si>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</si>
  <si>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</si>
  <si>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</si>
  <si>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</si>
  <si>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</si>
  <si>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</si>
  <si>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</si>
  <si>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</si>
  <si>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</si>
  <si>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</si>
  <si>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</si>
  <si>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</si>
  <si>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</si>
  <si>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</si>
  <si>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</si>
  <si>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</si>
  <si>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</si>
  <si>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</si>
  <si>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</si>
  <si>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</si>
  <si>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</si>
  <si>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</si>
  <si>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</si>
  <si>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</si>
  <si>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</si>
  <si>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</si>
  <si>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</si>
  <si>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</si>
  <si>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</si>
  <si>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</si>
  <si>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</si>
  <si>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</si>
  <si>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</si>
  <si>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</si>
  <si>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</si>
  <si>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</si>
  <si>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</si>
  <si>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</si>
  <si>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</si>
  <si>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</si>
  <si>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</si>
  <si>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</si>
  <si>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</si>
  <si>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</si>
  <si>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</si>
  <si>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</si>
  <si>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</si>
  <si>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</si>
  <si>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</si>
  <si>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</si>
  <si>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</si>
  <si>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</si>
  <si>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</si>
  <si>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</si>
  <si>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</si>
  <si>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</si>
  <si>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</si>
  <si>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</si>
  <si>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</si>
  <si>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</si>
  <si>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</si>
  <si>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</si>
  <si>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</si>
  <si>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</si>
  <si>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</si>
  <si>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</si>
  <si>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</si>
  <si>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</si>
  <si>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</si>
  <si>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</si>
  <si>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</si>
  <si>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</si>
  <si>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</si>
  <si>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</si>
  <si>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</si>
  <si>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</si>
  <si>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</si>
  <si>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</si>
  <si>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</si>
  <si>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</si>
  <si>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</si>
  <si>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</si>
  <si>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</si>
  <si>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</si>
  <si>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</si>
  <si>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</si>
  <si>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</si>
  <si>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</si>
  <si>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</si>
  <si>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</si>
  <si>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</si>
  <si>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</si>
  <si>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</si>
  <si>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</si>
  <si>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</si>
  <si>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</si>
  <si>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</si>
  <si>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</si>
  <si>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</si>
  <si>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</si>
  <si>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</si>
  <si>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</si>
  <si>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</si>
  <si>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</si>
  <si>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</si>
  <si>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</si>
  <si>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</si>
  <si>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</si>
  <si>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</si>
  <si>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</si>
  <si>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</si>
  <si>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</si>
  <si>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</si>
  <si>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</si>
  <si>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</si>
  <si>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</si>
  <si>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</si>
  <si>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</si>
  <si>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</si>
  <si>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</si>
  <si>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</si>
  <si>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</si>
  <si>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</si>
  <si>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</si>
  <si>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</si>
  <si>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</si>
  <si>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</si>
  <si>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</si>
  <si>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</si>
  <si>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</si>
  <si>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</si>
  <si>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</si>
  <si>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</si>
  <si>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</si>
  <si>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</si>
  <si>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</si>
  <si>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</si>
  <si>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</si>
  <si>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</si>
  <si>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</si>
  <si>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</si>
  <si>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</si>
  <si>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</si>
  <si>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</si>
  <si>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</si>
  <si>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</si>
  <si>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</si>
  <si>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</si>
  <si>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</si>
  <si>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</si>
  <si>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</si>
  <si>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</si>
  <si>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</si>
  <si>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</si>
  <si>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</si>
  <si>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</si>
  <si>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</si>
  <si>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</si>
  <si>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</si>
  <si>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</si>
  <si>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</si>
  <si>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</si>
  <si>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</si>
  <si>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</si>
  <si>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</si>
  <si>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</si>
  <si>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</si>
  <si>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</si>
  <si>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</si>
  <si>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</si>
  <si>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</si>
  <si>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</si>
  <si>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</si>
  <si>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</si>
  <si>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</si>
  <si>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</si>
  <si>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</si>
  <si>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</si>
  <si>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</si>
  <si>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</si>
  <si>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</si>
  <si>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</si>
  <si>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</si>
  <si>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</si>
  <si>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</si>
  <si>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</si>
  <si>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</si>
  <si>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</si>
  <si>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</si>
  <si>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</si>
  <si>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</si>
  <si>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</si>
  <si>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</si>
  <si>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</si>
  <si>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</si>
  <si>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</si>
  <si>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</si>
  <si>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</si>
  <si>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</si>
  <si>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</si>
  <si>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</si>
  <si>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</si>
  <si>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</si>
  <si>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</si>
  <si>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</si>
  <si>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</si>
  <si>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</si>
  <si>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</si>
  <si>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</si>
  <si>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</si>
  <si>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</si>
  <si>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</si>
  <si>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</si>
  <si>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</si>
  <si>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</si>
  <si>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</si>
  <si>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</si>
  <si>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</si>
  <si>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</si>
  <si>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</si>
  <si>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</si>
  <si>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</si>
  <si>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</si>
  <si>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</si>
  <si>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</si>
  <si>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</si>
  <si>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</si>
  <si>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</si>
  <si>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</si>
  <si>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</si>
  <si>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</si>
  <si>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</si>
  <si>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</si>
  <si>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</si>
  <si>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</si>
  <si>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</si>
  <si>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</si>
  <si>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</si>
  <si>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</si>
  <si>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</si>
  <si>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</si>
  <si>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</si>
  <si>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</si>
  <si>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</si>
  <si>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</si>
  <si>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</si>
  <si>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</si>
  <si>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</si>
  <si>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</si>
  <si>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</si>
  <si>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</si>
  <si>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</si>
  <si>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</si>
  <si>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</si>
  <si>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</si>
  <si>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</si>
  <si>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</si>
  <si>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</si>
  <si>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</si>
  <si>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</si>
  <si>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</si>
  <si>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</si>
  <si>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</si>
  <si>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</si>
  <si>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</si>
  <si>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</si>
  <si>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</si>
  <si>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</si>
  <si>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</si>
  <si>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</si>
  <si>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</si>
  <si>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</si>
  <si>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</si>
  <si>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</si>
  <si>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</si>
  <si>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</si>
  <si>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</si>
  <si>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</si>
  <si>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</si>
  <si>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</si>
  <si>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</si>
  <si>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</si>
  <si>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</si>
  <si>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</si>
  <si>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</si>
  <si>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</si>
  <si>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</si>
  <si>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</si>
  <si>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</si>
  <si>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</si>
  <si>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</si>
  <si>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</si>
  <si>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</si>
  <si>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</si>
  <si>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</si>
  <si>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</si>
  <si>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</si>
  <si>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</si>
  <si>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</si>
  <si>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</si>
  <si>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</si>
  <si>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</si>
  <si>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</si>
  <si>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</si>
  <si>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</si>
  <si>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</si>
  <si>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</si>
  <si>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</si>
  <si>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</si>
  <si>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</si>
  <si>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</si>
  <si>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</si>
  <si>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</si>
  <si>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</si>
  <si>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</si>
  <si>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</si>
  <si>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</si>
  <si>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</si>
  <si>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</si>
  <si>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</si>
  <si>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</si>
  <si>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</si>
  <si>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</si>
  <si>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</si>
  <si>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</si>
  <si>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</si>
  <si>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</si>
  <si>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</si>
  <si>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</si>
  <si>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</si>
  <si>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</si>
  <si>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</si>
  <si>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</si>
  <si>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</si>
  <si>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</si>
  <si>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</si>
  <si>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</si>
  <si>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</si>
  <si>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</si>
  <si>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</si>
  <si>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</si>
  <si>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</si>
  <si>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</si>
  <si>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</si>
  <si>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</si>
  <si>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</si>
  <si>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</si>
  <si>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</si>
  <si>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</si>
  <si>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</si>
  <si>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</si>
  <si>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</si>
  <si>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</si>
  <si>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</si>
  <si>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</si>
  <si>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</si>
  <si>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</si>
  <si>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</si>
  <si>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</si>
  <si>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</si>
  <si>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</si>
  <si>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</si>
  <si>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</si>
  <si>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</si>
  <si>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</si>
  <si>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</si>
  <si>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</si>
  <si>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</si>
  <si>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</si>
  <si>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</si>
  <si>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</si>
  <si>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</si>
  <si>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</si>
  <si>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</si>
  <si>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</si>
  <si>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</si>
  <si>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</si>
  <si>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</si>
  <si>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</si>
  <si>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</si>
  <si>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</si>
  <si>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</si>
  <si>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</si>
  <si>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</si>
  <si>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</si>
  <si>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</si>
  <si>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</si>
  <si>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</si>
  <si>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</si>
  <si>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</si>
  <si>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</si>
  <si>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</si>
  <si>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</si>
  <si>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</si>
  <si>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</si>
  <si>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</si>
  <si>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</si>
  <si>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</si>
  <si>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</si>
  <si>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</si>
  <si>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</si>
  <si>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</si>
  <si>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</si>
  <si>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</si>
  <si>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</si>
  <si>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</si>
  <si>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</si>
  <si>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</si>
  <si>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</si>
  <si>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</si>
  <si>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</si>
  <si>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</si>
  <si>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</si>
  <si>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</si>
  <si>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</si>
  <si>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</si>
  <si>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</si>
  <si>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</si>
  <si>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</si>
  <si>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</si>
  <si>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</si>
  <si>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</si>
  <si>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</si>
  <si>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</si>
  <si>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</si>
  <si>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</si>
  <si>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</si>
  <si>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</si>
  <si>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</si>
  <si>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</si>
  <si>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</si>
  <si>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</si>
  <si>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</si>
  <si>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</si>
  <si>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</si>
  <si>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</si>
  <si>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</si>
  <si>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</si>
  <si>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</si>
  <si>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</si>
  <si>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</si>
  <si>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</si>
  <si>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</si>
  <si>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</si>
  <si>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</si>
  <si>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</si>
  <si>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</si>
  <si>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</si>
  <si>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</si>
  <si>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</si>
  <si>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</si>
  <si>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</si>
  <si>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</si>
  <si>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</si>
  <si>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</si>
  <si>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</si>
  <si>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</si>
  <si>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</si>
  <si>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</si>
  <si>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</si>
  <si>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</si>
  <si>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</si>
  <si>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</si>
  <si>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</si>
  <si>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</si>
  <si>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</si>
  <si>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</si>
  <si>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</si>
  <si>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</si>
  <si>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</si>
  <si>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</si>
  <si>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</si>
  <si>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</si>
  <si>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</si>
  <si>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</si>
  <si>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</si>
  <si>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</si>
  <si>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</si>
  <si>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</si>
  <si>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</si>
  <si>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</si>
  <si>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</si>
  <si>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</si>
  <si>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</si>
  <si>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</si>
  <si>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</si>
  <si>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</si>
  <si>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</si>
  <si>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</si>
  <si>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</si>
  <si>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</si>
  <si>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</si>
  <si>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</si>
  <si>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</si>
  <si>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</si>
  <si>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</si>
  <si>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</si>
  <si>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</si>
  <si>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</si>
  <si>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</si>
  <si>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</si>
  <si>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</si>
  <si>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</si>
  <si>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</si>
  <si>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</si>
  <si>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</si>
  <si>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</si>
  <si>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</si>
  <si>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</si>
  <si>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</si>
  <si>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</si>
  <si>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</si>
  <si>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</si>
  <si>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</si>
  <si>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</si>
  <si>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</si>
  <si>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</si>
  <si>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</si>
  <si>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</si>
  <si>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</si>
  <si>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</si>
  <si>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</si>
  <si>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</si>
  <si>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</si>
  <si>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</si>
  <si>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</si>
  <si>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</si>
  <si>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</si>
  <si>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</si>
  <si>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</si>
  <si>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</si>
  <si>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</si>
  <si>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</si>
  <si>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</si>
  <si>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</si>
  <si>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</si>
  <si>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</si>
  <si>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</si>
  <si>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</si>
  <si>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</si>
  <si>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</si>
  <si>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</si>
  <si>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</si>
  <si>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</si>
  <si>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</si>
  <si>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</si>
  <si>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</si>
  <si>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</si>
  <si>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</si>
  <si>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</si>
  <si>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</si>
  <si>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</si>
  <si>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</si>
  <si>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</si>
  <si>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</si>
  <si>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</si>
  <si>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</si>
  <si>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</si>
  <si>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</si>
  <si>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</si>
  <si>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</si>
  <si>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</si>
  <si>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</si>
  <si>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</si>
  <si>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</si>
  <si>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</si>
  <si>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</si>
  <si>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</si>
  <si>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</si>
  <si>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</si>
  <si>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</si>
  <si>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</si>
  <si>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</si>
  <si>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</si>
  <si>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</si>
  <si>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</si>
  <si>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</si>
  <si>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</si>
  <si>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</si>
  <si>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</si>
  <si>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</si>
  <si>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</si>
  <si>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</si>
  <si>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</si>
  <si>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</si>
  <si>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</si>
  <si>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</si>
  <si>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</si>
  <si>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</si>
  <si>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</si>
  <si>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</si>
  <si>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</si>
  <si>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</si>
  <si>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</si>
  <si>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</si>
  <si>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</si>
  <si>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</si>
  <si>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</si>
  <si>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</si>
  <si>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</si>
  <si>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</si>
  <si>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</si>
  <si>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</si>
  <si>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</si>
  <si>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</si>
  <si>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</si>
  <si>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</si>
  <si>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</si>
  <si>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</si>
  <si>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</si>
  <si>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</si>
  <si>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</si>
  <si>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</si>
  <si>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</si>
  <si>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</si>
  <si>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</si>
  <si>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</si>
  <si>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</si>
  <si>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</si>
  <si>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</si>
  <si>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</si>
  <si>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</si>
  <si>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</si>
  <si>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</si>
  <si>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</si>
  <si>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</si>
  <si>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</si>
  <si>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</si>
  <si>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</si>
  <si>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</si>
  <si>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</si>
  <si>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</si>
  <si>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</si>
  <si>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</si>
  <si>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</si>
  <si>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</si>
  <si>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</si>
  <si>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</si>
  <si>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</si>
  <si>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</si>
  <si>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</si>
  <si>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</si>
  <si>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</si>
  <si>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</si>
  <si>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</si>
  <si>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</si>
  <si>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</si>
  <si>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</si>
  <si>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</si>
  <si>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</si>
  <si>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</si>
  <si>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</si>
  <si>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</si>
  <si>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</si>
  <si>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</si>
  <si>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</si>
  <si>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</si>
  <si>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</si>
  <si>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</si>
  <si>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</si>
  <si>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</si>
  <si>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</si>
  <si>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</si>
  <si>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</si>
  <si>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</si>
  <si>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</si>
  <si>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</si>
  <si>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</si>
  <si>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</si>
  <si>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</si>
  <si>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</si>
  <si>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</si>
  <si>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</si>
  <si>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</si>
  <si>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</si>
  <si>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</si>
  <si>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</si>
  <si>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</si>
  <si>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</si>
  <si>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</si>
  <si>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</si>
  <si>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</si>
  <si>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</si>
  <si>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</si>
  <si>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</si>
  <si>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</si>
  <si>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</si>
  <si>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</si>
  <si>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</si>
  <si>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</si>
  <si>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</si>
  <si>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</si>
  <si>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</si>
  <si>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</si>
  <si>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</si>
  <si>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</si>
  <si>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</si>
  <si>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</si>
  <si>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</si>
  <si>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</si>
  <si>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</si>
  <si>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</si>
  <si>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</si>
  <si>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</si>
  <si>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</si>
  <si>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</si>
  <si>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</si>
  <si>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</si>
  <si>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</si>
  <si>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</si>
  <si>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</si>
  <si>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</si>
  <si>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</si>
  <si>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</si>
  <si>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</si>
  <si>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</si>
  <si>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</si>
  <si>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</si>
  <si>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</si>
  <si>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</si>
  <si>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</si>
  <si>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</si>
  <si>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</si>
  <si>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</si>
  <si>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</si>
  <si>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</si>
  <si>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</si>
  <si>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</si>
  <si>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</si>
  <si>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</si>
  <si>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</si>
  <si>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</si>
  <si>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</si>
  <si>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</si>
  <si>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</si>
  <si>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</si>
  <si>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</si>
  <si>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</si>
  <si>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</si>
  <si>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</si>
  <si>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</si>
  <si>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</si>
  <si>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</si>
  <si>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</si>
  <si>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</si>
  <si>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</si>
  <si>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</si>
  <si>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</si>
  <si>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</si>
  <si>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</si>
  <si>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</si>
  <si>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</si>
  <si>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</si>
  <si>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</si>
  <si>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</si>
  <si>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</si>
  <si>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</si>
  <si>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</si>
  <si>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</si>
  <si>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</si>
  <si>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</si>
  <si>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</si>
  <si>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</si>
  <si>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</si>
  <si>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</si>
  <si>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</si>
  <si>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</si>
  <si>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</si>
  <si>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</si>
  <si>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</si>
  <si>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</si>
  <si>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</si>
  <si>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</si>
  <si>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</si>
  <si>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</si>
  <si>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</si>
  <si>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</si>
  <si>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</si>
  <si>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</si>
  <si>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</si>
  <si>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</si>
  <si>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</si>
  <si>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</si>
  <si>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</si>
  <si>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</si>
  <si>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</si>
  <si>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</si>
  <si>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</si>
  <si>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</si>
  <si>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</si>
  <si>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</si>
  <si>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</si>
  <si>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</si>
  <si>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</si>
  <si>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</si>
  <si>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</si>
  <si>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</si>
  <si>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</si>
  <si>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</si>
  <si>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</si>
  <si>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</si>
  <si>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</si>
  <si>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</si>
  <si>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</si>
  <si>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</si>
  <si>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</si>
  <si>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</si>
  <si>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</si>
  <si>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</si>
  <si>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</si>
  <si>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</si>
  <si>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</si>
  <si>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</si>
  <si>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</si>
  <si>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</si>
  <si>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</si>
  <si>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</si>
  <si>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</si>
  <si>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</si>
  <si>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</si>
  <si>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</si>
  <si>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</si>
  <si>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</si>
  <si>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</si>
  <si>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</si>
  <si>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</si>
  <si>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</si>
  <si>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</si>
  <si>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</si>
  <si>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</si>
  <si>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</si>
  <si>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</si>
  <si>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City of Lewis</t>
  </si>
  <si>
    <t>Edwards County</t>
  </si>
  <si>
    <t>12-16,201</t>
  </si>
  <si>
    <t>Utility</t>
  </si>
  <si>
    <t>Bond</t>
  </si>
  <si>
    <t>Mar</t>
  </si>
  <si>
    <t>Sep</t>
  </si>
  <si>
    <t>NONE</t>
  </si>
  <si>
    <t>Fire</t>
  </si>
  <si>
    <t>Police</t>
  </si>
  <si>
    <t>Street</t>
  </si>
  <si>
    <t>Park</t>
  </si>
  <si>
    <t>Street Lights</t>
  </si>
  <si>
    <t>Tower</t>
  </si>
  <si>
    <t>Reimbursement</t>
  </si>
  <si>
    <t>Bank Charge</t>
  </si>
  <si>
    <t xml:space="preserve">  Cleaning</t>
  </si>
  <si>
    <t xml:space="preserve">  Mowing</t>
  </si>
  <si>
    <t>Transfer to Fire Reserve</t>
  </si>
  <si>
    <t>Transfer to Eqiupment Reserve</t>
  </si>
  <si>
    <t>Transfer to Cap Improvement</t>
  </si>
  <si>
    <t>Equipment Res</t>
  </si>
  <si>
    <t>Capital Improvement</t>
  </si>
  <si>
    <t>Fire Reserve</t>
  </si>
  <si>
    <t>12-1,117</t>
  </si>
  <si>
    <t>12-1,118</t>
  </si>
  <si>
    <t>Municipal Services</t>
  </si>
  <si>
    <t>7 p.m.</t>
  </si>
  <si>
    <t>Fire Contract</t>
  </si>
  <si>
    <t>Refund</t>
  </si>
  <si>
    <t>Rent</t>
  </si>
  <si>
    <t>Credits</t>
  </si>
  <si>
    <t>NR</t>
  </si>
  <si>
    <t>Police Fines</t>
  </si>
  <si>
    <t>Contractual</t>
  </si>
  <si>
    <t>Equip Res</t>
  </si>
  <si>
    <t>Cap Improv</t>
  </si>
  <si>
    <t>Fires Res</t>
  </si>
  <si>
    <t>New Service</t>
  </si>
  <si>
    <t>Coin Meter</t>
  </si>
  <si>
    <t>FICA</t>
  </si>
  <si>
    <t>KPERS</t>
  </si>
  <si>
    <t>Workman</t>
  </si>
  <si>
    <t>Health</t>
  </si>
  <si>
    <t>Unemployment</t>
  </si>
  <si>
    <t>Life</t>
  </si>
  <si>
    <t>KPERS Life</t>
  </si>
  <si>
    <t>Personal Svs</t>
  </si>
  <si>
    <t>Commodities</t>
  </si>
  <si>
    <t>Capital Outlay</t>
  </si>
  <si>
    <t>Sales Tax</t>
  </si>
  <si>
    <t>Water Tax</t>
  </si>
  <si>
    <t>Bad Checks</t>
  </si>
  <si>
    <t>Trash</t>
  </si>
  <si>
    <t>Water Deposits</t>
  </si>
  <si>
    <t>Deposits</t>
  </si>
  <si>
    <t>Refunds</t>
  </si>
  <si>
    <t>Tran fm General</t>
  </si>
  <si>
    <t>EMT Res</t>
  </si>
  <si>
    <t>Donation</t>
  </si>
  <si>
    <t>Principle</t>
  </si>
  <si>
    <t>Cash Reserve</t>
  </si>
  <si>
    <t xml:space="preserve">  FICA</t>
  </si>
  <si>
    <t xml:space="preserve">  KPERS</t>
  </si>
  <si>
    <t xml:space="preserve">  Workman's Comp</t>
  </si>
  <si>
    <t xml:space="preserve">  Health Insurance</t>
  </si>
  <si>
    <t xml:space="preserve">  Unemployment</t>
  </si>
  <si>
    <t xml:space="preserve">  Life Insurance</t>
  </si>
  <si>
    <t>KPERS Group Life</t>
  </si>
  <si>
    <t>City Clerk's Office</t>
  </si>
  <si>
    <t>August 8, 2011</t>
  </si>
  <si>
    <t>Mark Handshy</t>
  </si>
  <si>
    <t>Fitness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</si>
</sst>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29"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4"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37" fontId="6" fillId="22" borderId="17" xfId="104" applyNumberFormat="1" applyFont="1" applyFill="1" applyBorder="1" applyAlignment="1" applyProtection="1">
      <alignment horizontal="left"/>
      <protection locked="0"/>
    </xf>
    <xf numFmtId="37" fontId="6" fillId="22" borderId="12" xfId="104" applyNumberFormat="1" applyFont="1" applyFill="1" applyBorder="1" applyAlignment="1" applyProtection="1">
      <alignment horizontal="lef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0" fontId="6" fillId="22" borderId="11" xfId="145" applyFont="1" applyFill="1" applyBorder="1" applyProtection="1">
      <alignment/>
      <protection locked="0"/>
    </xf>
    <xf numFmtId="3" fontId="6" fillId="22" borderId="13" xfId="104" applyNumberFormat="1" applyFont="1" applyFill="1" applyBorder="1" applyAlignment="1" applyProtection="1">
      <alignment horizontal="righ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xf numFmtId="37" fontId="6" fillId="22" borderId="11" xfId="104" applyNumberFormat="1" applyFont="1" applyFill="1" applyBorder="1" applyProtection="1">
      <alignment/>
      <protection locked="0"/>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342</v>
      </c>
    </row>
    <row r="4" ht="15.75">
      <c r="A4" s="69"/>
    </row>
    <row r="5" ht="85.5" customHeight="1">
      <c r="A5" s="70" t="s">
        <v>49</v>
      </c>
    </row>
    <row r="6" ht="15.75">
      <c r="A6" s="70"/>
    </row>
    <row r="7" ht="47.25">
      <c r="A7" s="70" t="s">
        <v>796</v>
      </c>
    </row>
    <row r="9" ht="15.75">
      <c r="A9" s="66" t="s">
        <v>67</v>
      </c>
    </row>
    <row r="10" ht="15.75">
      <c r="A10" s="66"/>
    </row>
    <row r="11" ht="27" customHeight="1">
      <c r="A11" s="69" t="s">
        <v>68</v>
      </c>
    </row>
    <row r="12" ht="51.75" customHeight="1" hidden="1"/>
    <row r="13" ht="12" customHeight="1"/>
    <row r="14" ht="42.75" customHeight="1">
      <c r="A14" s="71" t="s">
        <v>689</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794</v>
      </c>
    </row>
    <row r="37" ht="38.25" customHeight="1">
      <c r="A37" s="70" t="s">
        <v>41</v>
      </c>
    </row>
    <row r="38" ht="51" customHeight="1">
      <c r="A38" s="79" t="s">
        <v>15</v>
      </c>
    </row>
    <row r="39" ht="11.25" customHeight="1"/>
    <row r="40" ht="81" customHeight="1">
      <c r="A40" s="70" t="s">
        <v>688</v>
      </c>
    </row>
    <row r="41" ht="66" customHeight="1">
      <c r="A41" s="70" t="s">
        <v>103</v>
      </c>
    </row>
    <row r="42" ht="105" customHeight="1">
      <c r="A42" s="70" t="s">
        <v>107</v>
      </c>
    </row>
    <row r="43" ht="12.75" customHeight="1"/>
    <row r="44" ht="73.5" customHeight="1">
      <c r="A44" s="419" t="s">
        <v>795</v>
      </c>
    </row>
    <row r="45" ht="69.75" customHeight="1">
      <c r="A45" s="420" t="s">
        <v>632</v>
      </c>
    </row>
    <row r="46" ht="12.75" customHeight="1"/>
    <row r="47" ht="67.5" customHeight="1">
      <c r="A47" s="70" t="s">
        <v>633</v>
      </c>
    </row>
    <row r="48" ht="37.5" customHeight="1">
      <c r="A48" s="70" t="s">
        <v>634</v>
      </c>
    </row>
    <row r="49" ht="13.5" customHeight="1">
      <c r="A49" s="70"/>
    </row>
    <row r="50" ht="69.75" customHeight="1">
      <c r="A50" s="70" t="s">
        <v>635</v>
      </c>
    </row>
    <row r="51" ht="13.5" customHeight="1">
      <c r="A51" s="70"/>
    </row>
    <row r="52" ht="70.5" customHeight="1">
      <c r="A52" s="70" t="s">
        <v>797</v>
      </c>
    </row>
    <row r="53" ht="117.75" customHeight="1">
      <c r="A53" s="70" t="s">
        <v>636</v>
      </c>
    </row>
    <row r="54" ht="35.25" customHeight="1">
      <c r="A54" s="70" t="s">
        <v>637</v>
      </c>
    </row>
    <row r="55" ht="15.75">
      <c r="A55" s="70"/>
    </row>
    <row r="56" ht="82.5" customHeight="1">
      <c r="A56" s="70" t="s">
        <v>638</v>
      </c>
    </row>
    <row r="58" ht="64.5" customHeight="1">
      <c r="A58" s="70" t="s">
        <v>639</v>
      </c>
    </row>
    <row r="59" ht="42.75" customHeight="1">
      <c r="A59" s="70" t="s">
        <v>665</v>
      </c>
    </row>
    <row r="60" ht="88.5" customHeight="1">
      <c r="A60" s="70" t="s">
        <v>690</v>
      </c>
    </row>
    <row r="61" ht="39" customHeight="1">
      <c r="A61" s="383" t="s">
        <v>666</v>
      </c>
    </row>
    <row r="63" s="70" customFormat="1" ht="58.5" customHeight="1">
      <c r="A63" s="70" t="s">
        <v>640</v>
      </c>
    </row>
    <row r="65" ht="69" customHeight="1">
      <c r="A65" s="70" t="s">
        <v>641</v>
      </c>
    </row>
    <row r="66" ht="11.25" customHeight="1"/>
    <row r="67" ht="85.5" customHeight="1">
      <c r="A67" s="70" t="s">
        <v>805</v>
      </c>
    </row>
    <row r="68" ht="85.5" customHeight="1">
      <c r="A68" s="528" t="s">
        <v>765</v>
      </c>
    </row>
    <row r="69" ht="73.5" customHeight="1">
      <c r="A69" s="528" t="s">
        <v>766</v>
      </c>
    </row>
    <row r="70" ht="136.5" customHeight="1">
      <c r="A70" s="70" t="s">
        <v>770</v>
      </c>
    </row>
    <row r="71" ht="85.5" customHeight="1">
      <c r="A71" s="70" t="s">
        <v>771</v>
      </c>
    </row>
    <row r="72" ht="116.25" customHeight="1">
      <c r="A72" s="70" t="s">
        <v>772</v>
      </c>
    </row>
    <row r="73" ht="140.25" customHeight="1">
      <c r="A73" s="70" t="s">
        <v>798</v>
      </c>
    </row>
    <row r="74" ht="90" customHeight="1">
      <c r="A74" s="528" t="s">
        <v>831</v>
      </c>
    </row>
    <row r="75" ht="63" customHeight="1">
      <c r="A75" s="70" t="s">
        <v>832</v>
      </c>
    </row>
    <row r="76" ht="128.25" customHeight="1">
      <c r="A76" s="70" t="s">
        <v>833</v>
      </c>
    </row>
    <row r="77" ht="39" customHeight="1">
      <c r="A77" s="70" t="s">
        <v>834</v>
      </c>
    </row>
    <row r="78" ht="81" customHeight="1">
      <c r="A78" s="70" t="s">
        <v>835</v>
      </c>
    </row>
    <row r="79" ht="129" customHeight="1">
      <c r="A79" s="384" t="s">
        <v>836</v>
      </c>
    </row>
    <row r="80" ht="130.5" customHeight="1">
      <c r="A80" s="385" t="s">
        <v>837</v>
      </c>
    </row>
    <row r="81" ht="70.5" customHeight="1">
      <c r="A81" s="386" t="s">
        <v>838</v>
      </c>
    </row>
    <row r="82" ht="12" customHeight="1"/>
    <row r="83" ht="54" customHeight="1">
      <c r="A83" s="70" t="s">
        <v>642</v>
      </c>
    </row>
    <row r="84" ht="38.25" customHeight="1">
      <c r="A84" s="421" t="s">
        <v>643</v>
      </c>
    </row>
    <row r="85" ht="27" customHeight="1">
      <c r="A85" s="528" t="s">
        <v>799</v>
      </c>
    </row>
    <row r="86" ht="94.5" customHeight="1">
      <c r="A86" s="528" t="s">
        <v>800</v>
      </c>
    </row>
    <row r="87" ht="122.25" customHeight="1">
      <c r="A87" s="528" t="s">
        <v>801</v>
      </c>
    </row>
    <row r="88" ht="68.25" customHeight="1">
      <c r="A88" s="422" t="s">
        <v>802</v>
      </c>
    </row>
    <row r="89" ht="60.75" customHeight="1">
      <c r="A89" s="423" t="s">
        <v>803</v>
      </c>
    </row>
    <row r="90" ht="12" customHeight="1"/>
    <row r="91" ht="127.5" customHeight="1">
      <c r="A91" s="70" t="s">
        <v>644</v>
      </c>
    </row>
    <row r="92" ht="117" customHeight="1">
      <c r="A92" s="70" t="s">
        <v>645</v>
      </c>
    </row>
    <row r="93" ht="56.25" customHeight="1">
      <c r="A93" s="70" t="s">
        <v>646</v>
      </c>
    </row>
    <row r="94" ht="26.25" customHeight="1">
      <c r="A94" s="70" t="s">
        <v>647</v>
      </c>
    </row>
    <row r="95" ht="14.25" customHeight="1">
      <c r="A95" s="70"/>
    </row>
    <row r="96" ht="68.25" customHeight="1">
      <c r="A96" s="70" t="s">
        <v>648</v>
      </c>
    </row>
    <row r="98" ht="63.75" customHeight="1">
      <c r="A98" s="528" t="s">
        <v>767</v>
      </c>
    </row>
    <row r="99" ht="94.5">
      <c r="A99" s="528" t="s">
        <v>768</v>
      </c>
    </row>
    <row r="100" ht="123.75" customHeight="1">
      <c r="A100" s="528" t="s">
        <v>769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2">
      <selection activeCell="M37" sqref="M37"/>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City of Lewis</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235</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204</v>
      </c>
      <c r="C5" s="241" t="s">
        <v>204</v>
      </c>
      <c r="D5" s="241" t="s">
        <v>219</v>
      </c>
      <c r="E5" s="241"/>
      <c r="F5" s="241" t="s">
        <v>674</v>
      </c>
      <c r="G5" s="81"/>
      <c r="H5" s="81"/>
      <c r="I5" s="263" t="s">
        <v>205</v>
      </c>
      <c r="J5" s="264"/>
      <c r="K5" s="263" t="s">
        <v>205</v>
      </c>
      <c r="L5" s="264"/>
    </row>
    <row r="6" spans="1:12" ht="15.75">
      <c r="A6" s="81"/>
      <c r="B6" s="265" t="s">
        <v>206</v>
      </c>
      <c r="C6" s="265" t="s">
        <v>334</v>
      </c>
      <c r="D6" s="265" t="s">
        <v>207</v>
      </c>
      <c r="E6" s="265" t="s">
        <v>164</v>
      </c>
      <c r="F6" s="265" t="s">
        <v>298</v>
      </c>
      <c r="G6" s="727" t="s">
        <v>208</v>
      </c>
      <c r="H6" s="728"/>
      <c r="I6" s="727">
        <f>inputPrYr!$C$5-1</f>
        <v>2011</v>
      </c>
      <c r="J6" s="730"/>
      <c r="K6" s="729">
        <f>inputPrYr!$C$5</f>
        <v>2012</v>
      </c>
      <c r="L6" s="730"/>
    </row>
    <row r="7" spans="1:12" ht="15.75">
      <c r="A7" s="267" t="s">
        <v>209</v>
      </c>
      <c r="B7" s="268" t="s">
        <v>210</v>
      </c>
      <c r="C7" s="268" t="s">
        <v>335</v>
      </c>
      <c r="D7" s="268" t="s">
        <v>183</v>
      </c>
      <c r="E7" s="268" t="s">
        <v>211</v>
      </c>
      <c r="F7" s="266" t="str">
        <f>CONCATENATE("Jan 1,",L1-1,"")</f>
        <v>Jan 1,2011</v>
      </c>
      <c r="G7" s="207" t="s">
        <v>219</v>
      </c>
      <c r="H7" s="207" t="s">
        <v>221</v>
      </c>
      <c r="I7" s="207" t="s">
        <v>219</v>
      </c>
      <c r="J7" s="207" t="s">
        <v>221</v>
      </c>
      <c r="K7" s="207" t="s">
        <v>219</v>
      </c>
      <c r="L7" s="207" t="s">
        <v>221</v>
      </c>
    </row>
    <row r="8" spans="1:12" ht="15.75">
      <c r="A8" s="267" t="s">
        <v>212</v>
      </c>
      <c r="B8" s="103"/>
      <c r="C8" s="103"/>
      <c r="D8" s="269"/>
      <c r="E8" s="209"/>
      <c r="F8" s="209"/>
      <c r="G8" s="103"/>
      <c r="H8" s="103"/>
      <c r="I8" s="209"/>
      <c r="J8" s="209"/>
      <c r="K8" s="209"/>
      <c r="L8" s="209"/>
    </row>
    <row r="9" spans="1:12" ht="15.75">
      <c r="A9" s="270"/>
      <c r="B9" s="294"/>
      <c r="C9" s="294"/>
      <c r="D9" s="271"/>
      <c r="E9" s="272"/>
      <c r="F9" s="273"/>
      <c r="G9" s="274"/>
      <c r="H9" s="274"/>
      <c r="I9" s="273"/>
      <c r="J9" s="273"/>
      <c r="K9" s="273"/>
      <c r="L9" s="273"/>
    </row>
    <row r="10" spans="1:12" ht="15.75">
      <c r="A10" s="270" t="s">
        <v>871</v>
      </c>
      <c r="B10" s="294">
        <v>40179</v>
      </c>
      <c r="C10" s="294"/>
      <c r="D10" s="271">
        <v>4.15</v>
      </c>
      <c r="E10" s="272">
        <v>500000</v>
      </c>
      <c r="F10" s="273">
        <v>500000</v>
      </c>
      <c r="G10" s="274" t="s">
        <v>872</v>
      </c>
      <c r="H10" s="274"/>
      <c r="I10" s="273">
        <v>25684</v>
      </c>
      <c r="J10" s="273">
        <v>0</v>
      </c>
      <c r="K10" s="273">
        <v>11007</v>
      </c>
      <c r="L10" s="273"/>
    </row>
    <row r="11" spans="1:12" ht="15.75">
      <c r="A11" s="270"/>
      <c r="B11" s="294"/>
      <c r="C11" s="294"/>
      <c r="D11" s="271"/>
      <c r="E11" s="272"/>
      <c r="F11" s="273"/>
      <c r="G11" s="274" t="s">
        <v>873</v>
      </c>
      <c r="H11" s="274" t="s">
        <v>873</v>
      </c>
      <c r="I11" s="273">
        <v>11007</v>
      </c>
      <c r="J11" s="273">
        <v>0</v>
      </c>
      <c r="K11" s="273">
        <v>11008</v>
      </c>
      <c r="L11" s="273">
        <v>15000</v>
      </c>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56" t="s">
        <v>213</v>
      </c>
      <c r="B15" s="275"/>
      <c r="C15" s="275"/>
      <c r="D15" s="276"/>
      <c r="E15" s="277"/>
      <c r="F15" s="278">
        <f>SUM(F9:F14)</f>
        <v>500000</v>
      </c>
      <c r="G15" s="279"/>
      <c r="H15" s="279"/>
      <c r="I15" s="278">
        <f>SUM(I9:I14)</f>
        <v>36691</v>
      </c>
      <c r="J15" s="278">
        <f>SUM(J9:J14)</f>
        <v>0</v>
      </c>
      <c r="K15" s="278">
        <f>SUM(K9:K14)</f>
        <v>22015</v>
      </c>
      <c r="L15" s="278">
        <f>SUM(L9:L14)</f>
        <v>15000</v>
      </c>
    </row>
    <row r="16" spans="1:12" ht="15.75">
      <c r="A16" s="207" t="s">
        <v>214</v>
      </c>
      <c r="B16" s="280"/>
      <c r="C16" s="280"/>
      <c r="D16" s="281"/>
      <c r="E16" s="243"/>
      <c r="F16" s="243"/>
      <c r="G16" s="282"/>
      <c r="H16" s="282"/>
      <c r="I16" s="243"/>
      <c r="J16" s="243"/>
      <c r="K16" s="243"/>
      <c r="L16" s="243"/>
    </row>
    <row r="17" spans="1:12" ht="15.75">
      <c r="A17" s="270"/>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70"/>
      <c r="B19" s="294"/>
      <c r="C19" s="294"/>
      <c r="D19" s="271"/>
      <c r="E19" s="272"/>
      <c r="F19" s="273"/>
      <c r="G19" s="274"/>
      <c r="H19" s="274"/>
      <c r="I19" s="273"/>
      <c r="J19" s="273"/>
      <c r="K19" s="273"/>
      <c r="L19" s="273"/>
    </row>
    <row r="20" spans="1:12" ht="15.75">
      <c r="A20" s="270"/>
      <c r="B20" s="294"/>
      <c r="C20" s="294"/>
      <c r="D20" s="271"/>
      <c r="E20" s="272"/>
      <c r="F20" s="273"/>
      <c r="G20" s="274"/>
      <c r="H20" s="274"/>
      <c r="I20" s="273"/>
      <c r="J20" s="273"/>
      <c r="K20" s="273"/>
      <c r="L20" s="273"/>
    </row>
    <row r="21" spans="1:12" ht="15.75">
      <c r="A21" s="270"/>
      <c r="B21" s="294"/>
      <c r="C21" s="294"/>
      <c r="D21" s="271"/>
      <c r="E21" s="272"/>
      <c r="F21" s="273"/>
      <c r="G21" s="274"/>
      <c r="H21" s="274"/>
      <c r="I21" s="273"/>
      <c r="J21" s="273"/>
      <c r="K21" s="273"/>
      <c r="L21" s="273"/>
    </row>
    <row r="22" spans="1:12" ht="15.75">
      <c r="A22" s="256" t="s">
        <v>215</v>
      </c>
      <c r="B22" s="275"/>
      <c r="C22" s="275"/>
      <c r="D22" s="283"/>
      <c r="E22" s="277"/>
      <c r="F22" s="284">
        <f>SUM(F17:F21)</f>
        <v>0</v>
      </c>
      <c r="G22" s="279"/>
      <c r="H22" s="279"/>
      <c r="I22" s="284">
        <f>SUM(I17:I21)</f>
        <v>0</v>
      </c>
      <c r="J22" s="284">
        <f>SUM(J17:J21)</f>
        <v>0</v>
      </c>
      <c r="K22" s="278">
        <f>SUM(K17:K21)</f>
        <v>0</v>
      </c>
      <c r="L22" s="284">
        <f>SUM(L17:L21)</f>
        <v>0</v>
      </c>
    </row>
    <row r="23" spans="1:12" ht="15.75">
      <c r="A23" s="207" t="s">
        <v>216</v>
      </c>
      <c r="B23" s="280"/>
      <c r="C23" s="280"/>
      <c r="D23" s="281"/>
      <c r="E23" s="243"/>
      <c r="F23" s="285"/>
      <c r="G23" s="282"/>
      <c r="H23" s="282"/>
      <c r="I23" s="243"/>
      <c r="J23" s="243"/>
      <c r="K23" s="243"/>
      <c r="L23" s="243"/>
    </row>
    <row r="24" spans="1:12" ht="15.75">
      <c r="A24" s="270"/>
      <c r="B24" s="294"/>
      <c r="C24" s="294"/>
      <c r="D24" s="271"/>
      <c r="E24" s="272"/>
      <c r="F24" s="273"/>
      <c r="G24" s="274"/>
      <c r="H24" s="274"/>
      <c r="I24" s="273"/>
      <c r="J24" s="273"/>
      <c r="K24" s="273"/>
      <c r="L24" s="273"/>
    </row>
    <row r="25" spans="1:12" ht="15.75">
      <c r="A25" s="270"/>
      <c r="B25" s="432"/>
      <c r="C25" s="294"/>
      <c r="D25" s="271"/>
      <c r="E25" s="272"/>
      <c r="F25" s="273"/>
      <c r="G25" s="274"/>
      <c r="H25" s="274"/>
      <c r="I25" s="273"/>
      <c r="J25" s="273"/>
      <c r="K25" s="273"/>
      <c r="L25" s="273"/>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28" ht="15.7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75">
      <c r="A30" s="256" t="s">
        <v>305</v>
      </c>
      <c r="B30" s="256"/>
      <c r="C30" s="256"/>
      <c r="D30" s="283"/>
      <c r="E30" s="277"/>
      <c r="F30" s="284">
        <f>SUM(F24:F29)</f>
        <v>0</v>
      </c>
      <c r="G30" s="277"/>
      <c r="H30" s="277"/>
      <c r="I30" s="284">
        <f>SUM(I24:I29)</f>
        <v>0</v>
      </c>
      <c r="J30" s="284">
        <f>SUM(J24:J29)</f>
        <v>0</v>
      </c>
      <c r="K30" s="284">
        <f>SUM(K24:K29)</f>
        <v>0</v>
      </c>
      <c r="L30" s="284">
        <f>SUM(L24:L29)</f>
        <v>0</v>
      </c>
    </row>
    <row r="31" spans="1:12" ht="15.75">
      <c r="A31" s="256" t="s">
        <v>217</v>
      </c>
      <c r="B31" s="256"/>
      <c r="C31" s="256"/>
      <c r="D31" s="256"/>
      <c r="E31" s="277"/>
      <c r="F31" s="284">
        <f>SUM(F15+F22+F30)</f>
        <v>500000</v>
      </c>
      <c r="G31" s="277"/>
      <c r="H31" s="277"/>
      <c r="I31" s="284">
        <f>SUM(I15+I22+I30)</f>
        <v>36691</v>
      </c>
      <c r="J31" s="284">
        <f>SUM(J15+J22+J30)</f>
        <v>0</v>
      </c>
      <c r="K31" s="284">
        <f>SUM(K15+K22+K30)</f>
        <v>22015</v>
      </c>
      <c r="L31" s="284">
        <f>SUM(L15+L22+L30)</f>
        <v>15000</v>
      </c>
    </row>
    <row r="32" spans="2:12" ht="15.75">
      <c r="B32" s="67"/>
      <c r="C32" s="67"/>
      <c r="D32" s="67"/>
      <c r="E32" s="67"/>
      <c r="F32" s="67"/>
      <c r="G32" s="67"/>
      <c r="H32" s="67"/>
      <c r="I32" s="67"/>
      <c r="J32" s="67"/>
      <c r="K32" s="67"/>
      <c r="L32" s="67"/>
    </row>
    <row r="33" spans="5:12" ht="15.75">
      <c r="E33" s="286"/>
      <c r="F33" s="286"/>
      <c r="I33" s="286"/>
      <c r="J33" s="286"/>
      <c r="K33" s="286"/>
      <c r="L33" s="286"/>
    </row>
    <row r="34" spans="1:13" ht="15.75">
      <c r="A34" s="67"/>
      <c r="E34" s="67"/>
      <c r="G34" s="287"/>
      <c r="M34" s="67"/>
    </row>
    <row r="35" spans="1:12" ht="15.75">
      <c r="A35" s="67"/>
      <c r="B35" s="67"/>
      <c r="C35" s="67"/>
      <c r="D35" s="67"/>
      <c r="E35" s="67"/>
      <c r="F35" s="67"/>
      <c r="G35" s="67"/>
      <c r="H35" s="67"/>
      <c r="I35" s="67"/>
      <c r="J35" s="67"/>
      <c r="K35" s="67"/>
      <c r="L35" s="67"/>
    </row>
    <row r="36" spans="2:12" ht="15.7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10" sqref="A10"/>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City of Lewis</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271</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142</v>
      </c>
      <c r="F5" s="213"/>
      <c r="G5" s="213"/>
      <c r="H5" s="213"/>
      <c r="I5" s="291"/>
      <c r="J5" s="184"/>
    </row>
    <row r="6" spans="1:8" ht="15.75">
      <c r="A6" s="81"/>
      <c r="B6" s="265"/>
      <c r="C6" s="265" t="s">
        <v>218</v>
      </c>
      <c r="D6" s="265" t="s">
        <v>219</v>
      </c>
      <c r="E6" s="265" t="s">
        <v>164</v>
      </c>
      <c r="F6" s="265" t="s">
        <v>326</v>
      </c>
      <c r="G6" s="265" t="s">
        <v>222</v>
      </c>
      <c r="H6" s="265" t="s">
        <v>222</v>
      </c>
    </row>
    <row r="7" spans="1:8" ht="15.75">
      <c r="A7" s="81"/>
      <c r="B7" s="265" t="s">
        <v>223</v>
      </c>
      <c r="C7" s="265" t="s">
        <v>224</v>
      </c>
      <c r="D7" s="265" t="s">
        <v>207</v>
      </c>
      <c r="E7" s="265" t="s">
        <v>225</v>
      </c>
      <c r="F7" s="265" t="s">
        <v>327</v>
      </c>
      <c r="G7" s="265" t="s">
        <v>226</v>
      </c>
      <c r="H7" s="265" t="s">
        <v>226</v>
      </c>
    </row>
    <row r="8" spans="1:8" ht="15.75">
      <c r="A8" s="292" t="s">
        <v>227</v>
      </c>
      <c r="B8" s="268" t="s">
        <v>204</v>
      </c>
      <c r="C8" s="293" t="s">
        <v>228</v>
      </c>
      <c r="D8" s="268" t="s">
        <v>183</v>
      </c>
      <c r="E8" s="293" t="s">
        <v>299</v>
      </c>
      <c r="F8" s="268">
        <f>inputPrYr!C5-1</f>
        <v>2011</v>
      </c>
      <c r="G8" s="268">
        <f>inputPrYr!C5-1</f>
        <v>2011</v>
      </c>
      <c r="H8" s="251">
        <f>inputPrYr!$C$5</f>
        <v>2012</v>
      </c>
    </row>
    <row r="9" spans="1:8" ht="15.75">
      <c r="A9" s="270"/>
      <c r="B9" s="294"/>
      <c r="C9" s="294"/>
      <c r="D9" s="271"/>
      <c r="E9" s="272"/>
      <c r="F9" s="272"/>
      <c r="G9" s="272"/>
      <c r="H9" s="272"/>
    </row>
    <row r="10" spans="1:8" ht="15.75">
      <c r="A10" s="270" t="s">
        <v>874</v>
      </c>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6.5" thickBot="1">
      <c r="A20" s="224" t="s">
        <v>171</v>
      </c>
      <c r="B20" s="224"/>
      <c r="C20" s="224"/>
      <c r="D20" s="224"/>
      <c r="E20" s="295"/>
      <c r="F20" s="296">
        <f>SUM(F9:F19)</f>
        <v>0</v>
      </c>
      <c r="G20" s="296">
        <f>SUM(G9:G19)</f>
        <v>0</v>
      </c>
      <c r="H20" s="297">
        <f>SUM(H9:H19)</f>
        <v>0</v>
      </c>
    </row>
    <row r="21" spans="1:10" ht="16.5" thickTop="1">
      <c r="A21" s="81"/>
      <c r="B21" s="81"/>
      <c r="C21" s="81"/>
      <c r="D21" s="81"/>
      <c r="E21" s="81"/>
      <c r="F21" s="81"/>
      <c r="G21" s="81"/>
      <c r="H21" s="81"/>
      <c r="I21" s="286"/>
      <c r="J21" s="286"/>
    </row>
    <row r="22" spans="1:10" ht="15.75">
      <c r="A22" s="298" t="s">
        <v>82</v>
      </c>
      <c r="B22" s="299"/>
      <c r="C22" s="299"/>
      <c r="D22" s="299"/>
      <c r="E22" s="299"/>
      <c r="F22" s="299"/>
      <c r="G22" s="81"/>
      <c r="H22" s="81"/>
      <c r="I22" s="286"/>
      <c r="J22" s="286"/>
    </row>
    <row r="31" ht="15.75">
      <c r="C31" s="287"/>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32">
      <selection activeCell="E46" sqref="E46"/>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City of Lewis</v>
      </c>
      <c r="C1" s="81"/>
      <c r="D1" s="81"/>
      <c r="E1" s="181">
        <f>inputPrYr!$C$5</f>
        <v>2012</v>
      </c>
    </row>
    <row r="2" spans="2:5" ht="15.75">
      <c r="B2" s="81"/>
      <c r="C2" s="81"/>
      <c r="D2" s="81"/>
      <c r="E2" s="240"/>
    </row>
    <row r="3" spans="2:5" ht="15.75">
      <c r="B3" s="98"/>
      <c r="C3" s="245"/>
      <c r="D3" s="245"/>
      <c r="E3" s="183"/>
    </row>
    <row r="4" spans="2:5" ht="15.75">
      <c r="B4" s="98" t="s">
        <v>233</v>
      </c>
      <c r="C4" s="300"/>
      <c r="D4" s="300"/>
      <c r="E4" s="300"/>
    </row>
    <row r="5" spans="2:5" ht="15.75">
      <c r="B5" s="86" t="s">
        <v>172</v>
      </c>
      <c r="C5" s="649" t="s">
        <v>190</v>
      </c>
      <c r="D5" s="650" t="s">
        <v>323</v>
      </c>
      <c r="E5" s="651" t="s">
        <v>324</v>
      </c>
    </row>
    <row r="6" spans="2:5" ht="15.75">
      <c r="B6" s="487" t="str">
        <f>+(inputPrYr!B17)</f>
        <v>General</v>
      </c>
      <c r="C6" s="443">
        <f>inputPrYr!$C$5-2</f>
        <v>2010</v>
      </c>
      <c r="D6" s="443">
        <f>inputPrYr!$C$5-1</f>
        <v>2011</v>
      </c>
      <c r="E6" s="251">
        <f>inputPrYr!$C$5</f>
        <v>2012</v>
      </c>
    </row>
    <row r="7" spans="2:5" ht="15.75">
      <c r="B7" s="198" t="s">
        <v>291</v>
      </c>
      <c r="C7" s="454">
        <v>47313</v>
      </c>
      <c r="D7" s="472">
        <f>C62</f>
        <v>41572</v>
      </c>
      <c r="E7" s="301">
        <f>D62</f>
        <v>22031</v>
      </c>
    </row>
    <row r="8" spans="2:5" ht="15.75">
      <c r="B8" s="302" t="s">
        <v>293</v>
      </c>
      <c r="C8" s="455"/>
      <c r="D8" s="472"/>
      <c r="E8" s="303"/>
    </row>
    <row r="9" spans="2:5" ht="15.75">
      <c r="B9" s="198" t="s">
        <v>173</v>
      </c>
      <c r="C9" s="454">
        <v>112372</v>
      </c>
      <c r="D9" s="472">
        <f>inputPrYr!E17</f>
        <v>52525</v>
      </c>
      <c r="E9" s="304" t="s">
        <v>160</v>
      </c>
    </row>
    <row r="10" spans="2:5" ht="15.75">
      <c r="B10" s="198" t="s">
        <v>174</v>
      </c>
      <c r="C10" s="454"/>
      <c r="D10" s="456">
        <v>500</v>
      </c>
      <c r="E10" s="305"/>
    </row>
    <row r="11" spans="2:5" ht="15.75">
      <c r="B11" s="198" t="s">
        <v>175</v>
      </c>
      <c r="C11" s="454"/>
      <c r="D11" s="456">
        <v>21068</v>
      </c>
      <c r="E11" s="306">
        <f>Mvalloc!C8</f>
        <v>13622</v>
      </c>
    </row>
    <row r="12" spans="2:5" ht="15.75">
      <c r="B12" s="198" t="s">
        <v>176</v>
      </c>
      <c r="C12" s="454"/>
      <c r="D12" s="456">
        <v>273</v>
      </c>
      <c r="E12" s="306">
        <f>Mvalloc!D8</f>
        <v>181</v>
      </c>
    </row>
    <row r="13" spans="2:5" ht="15.75">
      <c r="B13" s="307" t="s">
        <v>229</v>
      </c>
      <c r="C13" s="454"/>
      <c r="D13" s="456">
        <v>685</v>
      </c>
      <c r="E13" s="306">
        <f>Mvalloc!E8</f>
        <v>186</v>
      </c>
    </row>
    <row r="14" spans="2:5" ht="15.75">
      <c r="B14" s="307" t="s">
        <v>272</v>
      </c>
      <c r="C14" s="454"/>
      <c r="D14" s="456"/>
      <c r="E14" s="306">
        <f>inputOth!E16</f>
        <v>0</v>
      </c>
    </row>
    <row r="15" spans="2:5" ht="15.75">
      <c r="B15" s="307" t="s">
        <v>127</v>
      </c>
      <c r="C15" s="454"/>
      <c r="D15" s="456"/>
      <c r="E15" s="306">
        <f>inputOth!E36</f>
        <v>0</v>
      </c>
    </row>
    <row r="16" spans="2:5" ht="15.75">
      <c r="B16" s="307" t="s">
        <v>130</v>
      </c>
      <c r="C16" s="454"/>
      <c r="D16" s="456"/>
      <c r="E16" s="306">
        <f>inputOth!E37</f>
        <v>0</v>
      </c>
    </row>
    <row r="17" spans="2:5" ht="15.75">
      <c r="B17" s="307" t="s">
        <v>128</v>
      </c>
      <c r="C17" s="454"/>
      <c r="D17" s="456"/>
      <c r="E17" s="306">
        <f>Mvalloc!F8</f>
        <v>0</v>
      </c>
    </row>
    <row r="18" spans="2:5" ht="15.75">
      <c r="B18" s="308" t="s">
        <v>895</v>
      </c>
      <c r="C18" s="454">
        <v>14648</v>
      </c>
      <c r="D18" s="456">
        <v>15000</v>
      </c>
      <c r="E18" s="305">
        <v>15000</v>
      </c>
    </row>
    <row r="19" spans="2:5" ht="15.75">
      <c r="B19" s="473" t="s">
        <v>677</v>
      </c>
      <c r="C19" s="454">
        <v>2266</v>
      </c>
      <c r="D19" s="456">
        <v>2300</v>
      </c>
      <c r="E19" s="305">
        <v>2300</v>
      </c>
    </row>
    <row r="20" spans="2:5" ht="15.75">
      <c r="B20" s="308" t="s">
        <v>266</v>
      </c>
      <c r="C20" s="454">
        <v>18491</v>
      </c>
      <c r="D20" s="456">
        <v>18350</v>
      </c>
      <c r="E20" s="309">
        <v>18350</v>
      </c>
    </row>
    <row r="21" spans="2:5" ht="15.75">
      <c r="B21" s="308" t="s">
        <v>267</v>
      </c>
      <c r="C21" s="454">
        <v>34400</v>
      </c>
      <c r="D21" s="456">
        <v>34100</v>
      </c>
      <c r="E21" s="305">
        <v>34100</v>
      </c>
    </row>
    <row r="22" spans="2:5" ht="15.75">
      <c r="B22" s="308" t="s">
        <v>268</v>
      </c>
      <c r="C22" s="454">
        <v>359</v>
      </c>
      <c r="D22" s="456">
        <v>360</v>
      </c>
      <c r="E22" s="305">
        <v>360</v>
      </c>
    </row>
    <row r="23" spans="2:5" ht="15.75">
      <c r="B23" s="308" t="s">
        <v>896</v>
      </c>
      <c r="C23" s="454">
        <v>1908</v>
      </c>
      <c r="D23" s="456">
        <v>1000</v>
      </c>
      <c r="E23" s="305">
        <v>1000</v>
      </c>
    </row>
    <row r="24" spans="2:5" ht="15.75">
      <c r="B24" s="55" t="s">
        <v>881</v>
      </c>
      <c r="C24" s="454">
        <v>5676</v>
      </c>
      <c r="D24" s="456">
        <v>4500</v>
      </c>
      <c r="E24" s="305">
        <v>4500</v>
      </c>
    </row>
    <row r="25" spans="2:5" ht="15.75">
      <c r="B25" s="308" t="s">
        <v>897</v>
      </c>
      <c r="C25" s="454">
        <v>225</v>
      </c>
      <c r="D25" s="456">
        <v>225</v>
      </c>
      <c r="E25" s="305">
        <v>225</v>
      </c>
    </row>
    <row r="26" spans="2:5" ht="15.75">
      <c r="B26" s="308" t="s">
        <v>898</v>
      </c>
      <c r="C26" s="452">
        <v>259</v>
      </c>
      <c r="D26" s="456"/>
      <c r="E26" s="305"/>
    </row>
    <row r="27" spans="2:5" ht="15.75">
      <c r="B27" s="308" t="s">
        <v>899</v>
      </c>
      <c r="C27" s="452">
        <v>-367</v>
      </c>
      <c r="D27" s="456">
        <v>-367</v>
      </c>
      <c r="E27" s="305"/>
    </row>
    <row r="28" spans="2:5" ht="15.75">
      <c r="B28" s="308" t="s">
        <v>900</v>
      </c>
      <c r="C28" s="454">
        <v>1315</v>
      </c>
      <c r="D28" s="456">
        <v>1400</v>
      </c>
      <c r="E28" s="305">
        <v>1400</v>
      </c>
    </row>
    <row r="29" spans="2:5" ht="15.75">
      <c r="B29" s="308" t="s">
        <v>939</v>
      </c>
      <c r="C29" s="454">
        <v>1690</v>
      </c>
      <c r="D29" s="456">
        <v>600</v>
      </c>
      <c r="E29" s="305">
        <v>600</v>
      </c>
    </row>
    <row r="30" spans="2:5" ht="15.75">
      <c r="B30" s="310" t="s">
        <v>177</v>
      </c>
      <c r="C30" s="454">
        <v>1719</v>
      </c>
      <c r="D30" s="456">
        <v>1650</v>
      </c>
      <c r="E30" s="305">
        <v>1650</v>
      </c>
    </row>
    <row r="31" spans="2:5" ht="15.75">
      <c r="B31" s="211" t="s">
        <v>269</v>
      </c>
      <c r="C31" s="452">
        <f>870+84+214</f>
        <v>1168</v>
      </c>
      <c r="D31" s="456">
        <v>900</v>
      </c>
      <c r="E31" s="311">
        <v>900</v>
      </c>
    </row>
    <row r="32" spans="2:5" ht="15.75">
      <c r="B32" s="211" t="s">
        <v>676</v>
      </c>
      <c r="C32" s="441">
        <f>IF(C33*0.1&lt;C31,"Exceed 10% Rule","")</f>
      </c>
      <c r="D32" s="457">
        <f>IF(D33*0.1&lt;D31,"Exceed 10% Rule","")</f>
      </c>
      <c r="E32" s="312">
        <f>IF(E33*0.1+E68&lt;E31,"Exceed 10% Rule","")</f>
      </c>
    </row>
    <row r="33" spans="2:5" ht="15.75">
      <c r="B33" s="313" t="s">
        <v>178</v>
      </c>
      <c r="C33" s="451">
        <f>SUM(C9:C31)</f>
        <v>196129</v>
      </c>
      <c r="D33" s="458">
        <f>SUM(D9:D31)</f>
        <v>155069</v>
      </c>
      <c r="E33" s="314">
        <f>SUM(E9:E31)</f>
        <v>94374</v>
      </c>
    </row>
    <row r="34" spans="2:5" ht="15.75">
      <c r="B34" s="313" t="s">
        <v>179</v>
      </c>
      <c r="C34" s="451">
        <f>C7+C33</f>
        <v>243442</v>
      </c>
      <c r="D34" s="458">
        <f>D7+D33</f>
        <v>196641</v>
      </c>
      <c r="E34" s="315">
        <f>E7+E33</f>
        <v>116405</v>
      </c>
    </row>
    <row r="35" spans="2:5" ht="15.75">
      <c r="B35" s="302" t="s">
        <v>180</v>
      </c>
      <c r="C35" s="453"/>
      <c r="D35" s="459"/>
      <c r="E35" s="306"/>
    </row>
    <row r="36" spans="2:5" ht="15.75">
      <c r="B36" s="316"/>
      <c r="C36" s="452"/>
      <c r="D36" s="456"/>
      <c r="E36" s="470"/>
    </row>
    <row r="37" spans="2:5" ht="15.75">
      <c r="B37" s="316" t="str">
        <f>'general-detail'!A7</f>
        <v>General</v>
      </c>
      <c r="C37" s="452">
        <f>'general-detail'!B15</f>
        <v>72123</v>
      </c>
      <c r="D37" s="689">
        <f>'general-detail'!C15</f>
        <v>97870</v>
      </c>
      <c r="E37" s="697">
        <f>'general-detail'!D15</f>
        <v>76835</v>
      </c>
    </row>
    <row r="38" spans="2:5" ht="15.75">
      <c r="B38" s="316" t="str">
        <f>'general-detail'!A16</f>
        <v>Fire</v>
      </c>
      <c r="C38" s="452">
        <f>'general-detail'!B22</f>
        <v>25995</v>
      </c>
      <c r="D38" s="452">
        <f>'general-detail'!C22</f>
        <v>26905</v>
      </c>
      <c r="E38" s="452">
        <f>'general-detail'!D22</f>
        <v>27835</v>
      </c>
    </row>
    <row r="39" spans="2:5" ht="15.75">
      <c r="B39" s="692" t="str">
        <f>'general-detail'!A23</f>
        <v>Police</v>
      </c>
      <c r="C39" s="452">
        <f>'general-detail'!B29</f>
        <v>14177</v>
      </c>
      <c r="D39" s="452">
        <f>'general-detail'!C29</f>
        <v>14370</v>
      </c>
      <c r="E39" s="452">
        <f>'general-detail'!D29</f>
        <v>15195</v>
      </c>
    </row>
    <row r="40" spans="2:5" ht="15.75">
      <c r="B40" s="692" t="str">
        <f>'general-detail'!A30</f>
        <v>Street</v>
      </c>
      <c r="C40" s="452">
        <f>'general-detail'!B35</f>
        <v>901</v>
      </c>
      <c r="D40" s="452">
        <f>'general-detail'!C35</f>
        <v>25990</v>
      </c>
      <c r="E40" s="452">
        <f>'general-detail'!D35</f>
        <v>35200</v>
      </c>
    </row>
    <row r="41" spans="2:5" ht="15.75">
      <c r="B41" s="692" t="str">
        <f>'general-detail'!A36</f>
        <v>Park</v>
      </c>
      <c r="C41" s="452">
        <f>'general-detail'!B42</f>
        <v>1260</v>
      </c>
      <c r="D41" s="452">
        <f>'general-detail'!C42</f>
        <v>1425</v>
      </c>
      <c r="E41" s="452">
        <f>'general-detail'!D42</f>
        <v>16750</v>
      </c>
    </row>
    <row r="42" spans="2:5" ht="15.75">
      <c r="B42" s="804" t="str">
        <f>'general-detail'!A43</f>
        <v>Employee Benefits</v>
      </c>
      <c r="C42" s="452">
        <f>'general-detail'!B51</f>
        <v>0</v>
      </c>
      <c r="D42" s="689">
        <f>'general-detail'!C51</f>
        <v>0</v>
      </c>
      <c r="E42" s="697">
        <f>'general-detail'!D51</f>
        <v>0</v>
      </c>
    </row>
    <row r="43" spans="2:5" ht="15.75">
      <c r="B43" s="692" t="s">
        <v>879</v>
      </c>
      <c r="C43" s="452">
        <v>5926</v>
      </c>
      <c r="D43" s="689">
        <v>6250</v>
      </c>
      <c r="E43" s="697">
        <v>6500</v>
      </c>
    </row>
    <row r="44" spans="2:5" ht="15.75">
      <c r="B44" s="692" t="s">
        <v>880</v>
      </c>
      <c r="C44" s="452">
        <v>1120</v>
      </c>
      <c r="D44" s="689">
        <v>1300</v>
      </c>
      <c r="E44" s="697">
        <v>1800</v>
      </c>
    </row>
    <row r="45" spans="2:5" ht="15.75">
      <c r="B45" s="692" t="s">
        <v>939</v>
      </c>
      <c r="C45" s="452">
        <v>368</v>
      </c>
      <c r="D45" s="689">
        <v>500</v>
      </c>
      <c r="E45" s="697">
        <f>1500-294</f>
        <v>1206</v>
      </c>
    </row>
    <row r="46" spans="2:5" ht="15.75">
      <c r="B46" s="692" t="s">
        <v>886</v>
      </c>
      <c r="C46" s="452">
        <v>20000</v>
      </c>
      <c r="D46" s="689"/>
      <c r="E46" s="697"/>
    </row>
    <row r="47" spans="2:5" ht="15.75">
      <c r="B47" s="692" t="s">
        <v>887</v>
      </c>
      <c r="C47" s="452">
        <v>40000</v>
      </c>
      <c r="D47" s="689"/>
      <c r="E47" s="697"/>
    </row>
    <row r="48" spans="2:10" ht="15.75">
      <c r="B48" s="692" t="s">
        <v>885</v>
      </c>
      <c r="C48" s="452">
        <v>20000</v>
      </c>
      <c r="D48" s="689"/>
      <c r="E48" s="697"/>
      <c r="G48" s="742"/>
      <c r="H48" s="742"/>
      <c r="I48" s="742"/>
      <c r="J48" s="743"/>
    </row>
    <row r="49" spans="2:10" ht="15.75">
      <c r="B49" s="696"/>
      <c r="C49" s="452"/>
      <c r="D49" s="456"/>
      <c r="E49" s="305"/>
      <c r="G49" s="450"/>
      <c r="H49" s="450"/>
      <c r="I49" s="450"/>
      <c r="J49" s="450"/>
    </row>
    <row r="50" spans="2:10" ht="15.75">
      <c r="B50" s="696"/>
      <c r="C50" s="452"/>
      <c r="D50" s="456"/>
      <c r="E50" s="305"/>
      <c r="G50" s="447"/>
      <c r="H50" s="449"/>
      <c r="I50" s="450"/>
      <c r="J50" s="450"/>
    </row>
    <row r="51" spans="2:10" ht="15.75">
      <c r="B51" s="696"/>
      <c r="C51" s="452"/>
      <c r="D51" s="456"/>
      <c r="E51" s="305"/>
      <c r="G51" s="447"/>
      <c r="H51" s="450"/>
      <c r="I51" s="450"/>
      <c r="J51" s="450"/>
    </row>
    <row r="52" spans="2:10" ht="15.75">
      <c r="B52" s="696"/>
      <c r="C52" s="452"/>
      <c r="D52" s="456"/>
      <c r="E52" s="305"/>
      <c r="G52" s="447"/>
      <c r="H52" s="450"/>
      <c r="I52" s="450"/>
      <c r="J52" s="450"/>
    </row>
    <row r="53" spans="2:10" ht="15.75">
      <c r="B53" s="316"/>
      <c r="C53" s="452"/>
      <c r="D53" s="456"/>
      <c r="E53" s="305"/>
      <c r="G53" s="447"/>
      <c r="H53" s="450"/>
      <c r="I53" s="450"/>
      <c r="J53" s="450"/>
    </row>
    <row r="54" spans="2:10" ht="15.75">
      <c r="B54" s="316"/>
      <c r="C54" s="452"/>
      <c r="D54" s="456"/>
      <c r="E54" s="305"/>
      <c r="G54" s="450"/>
      <c r="H54" s="450"/>
      <c r="I54" s="450"/>
      <c r="J54" s="450"/>
    </row>
    <row r="55" spans="2:10" ht="15.75">
      <c r="B55" s="316"/>
      <c r="C55" s="452"/>
      <c r="D55" s="456"/>
      <c r="E55" s="305"/>
      <c r="G55" s="446"/>
      <c r="H55" s="450"/>
      <c r="I55" s="450"/>
      <c r="J55" s="450"/>
    </row>
    <row r="56" spans="2:10" ht="15.75">
      <c r="B56" s="316"/>
      <c r="C56" s="452"/>
      <c r="D56" s="456"/>
      <c r="E56" s="305"/>
      <c r="G56" s="447"/>
      <c r="H56" s="450"/>
      <c r="I56" s="450"/>
      <c r="J56" s="450"/>
    </row>
    <row r="57" spans="2:5" ht="15.75">
      <c r="B57" s="316"/>
      <c r="C57" s="452"/>
      <c r="D57" s="456"/>
      <c r="E57" s="305"/>
    </row>
    <row r="58" spans="2:5" ht="15.75">
      <c r="B58" s="211" t="s">
        <v>58</v>
      </c>
      <c r="C58" s="452"/>
      <c r="D58" s="456"/>
      <c r="E58" s="306">
        <f>Nhood!E7</f>
        <v>294</v>
      </c>
    </row>
    <row r="59" spans="2:5" ht="15.75">
      <c r="B59" s="211" t="s">
        <v>269</v>
      </c>
      <c r="C59" s="452"/>
      <c r="D59" s="456"/>
      <c r="E59" s="305">
        <v>39</v>
      </c>
    </row>
    <row r="60" spans="2:10" ht="15.75">
      <c r="B60" s="211" t="s">
        <v>675</v>
      </c>
      <c r="C60" s="441">
        <f>IF(C61*0.1&lt;C59,"Exceed 10% Rule","")</f>
      </c>
      <c r="D60" s="457">
        <f>IF(D61*0.1&lt;D59,"Exceed 10% Rule","")</f>
      </c>
      <c r="E60" s="312">
        <f>IF(E61*0.1&lt;E59,"Exceed 10% Rule","")</f>
      </c>
      <c r="G60" s="733" t="str">
        <f>CONCATENATE("Projected Carryover Into ",E1+1,"")</f>
        <v>Projected Carryover Into 2013</v>
      </c>
      <c r="H60" s="744"/>
      <c r="I60" s="744"/>
      <c r="J60" s="735"/>
    </row>
    <row r="61" spans="2:10" ht="15.75">
      <c r="B61" s="313" t="s">
        <v>181</v>
      </c>
      <c r="C61" s="451">
        <f>SUM(C36:C59)</f>
        <v>201870</v>
      </c>
      <c r="D61" s="458">
        <f>SUM(D36:D59)</f>
        <v>174610</v>
      </c>
      <c r="E61" s="314">
        <f>SUM(E36:E59)</f>
        <v>181654</v>
      </c>
      <c r="G61" s="511"/>
      <c r="H61" s="499"/>
      <c r="I61" s="499"/>
      <c r="J61" s="512"/>
    </row>
    <row r="62" spans="2:10" ht="15.75">
      <c r="B62" s="198" t="s">
        <v>292</v>
      </c>
      <c r="C62" s="440">
        <f>C34-C61</f>
        <v>41572</v>
      </c>
      <c r="D62" s="257">
        <f>D34-D61</f>
        <v>22031</v>
      </c>
      <c r="E62" s="304" t="s">
        <v>160</v>
      </c>
      <c r="G62" s="513">
        <f>D62</f>
        <v>22031</v>
      </c>
      <c r="H62" s="514" t="str">
        <f>CONCATENATE("",E1-1," Ending Cash Balance (est.)")</f>
        <v>2011 Ending Cash Balance (est.)</v>
      </c>
      <c r="I62" s="515"/>
      <c r="J62" s="512"/>
    </row>
    <row r="63" spans="2:10" ht="15.75">
      <c r="B63" s="232" t="str">
        <f>CONCATENATE("",E1-2,"/",E1-1," Budget Authority Amount:")</f>
        <v>2010/2011 Budget Authority Amount:</v>
      </c>
      <c r="C63" s="243">
        <f>inputOth!B56</f>
        <v>241140</v>
      </c>
      <c r="D63" s="243">
        <f>inputPrYr!D17</f>
        <v>226100</v>
      </c>
      <c r="E63" s="304" t="s">
        <v>160</v>
      </c>
      <c r="F63" s="318"/>
      <c r="G63" s="513">
        <f>E33</f>
        <v>94374</v>
      </c>
      <c r="H63" s="516" t="str">
        <f>CONCATENATE("",E1," Non-AV Receipts (est.)")</f>
        <v>2012 Non-AV Receipts (est.)</v>
      </c>
      <c r="I63" s="515"/>
      <c r="J63" s="512"/>
    </row>
    <row r="64" spans="2:10" ht="15.75">
      <c r="B64" s="232"/>
      <c r="C64" s="738" t="s">
        <v>678</v>
      </c>
      <c r="D64" s="739"/>
      <c r="E64" s="104"/>
      <c r="F64" s="505">
        <f>IF(E61/0.95-E61&lt;E64,"Exceeds 5%","")</f>
      </c>
      <c r="G64" s="517">
        <f>E68</f>
        <v>65249</v>
      </c>
      <c r="H64" s="516" t="str">
        <f>CONCATENATE("",E1," Ad Valorem Tax (est.)")</f>
        <v>2012 Ad Valorem Tax (est.)</v>
      </c>
      <c r="I64" s="515"/>
      <c r="J64" s="512"/>
    </row>
    <row r="65" spans="2:10" ht="15.75">
      <c r="B65" s="460" t="str">
        <f>CONCATENATE(C77,"     ",D77)</f>
        <v>     </v>
      </c>
      <c r="C65" s="740" t="s">
        <v>679</v>
      </c>
      <c r="D65" s="741"/>
      <c r="E65" s="209">
        <f>E61+E64</f>
        <v>181654</v>
      </c>
      <c r="G65" s="513">
        <f>SUM(G62:G64)</f>
        <v>181654</v>
      </c>
      <c r="H65" s="516" t="str">
        <f>CONCATENATE("Total ",E1," Resources Available")</f>
        <v>Total 2012 Resources Available</v>
      </c>
      <c r="I65" s="515"/>
      <c r="J65" s="512"/>
    </row>
    <row r="66" spans="2:10" ht="15.75">
      <c r="B66" s="460" t="str">
        <f>CONCATENATE(C78,"     ",D78)</f>
        <v>     </v>
      </c>
      <c r="C66" s="319"/>
      <c r="D66" s="240" t="s">
        <v>182</v>
      </c>
      <c r="E66" s="111">
        <f>IF(E65-E34&gt;0,E65-E34,0)</f>
        <v>65249</v>
      </c>
      <c r="G66" s="518"/>
      <c r="H66" s="516"/>
      <c r="I66" s="516"/>
      <c r="J66" s="512"/>
    </row>
    <row r="67" spans="2:10" ht="15.75">
      <c r="B67" s="320"/>
      <c r="C67" s="474" t="s">
        <v>680</v>
      </c>
      <c r="D67" s="475">
        <f>inputOth!E42</f>
        <v>0</v>
      </c>
      <c r="E67" s="209">
        <f>ROUND(IF(inputOth!E42&gt;0,(E66*inputOth!E42),0),0)</f>
        <v>0</v>
      </c>
      <c r="G67" s="517">
        <f>C61*0.05+C61</f>
        <v>211963.5</v>
      </c>
      <c r="H67" s="516" t="str">
        <f>CONCATENATE("Less ",E1-2," Expenditures + 5%")</f>
        <v>Less 2010 Expenditures + 5%</v>
      </c>
      <c r="I67" s="515"/>
      <c r="J67" s="512"/>
    </row>
    <row r="68" spans="2:10" ht="15.75">
      <c r="B68" s="81"/>
      <c r="C68" s="736" t="str">
        <f>CONCATENATE("Amount of  ",E1-1," Ad Valorem Tax")</f>
        <v>Amount of  2011 Ad Valorem Tax</v>
      </c>
      <c r="D68" s="737"/>
      <c r="E68" s="321">
        <f>E66+E67</f>
        <v>65249</v>
      </c>
      <c r="G68" s="523">
        <f>G65-G67</f>
        <v>-30309.5</v>
      </c>
      <c r="H68" s="519" t="str">
        <f>CONCATENATE("Projected ",E1+1," Carryover (est.)")</f>
        <v>Projected 2013 Carryover (est.)</v>
      </c>
      <c r="I68" s="520"/>
      <c r="J68" s="521"/>
    </row>
    <row r="69" spans="2:5" ht="15.75">
      <c r="B69" s="240"/>
      <c r="C69" s="81"/>
      <c r="D69" s="81"/>
      <c r="E69" s="81"/>
    </row>
    <row r="70" spans="2:16" ht="15.75">
      <c r="B70" s="232" t="s">
        <v>184</v>
      </c>
      <c r="C70" s="322">
        <v>7</v>
      </c>
      <c r="D70" s="500"/>
      <c r="E70" s="81"/>
      <c r="G70" s="540">
        <f>IF(inputOth!E7=0,"",ROUND(general!E68/inputOth!E7*1000,3))</f>
        <v>38.747</v>
      </c>
      <c r="H70" s="539" t="str">
        <f>CONCATENATE("Projected ",E1-1," Mill Rate (est.)")</f>
        <v>Projected 2011 Mill Rate (est.)</v>
      </c>
      <c r="I70" s="537"/>
      <c r="J70" s="538"/>
      <c r="M70" s="731"/>
      <c r="N70" s="731"/>
      <c r="O70" s="731"/>
      <c r="P70" s="732"/>
    </row>
    <row r="71" spans="7:16" ht="15.75">
      <c r="G71" s="532"/>
      <c r="H71" s="532"/>
      <c r="I71" s="532"/>
      <c r="J71" s="532"/>
      <c r="M71" s="532"/>
      <c r="N71" s="532"/>
      <c r="O71" s="532"/>
      <c r="P71" s="532"/>
    </row>
    <row r="72" spans="3:16" ht="15.75">
      <c r="C72" s="446"/>
      <c r="D72" s="446"/>
      <c r="E72" s="506"/>
      <c r="F72" s="495"/>
      <c r="G72" s="733" t="str">
        <f>CONCATENATE("Desired Carryover Into ",E1+1,"")</f>
        <v>Desired Carryover Into 2013</v>
      </c>
      <c r="H72" s="734"/>
      <c r="I72" s="734"/>
      <c r="J72" s="735"/>
      <c r="L72" s="541"/>
      <c r="M72" s="533"/>
      <c r="N72" s="534"/>
      <c r="O72" s="534"/>
      <c r="P72" s="535"/>
    </row>
    <row r="73" spans="3:16" ht="15.75">
      <c r="C73" s="507"/>
      <c r="D73" s="450"/>
      <c r="E73" s="506"/>
      <c r="F73" s="450"/>
      <c r="G73" s="607"/>
      <c r="H73" s="499"/>
      <c r="I73" s="516"/>
      <c r="J73" s="608"/>
      <c r="M73" s="507"/>
      <c r="N73" s="450"/>
      <c r="O73" s="507"/>
      <c r="P73" s="535"/>
    </row>
    <row r="74" spans="3:16" ht="15.75">
      <c r="C74" s="508"/>
      <c r="D74" s="509"/>
      <c r="E74" s="506"/>
      <c r="F74" s="450"/>
      <c r="G74" s="522" t="s">
        <v>685</v>
      </c>
      <c r="H74" s="516"/>
      <c r="I74" s="516"/>
      <c r="J74" s="510">
        <v>0</v>
      </c>
      <c r="M74" s="507"/>
      <c r="N74" s="450"/>
      <c r="O74" s="507"/>
      <c r="P74" s="536"/>
    </row>
    <row r="75" spans="3:10" ht="14.25" customHeight="1">
      <c r="C75" s="447"/>
      <c r="D75" s="450"/>
      <c r="E75" s="450"/>
      <c r="F75" s="450"/>
      <c r="G75" s="607" t="s">
        <v>684</v>
      </c>
      <c r="H75" s="499"/>
      <c r="I75" s="499"/>
      <c r="J75" s="612">
        <f>IF(general!J74=0,"",ROUND((J74+E68-G68)/inputOth!E7*1000,3)-G70)</f>
      </c>
    </row>
    <row r="76" spans="3:10" ht="15.75">
      <c r="C76" s="447"/>
      <c r="D76" s="450"/>
      <c r="E76" s="450"/>
      <c r="F76" s="450"/>
      <c r="G76" s="609" t="str">
        <f>CONCATENATE("",E1," Total Expenditures Must Be:")</f>
        <v>2012 Total Expenditures Must Be:</v>
      </c>
      <c r="H76" s="610"/>
      <c r="I76" s="611"/>
      <c r="J76" s="613">
        <f>IF((J74&gt;0),(E61+J74-G68),0)</f>
        <v>0</v>
      </c>
    </row>
    <row r="77" spans="3:6" ht="15.75" hidden="1">
      <c r="C77" s="494">
        <f>IF(C61&gt;C63,"See Tab A","")</f>
      </c>
      <c r="D77" s="493">
        <f>IF(D61&gt;D63,"See Tab C","")</f>
      </c>
      <c r="E77" s="450"/>
      <c r="F77" s="450"/>
    </row>
    <row r="78" spans="3:4" ht="15.75" hidden="1">
      <c r="C78" s="492">
        <f>IF(C62&lt;0,"See Tab B","")</f>
      </c>
      <c r="D78" s="492">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9"/>
  <sheetViews>
    <sheetView zoomScalePageLayoutView="0" workbookViewId="0" topLeftCell="A15">
      <selection activeCell="D39" sqref="D39"/>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City of Lewis</v>
      </c>
      <c r="B1" s="81"/>
      <c r="C1" s="375"/>
      <c r="D1" s="81">
        <f>inputPrYr!C5</f>
        <v>2012</v>
      </c>
    </row>
    <row r="2" spans="1:4" ht="15.75">
      <c r="A2" s="81"/>
      <c r="B2" s="81"/>
      <c r="C2" s="81"/>
      <c r="D2" s="375"/>
    </row>
    <row r="3" spans="1:4" ht="15.75">
      <c r="A3" s="98" t="s">
        <v>71</v>
      </c>
      <c r="B3" s="376"/>
      <c r="C3" s="376"/>
      <c r="D3" s="376"/>
    </row>
    <row r="4" spans="1:4" ht="15.75">
      <c r="A4" s="375" t="s">
        <v>172</v>
      </c>
      <c r="B4" s="652" t="s">
        <v>190</v>
      </c>
      <c r="C4" s="651" t="s">
        <v>323</v>
      </c>
      <c r="D4" s="651" t="s">
        <v>324</v>
      </c>
    </row>
    <row r="5" spans="1:4" ht="15.75">
      <c r="A5" s="109" t="s">
        <v>72</v>
      </c>
      <c r="B5" s="358">
        <f>D1-2</f>
        <v>2010</v>
      </c>
      <c r="C5" s="358">
        <f>D1-1</f>
        <v>2011</v>
      </c>
      <c r="D5" s="358">
        <f>D1</f>
        <v>2012</v>
      </c>
    </row>
    <row r="6" spans="1:4" ht="15.75">
      <c r="A6" s="267" t="s">
        <v>180</v>
      </c>
      <c r="B6" s="125"/>
      <c r="C6" s="125"/>
      <c r="D6" s="125"/>
    </row>
    <row r="7" spans="1:4" ht="15.75">
      <c r="A7" s="377" t="s">
        <v>138</v>
      </c>
      <c r="B7" s="125"/>
      <c r="C7" s="125"/>
      <c r="D7" s="125"/>
    </row>
    <row r="8" spans="1:4" ht="15.75">
      <c r="A8" s="378" t="s">
        <v>73</v>
      </c>
      <c r="B8" s="360">
        <v>34933</v>
      </c>
      <c r="C8" s="360">
        <v>35000</v>
      </c>
      <c r="D8" s="360">
        <v>35000</v>
      </c>
    </row>
    <row r="9" spans="1:4" ht="15.75">
      <c r="A9" s="378" t="s">
        <v>74</v>
      </c>
      <c r="B9" s="360">
        <v>12926</v>
      </c>
      <c r="C9" s="360">
        <f>13120+25000</f>
        <v>38120</v>
      </c>
      <c r="D9" s="360">
        <v>14560</v>
      </c>
    </row>
    <row r="10" spans="1:4" ht="15.75">
      <c r="A10" s="378" t="s">
        <v>75</v>
      </c>
      <c r="B10" s="360">
        <v>23794</v>
      </c>
      <c r="C10" s="360">
        <v>24125</v>
      </c>
      <c r="D10" s="360">
        <v>26500</v>
      </c>
    </row>
    <row r="11" spans="1:4" ht="15.75">
      <c r="A11" s="378" t="s">
        <v>884</v>
      </c>
      <c r="B11" s="360">
        <v>250</v>
      </c>
      <c r="C11" s="360">
        <v>375</v>
      </c>
      <c r="D11" s="360">
        <v>500</v>
      </c>
    </row>
    <row r="12" spans="1:4" ht="15.75">
      <c r="A12" s="378" t="s">
        <v>883</v>
      </c>
      <c r="B12" s="360">
        <v>220</v>
      </c>
      <c r="C12" s="360">
        <v>250</v>
      </c>
      <c r="D12" s="360">
        <v>275</v>
      </c>
    </row>
    <row r="13" spans="1:4" ht="15.75">
      <c r="A13" s="107"/>
      <c r="B13" s="360"/>
      <c r="C13" s="360"/>
      <c r="D13" s="360"/>
    </row>
    <row r="14" spans="1:4" ht="15.75">
      <c r="A14" s="107"/>
      <c r="B14" s="360"/>
      <c r="C14" s="360"/>
      <c r="D14" s="360"/>
    </row>
    <row r="15" spans="1:4" ht="15.75">
      <c r="A15" s="267" t="s">
        <v>142</v>
      </c>
      <c r="B15" s="364">
        <f>SUM(B8:B14)</f>
        <v>72123</v>
      </c>
      <c r="C15" s="364">
        <f>SUM(C8:C14)</f>
        <v>97870</v>
      </c>
      <c r="D15" s="364">
        <f>SUM(D8:D14)</f>
        <v>76835</v>
      </c>
    </row>
    <row r="16" spans="1:4" ht="15.75">
      <c r="A16" s="322" t="s">
        <v>875</v>
      </c>
      <c r="B16" s="223"/>
      <c r="C16" s="223"/>
      <c r="D16" s="223"/>
    </row>
    <row r="17" spans="1:4" ht="15.75">
      <c r="A17" s="378" t="s">
        <v>73</v>
      </c>
      <c r="B17" s="360">
        <v>7755</v>
      </c>
      <c r="C17" s="360">
        <v>7890</v>
      </c>
      <c r="D17" s="360">
        <v>7890</v>
      </c>
    </row>
    <row r="18" spans="1:4" ht="15.75">
      <c r="A18" s="378" t="s">
        <v>74</v>
      </c>
      <c r="B18" s="360">
        <v>9068</v>
      </c>
      <c r="C18" s="360">
        <v>9345</v>
      </c>
      <c r="D18" s="360">
        <v>9800</v>
      </c>
    </row>
    <row r="19" spans="1:4" ht="15.75">
      <c r="A19" s="378" t="s">
        <v>75</v>
      </c>
      <c r="B19" s="360">
        <v>9152</v>
      </c>
      <c r="C19" s="360">
        <v>9650</v>
      </c>
      <c r="D19" s="360">
        <v>10125</v>
      </c>
    </row>
    <row r="20" spans="1:4" ht="15.75">
      <c r="A20" s="378" t="s">
        <v>882</v>
      </c>
      <c r="B20" s="360">
        <v>20</v>
      </c>
      <c r="C20" s="360">
        <v>20</v>
      </c>
      <c r="D20" s="360">
        <v>20</v>
      </c>
    </row>
    <row r="21" spans="1:4" ht="15.75">
      <c r="A21" s="378"/>
      <c r="B21" s="360"/>
      <c r="C21" s="360"/>
      <c r="D21" s="360"/>
    </row>
    <row r="22" spans="1:4" ht="15.75">
      <c r="A22" s="267" t="s">
        <v>142</v>
      </c>
      <c r="B22" s="364">
        <f>SUM(B17:B20)</f>
        <v>25995</v>
      </c>
      <c r="C22" s="364">
        <f>SUM(C17:C20)</f>
        <v>26905</v>
      </c>
      <c r="D22" s="364">
        <f>SUM(D17:D20)</f>
        <v>27835</v>
      </c>
    </row>
    <row r="23" spans="1:4" ht="15.75">
      <c r="A23" s="322" t="s">
        <v>876</v>
      </c>
      <c r="B23" s="223"/>
      <c r="C23" s="223"/>
      <c r="D23" s="223"/>
    </row>
    <row r="24" spans="1:4" ht="15.75">
      <c r="A24" s="378" t="s">
        <v>73</v>
      </c>
      <c r="B24" s="360">
        <v>8674</v>
      </c>
      <c r="C24" s="360">
        <v>8770</v>
      </c>
      <c r="D24" s="360">
        <v>8770</v>
      </c>
    </row>
    <row r="25" spans="1:4" ht="15.75">
      <c r="A25" s="378" t="s">
        <v>74</v>
      </c>
      <c r="B25" s="360">
        <v>3785</v>
      </c>
      <c r="C25" s="360">
        <v>3850</v>
      </c>
      <c r="D25" s="360">
        <v>4325</v>
      </c>
    </row>
    <row r="26" spans="1:4" ht="15.75">
      <c r="A26" s="378" t="s">
        <v>75</v>
      </c>
      <c r="B26" s="360">
        <v>1418</v>
      </c>
      <c r="C26" s="360">
        <v>1500</v>
      </c>
      <c r="D26" s="360">
        <v>1600</v>
      </c>
    </row>
    <row r="27" spans="1:4" ht="15.75">
      <c r="A27" s="378" t="s">
        <v>881</v>
      </c>
      <c r="B27" s="360">
        <v>300</v>
      </c>
      <c r="C27" s="360">
        <v>250</v>
      </c>
      <c r="D27" s="360">
        <v>500</v>
      </c>
    </row>
    <row r="28" spans="1:4" ht="15.75">
      <c r="A28" s="378"/>
      <c r="B28" s="360"/>
      <c r="C28" s="360"/>
      <c r="D28" s="360"/>
    </row>
    <row r="29" spans="1:4" ht="15.75">
      <c r="A29" s="267" t="s">
        <v>142</v>
      </c>
      <c r="B29" s="364">
        <f>SUM(B24:B27)</f>
        <v>14177</v>
      </c>
      <c r="C29" s="364">
        <f>SUM(C24:C27)</f>
        <v>14370</v>
      </c>
      <c r="D29" s="364">
        <f>SUM(D24:D27)</f>
        <v>15195</v>
      </c>
    </row>
    <row r="30" spans="1:4" ht="15.75">
      <c r="A30" s="322" t="s">
        <v>877</v>
      </c>
      <c r="B30" s="223"/>
      <c r="C30" s="223"/>
      <c r="D30" s="223"/>
    </row>
    <row r="31" spans="1:4" ht="15.75">
      <c r="A31" s="378" t="s">
        <v>73</v>
      </c>
      <c r="B31" s="360"/>
      <c r="C31" s="360"/>
      <c r="D31" s="360"/>
    </row>
    <row r="32" spans="1:4" ht="15.75">
      <c r="A32" s="378" t="s">
        <v>74</v>
      </c>
      <c r="B32" s="360"/>
      <c r="C32" s="360">
        <v>25000</v>
      </c>
      <c r="D32" s="360">
        <v>34000</v>
      </c>
    </row>
    <row r="33" spans="1:4" ht="15.75">
      <c r="A33" s="378" t="s">
        <v>75</v>
      </c>
      <c r="B33" s="360">
        <v>901</v>
      </c>
      <c r="C33" s="360">
        <v>990</v>
      </c>
      <c r="D33" s="360">
        <v>1200</v>
      </c>
    </row>
    <row r="34" spans="1:4" ht="15.75">
      <c r="A34" s="378" t="s">
        <v>76</v>
      </c>
      <c r="B34" s="360"/>
      <c r="C34" s="360"/>
      <c r="D34" s="360"/>
    </row>
    <row r="35" spans="1:4" ht="15.75">
      <c r="A35" s="267" t="s">
        <v>142</v>
      </c>
      <c r="B35" s="364">
        <f>SUM(B31:B34)</f>
        <v>901</v>
      </c>
      <c r="C35" s="364">
        <f>SUM(C31:C34)</f>
        <v>25990</v>
      </c>
      <c r="D35" s="364">
        <f>SUM(D31:D34)</f>
        <v>35200</v>
      </c>
    </row>
    <row r="36" spans="1:4" ht="15.75">
      <c r="A36" s="322" t="s">
        <v>878</v>
      </c>
      <c r="B36" s="223"/>
      <c r="C36" s="223"/>
      <c r="D36" s="223"/>
    </row>
    <row r="37" spans="1:4" ht="15.75">
      <c r="A37" s="378" t="s">
        <v>73</v>
      </c>
      <c r="B37" s="360"/>
      <c r="C37" s="360"/>
      <c r="D37" s="360"/>
    </row>
    <row r="38" spans="1:4" ht="15.75">
      <c r="A38" s="378" t="s">
        <v>74</v>
      </c>
      <c r="B38" s="360">
        <v>1110</v>
      </c>
      <c r="C38" s="360">
        <v>1250</v>
      </c>
      <c r="D38" s="360">
        <v>16500</v>
      </c>
    </row>
    <row r="39" spans="1:4" ht="15.75">
      <c r="A39" s="378" t="s">
        <v>75</v>
      </c>
      <c r="B39" s="360">
        <v>150</v>
      </c>
      <c r="C39" s="360">
        <v>175</v>
      </c>
      <c r="D39" s="360">
        <v>250</v>
      </c>
    </row>
    <row r="40" spans="1:4" ht="15.75">
      <c r="A40" s="378" t="s">
        <v>76</v>
      </c>
      <c r="B40" s="360"/>
      <c r="C40" s="360"/>
      <c r="D40" s="360"/>
    </row>
    <row r="41" spans="1:4" ht="15.75">
      <c r="A41" s="378"/>
      <c r="B41" s="360"/>
      <c r="C41" s="360"/>
      <c r="D41" s="360"/>
    </row>
    <row r="42" spans="1:4" ht="15.75">
      <c r="A42" s="267" t="s">
        <v>142</v>
      </c>
      <c r="B42" s="364">
        <f>SUM(B37:B40)</f>
        <v>1260</v>
      </c>
      <c r="C42" s="364">
        <f>SUM(C37:C40)</f>
        <v>1425</v>
      </c>
      <c r="D42" s="364">
        <f>SUM(D37:D40)</f>
        <v>16750</v>
      </c>
    </row>
    <row r="43" spans="1:4" ht="15.75">
      <c r="A43" s="372" t="s">
        <v>306</v>
      </c>
      <c r="B43" s="223"/>
      <c r="C43" s="223"/>
      <c r="D43" s="223"/>
    </row>
    <row r="44" spans="1:4" ht="15.75">
      <c r="A44" s="378" t="s">
        <v>929</v>
      </c>
      <c r="B44" s="360"/>
      <c r="C44" s="360"/>
      <c r="D44" s="360"/>
    </row>
    <row r="45" spans="1:4" ht="15.75">
      <c r="A45" s="378" t="s">
        <v>930</v>
      </c>
      <c r="B45" s="360"/>
      <c r="C45" s="360"/>
      <c r="D45" s="360"/>
    </row>
    <row r="46" spans="1:4" ht="15.75">
      <c r="A46" s="378" t="s">
        <v>931</v>
      </c>
      <c r="B46" s="360"/>
      <c r="C46" s="360"/>
      <c r="D46" s="360"/>
    </row>
    <row r="47" spans="1:4" ht="15.75">
      <c r="A47" s="378" t="s">
        <v>932</v>
      </c>
      <c r="B47" s="360"/>
      <c r="C47" s="360"/>
      <c r="D47" s="360"/>
    </row>
    <row r="48" spans="1:4" ht="15.75">
      <c r="A48" s="378" t="s">
        <v>933</v>
      </c>
      <c r="B48" s="360"/>
      <c r="C48" s="360"/>
      <c r="D48" s="360"/>
    </row>
    <row r="49" spans="1:4" ht="15.75">
      <c r="A49" s="378" t="s">
        <v>934</v>
      </c>
      <c r="B49" s="360"/>
      <c r="C49" s="360"/>
      <c r="D49" s="360"/>
    </row>
    <row r="50" spans="1:4" ht="15.75">
      <c r="A50" s="378" t="s">
        <v>935</v>
      </c>
      <c r="B50" s="360"/>
      <c r="C50" s="360"/>
      <c r="D50" s="360"/>
    </row>
    <row r="51" spans="1:4" ht="15.75">
      <c r="A51" s="267" t="s">
        <v>142</v>
      </c>
      <c r="B51" s="364">
        <f>SUM(B44:B47)</f>
        <v>0</v>
      </c>
      <c r="C51" s="364">
        <f>SUM(C44:C47)</f>
        <v>0</v>
      </c>
      <c r="D51" s="364">
        <f>SUM(D44:D47)</f>
        <v>0</v>
      </c>
    </row>
    <row r="52" spans="1:4" ht="15.75">
      <c r="A52" s="322"/>
      <c r="B52" s="223"/>
      <c r="C52" s="223"/>
      <c r="D52" s="223"/>
    </row>
    <row r="53" spans="1:4" ht="15.75">
      <c r="A53" s="378" t="s">
        <v>73</v>
      </c>
      <c r="B53" s="360"/>
      <c r="C53" s="360"/>
      <c r="D53" s="360"/>
    </row>
    <row r="54" spans="1:4" ht="15.75">
      <c r="A54" s="378" t="s">
        <v>74</v>
      </c>
      <c r="B54" s="360"/>
      <c r="C54" s="360"/>
      <c r="D54" s="360"/>
    </row>
    <row r="55" spans="1:4" ht="15.75">
      <c r="A55" s="378" t="s">
        <v>75</v>
      </c>
      <c r="B55" s="360"/>
      <c r="C55" s="360"/>
      <c r="D55" s="360"/>
    </row>
    <row r="56" spans="1:4" ht="15.75">
      <c r="A56" s="378" t="s">
        <v>76</v>
      </c>
      <c r="B56" s="360"/>
      <c r="C56" s="360"/>
      <c r="D56" s="360"/>
    </row>
    <row r="57" spans="1:4" ht="15.75">
      <c r="A57" s="378"/>
      <c r="B57" s="360"/>
      <c r="C57" s="360"/>
      <c r="D57" s="360"/>
    </row>
    <row r="58" spans="1:4" ht="15.75">
      <c r="A58" s="267" t="s">
        <v>142</v>
      </c>
      <c r="B58" s="364">
        <f>SUM(B53:B56)</f>
        <v>0</v>
      </c>
      <c r="C58" s="364">
        <f>SUM(C53:C56)</f>
        <v>0</v>
      </c>
      <c r="D58" s="364">
        <f>SUM(D53:D56)</f>
        <v>0</v>
      </c>
    </row>
    <row r="59" spans="1:4" ht="15.75">
      <c r="A59" s="322"/>
      <c r="B59" s="223"/>
      <c r="C59" s="223"/>
      <c r="D59" s="223"/>
    </row>
    <row r="60" spans="1:4" ht="15.75">
      <c r="A60" s="378" t="s">
        <v>73</v>
      </c>
      <c r="B60" s="360"/>
      <c r="C60" s="360"/>
      <c r="D60" s="360"/>
    </row>
    <row r="61" spans="1:4" ht="15.75">
      <c r="A61" s="378" t="s">
        <v>74</v>
      </c>
      <c r="B61" s="360"/>
      <c r="C61" s="360"/>
      <c r="D61" s="360"/>
    </row>
    <row r="62" spans="1:4" ht="15.75">
      <c r="A62" s="378" t="s">
        <v>75</v>
      </c>
      <c r="B62" s="360"/>
      <c r="C62" s="360"/>
      <c r="D62" s="360"/>
    </row>
    <row r="63" spans="1:4" ht="15.75">
      <c r="A63" s="378" t="s">
        <v>76</v>
      </c>
      <c r="B63" s="360"/>
      <c r="C63" s="360"/>
      <c r="D63" s="360"/>
    </row>
    <row r="64" spans="1:4" ht="15.75">
      <c r="A64" s="378"/>
      <c r="B64" s="360"/>
      <c r="C64" s="360"/>
      <c r="D64" s="360"/>
    </row>
    <row r="65" spans="1:4" ht="15.75">
      <c r="A65" s="267" t="s">
        <v>142</v>
      </c>
      <c r="B65" s="364">
        <f>SUM(B60:B63)</f>
        <v>0</v>
      </c>
      <c r="C65" s="364">
        <f>SUM(C60:C63)</f>
        <v>0</v>
      </c>
      <c r="D65" s="364">
        <f>SUM(D60:D63)</f>
        <v>0</v>
      </c>
    </row>
    <row r="66" spans="1:4" ht="15.75">
      <c r="A66" s="81"/>
      <c r="B66" s="223"/>
      <c r="C66" s="223"/>
      <c r="D66" s="223"/>
    </row>
    <row r="67" spans="1:4" ht="16.5" thickBot="1">
      <c r="A67" s="267" t="s">
        <v>77</v>
      </c>
      <c r="B67" s="379">
        <f>B15+B22+B29+B35+B42+B51+B58+B65</f>
        <v>114456</v>
      </c>
      <c r="C67" s="379">
        <f>C15+C22+C29+C35+C42+C51+C58+C65</f>
        <v>166560</v>
      </c>
      <c r="D67" s="379">
        <f>D15+D22+D29+D35+D42+D51+D58+D65</f>
        <v>171815</v>
      </c>
    </row>
    <row r="68" spans="1:4" ht="16.5" thickTop="1">
      <c r="A68" s="81"/>
      <c r="B68" s="223"/>
      <c r="C68" s="223"/>
      <c r="D68" s="223"/>
    </row>
    <row r="69" spans="1:4" ht="15.75">
      <c r="A69" s="232" t="s">
        <v>184</v>
      </c>
      <c r="B69" s="372" t="s">
        <v>78</v>
      </c>
      <c r="C69" s="223"/>
      <c r="D69" s="223"/>
    </row>
  </sheetData>
  <sheetProtection/>
  <printOptions/>
  <pageMargins left="0.75" right="0.75" top="1" bottom="1" header="0.5" footer="0.5"/>
  <pageSetup blackAndWhite="1" fitToHeight="1" fitToWidth="1" horizontalDpi="600" verticalDpi="600" orientation="portrait" scale="65"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3"/>
  <sheetViews>
    <sheetView zoomScalePageLayoutView="0" workbookViewId="0" topLeftCell="A1">
      <selection activeCell="C78" sqref="C78"/>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City of Lewis</v>
      </c>
      <c r="C1" s="223"/>
      <c r="D1" s="81"/>
      <c r="E1" s="181">
        <f>inputPrYr!C5</f>
        <v>2012</v>
      </c>
    </row>
    <row r="2" spans="2:5" ht="15.75">
      <c r="B2" s="81"/>
      <c r="C2" s="81"/>
      <c r="D2" s="81"/>
      <c r="E2" s="240"/>
    </row>
    <row r="3" spans="2:5" ht="15.75">
      <c r="B3" s="98" t="s">
        <v>233</v>
      </c>
      <c r="C3" s="98"/>
      <c r="D3" s="300"/>
      <c r="E3" s="183"/>
    </row>
    <row r="4" spans="2:5" ht="15.75">
      <c r="B4" s="86" t="s">
        <v>172</v>
      </c>
      <c r="C4" s="649" t="s">
        <v>190</v>
      </c>
      <c r="D4" s="650" t="s">
        <v>323</v>
      </c>
      <c r="E4" s="651" t="s">
        <v>324</v>
      </c>
    </row>
    <row r="5" spans="2:5" ht="15.75">
      <c r="B5" s="486" t="str">
        <f>inputPrYr!B18</f>
        <v>Debt Service</v>
      </c>
      <c r="C5" s="476">
        <f>E1-2</f>
        <v>2010</v>
      </c>
      <c r="D5" s="476">
        <f>E1-1</f>
        <v>2011</v>
      </c>
      <c r="E5" s="251">
        <f>E1</f>
        <v>2012</v>
      </c>
    </row>
    <row r="6" spans="2:5" ht="15.75">
      <c r="B6" s="198" t="s">
        <v>291</v>
      </c>
      <c r="C6" s="481">
        <v>0</v>
      </c>
      <c r="D6" s="480">
        <f>C33</f>
        <v>5974</v>
      </c>
      <c r="E6" s="209">
        <f>D33</f>
        <v>5888</v>
      </c>
    </row>
    <row r="7" spans="2:5" ht="15.75">
      <c r="B7" s="198" t="s">
        <v>293</v>
      </c>
      <c r="C7" s="210"/>
      <c r="D7" s="480"/>
      <c r="E7" s="209"/>
    </row>
    <row r="8" spans="2:5" ht="15.75">
      <c r="B8" s="198" t="s">
        <v>173</v>
      </c>
      <c r="C8" s="477"/>
      <c r="D8" s="480">
        <f>inputPrYr!E18</f>
        <v>36605</v>
      </c>
      <c r="E8" s="370" t="s">
        <v>160</v>
      </c>
    </row>
    <row r="9" spans="2:5" ht="15.75">
      <c r="B9" s="198" t="s">
        <v>174</v>
      </c>
      <c r="C9" s="477">
        <v>101</v>
      </c>
      <c r="D9" s="482"/>
      <c r="E9" s="104"/>
    </row>
    <row r="10" spans="2:5" ht="15.75">
      <c r="B10" s="198" t="s">
        <v>175</v>
      </c>
      <c r="C10" s="477">
        <v>3352</v>
      </c>
      <c r="D10" s="482">
        <v>0</v>
      </c>
      <c r="E10" s="209">
        <f>Mvalloc!C9</f>
        <v>9494</v>
      </c>
    </row>
    <row r="11" spans="2:5" ht="15.75">
      <c r="B11" s="198" t="s">
        <v>176</v>
      </c>
      <c r="C11" s="477">
        <v>40</v>
      </c>
      <c r="D11" s="482">
        <v>0</v>
      </c>
      <c r="E11" s="209">
        <f>Mvalloc!D9</f>
        <v>126</v>
      </c>
    </row>
    <row r="12" spans="2:5" ht="15.75">
      <c r="B12" s="211" t="s">
        <v>229</v>
      </c>
      <c r="C12" s="477">
        <v>71</v>
      </c>
      <c r="D12" s="482">
        <v>0</v>
      </c>
      <c r="E12" s="209">
        <f>Mvalloc!E9</f>
        <v>130</v>
      </c>
    </row>
    <row r="13" spans="2:5" ht="15.75">
      <c r="B13" s="211" t="s">
        <v>128</v>
      </c>
      <c r="C13" s="477"/>
      <c r="D13" s="482"/>
      <c r="E13" s="209">
        <f>Mvalloc!F9</f>
        <v>0</v>
      </c>
    </row>
    <row r="14" spans="2:5" ht="15.75">
      <c r="B14" s="373"/>
      <c r="C14" s="477"/>
      <c r="D14" s="482"/>
      <c r="E14" s="104"/>
    </row>
    <row r="15" spans="2:5" ht="15.75">
      <c r="B15" s="373" t="s">
        <v>871</v>
      </c>
      <c r="C15" s="477">
        <v>500795</v>
      </c>
      <c r="D15" s="482"/>
      <c r="E15" s="104"/>
    </row>
    <row r="16" spans="2:5" ht="15.75">
      <c r="B16" s="373"/>
      <c r="C16" s="477"/>
      <c r="D16" s="482"/>
      <c r="E16" s="104"/>
    </row>
    <row r="17" spans="2:5" ht="15.75">
      <c r="B17" s="362" t="s">
        <v>177</v>
      </c>
      <c r="C17" s="477">
        <v>2410</v>
      </c>
      <c r="D17" s="482"/>
      <c r="E17" s="104"/>
    </row>
    <row r="18" spans="2:5" ht="15.75">
      <c r="B18" s="198" t="s">
        <v>269</v>
      </c>
      <c r="C18" s="531"/>
      <c r="D18" s="482"/>
      <c r="E18" s="104"/>
    </row>
    <row r="19" spans="2:5" ht="15.75">
      <c r="B19" s="198" t="s">
        <v>676</v>
      </c>
      <c r="C19" s="441">
        <f>IF(C20*0.1&lt;C18,"Exceed 10% Rule","")</f>
      </c>
      <c r="D19" s="441">
        <f>IF(D20*0.1&lt;D18,"Exceeds 10% Rule","")</f>
      </c>
      <c r="E19" s="457">
        <f>IF(E20*0.1&lt;E18,"Exceed 10% Rule","")</f>
      </c>
    </row>
    <row r="20" spans="2:5" ht="15.75">
      <c r="B20" s="313" t="s">
        <v>178</v>
      </c>
      <c r="C20" s="483">
        <f>SUM(C8:C18)</f>
        <v>506769</v>
      </c>
      <c r="D20" s="483">
        <f>SUM(D8:D18)</f>
        <v>36605</v>
      </c>
      <c r="E20" s="374">
        <f>SUM(E9:E18)</f>
        <v>9750</v>
      </c>
    </row>
    <row r="21" spans="2:5" ht="15.75">
      <c r="B21" s="313" t="s">
        <v>179</v>
      </c>
      <c r="C21" s="483">
        <f>C6+C20</f>
        <v>506769</v>
      </c>
      <c r="D21" s="483">
        <f>D6+D20</f>
        <v>42579</v>
      </c>
      <c r="E21" s="374">
        <f>E6+E20</f>
        <v>15638</v>
      </c>
    </row>
    <row r="22" spans="2:5" ht="15.75">
      <c r="B22" s="198" t="s">
        <v>180</v>
      </c>
      <c r="C22" s="198"/>
      <c r="D22" s="480"/>
      <c r="E22" s="209"/>
    </row>
    <row r="23" spans="2:5" ht="15.75">
      <c r="B23" s="373"/>
      <c r="C23" s="477"/>
      <c r="D23" s="482"/>
      <c r="E23" s="104"/>
    </row>
    <row r="24" spans="2:5" ht="15.75">
      <c r="B24" s="373" t="s">
        <v>901</v>
      </c>
      <c r="C24" s="477">
        <v>500795</v>
      </c>
      <c r="D24" s="482"/>
      <c r="E24" s="104"/>
    </row>
    <row r="25" spans="2:5" ht="15.75">
      <c r="B25" s="373" t="s">
        <v>927</v>
      </c>
      <c r="C25" s="477"/>
      <c r="D25" s="482"/>
      <c r="E25" s="104">
        <v>15000</v>
      </c>
    </row>
    <row r="26" spans="2:5" ht="15.75">
      <c r="B26" s="373" t="s">
        <v>219</v>
      </c>
      <c r="C26" s="477"/>
      <c r="D26" s="482">
        <v>36691</v>
      </c>
      <c r="E26" s="104">
        <v>22015</v>
      </c>
    </row>
    <row r="27" spans="2:5" ht="15.75">
      <c r="B27" s="373" t="s">
        <v>928</v>
      </c>
      <c r="C27" s="477"/>
      <c r="D27" s="482"/>
      <c r="E27" s="104">
        <f>2500-108</f>
        <v>2392</v>
      </c>
    </row>
    <row r="28" spans="2:5" ht="15.75">
      <c r="B28" s="373"/>
      <c r="C28" s="477"/>
      <c r="D28" s="482"/>
      <c r="E28" s="104"/>
    </row>
    <row r="29" spans="2:5" ht="15.75">
      <c r="B29" s="368" t="s">
        <v>58</v>
      </c>
      <c r="C29" s="477"/>
      <c r="D29" s="482"/>
      <c r="E29" s="209">
        <f>Nhood!E8</f>
        <v>108</v>
      </c>
    </row>
    <row r="30" spans="2:5" ht="15.75">
      <c r="B30" s="368" t="s">
        <v>269</v>
      </c>
      <c r="C30" s="531"/>
      <c r="D30" s="482"/>
      <c r="E30" s="104"/>
    </row>
    <row r="31" spans="2:9" ht="15.75">
      <c r="B31" s="368" t="s">
        <v>682</v>
      </c>
      <c r="C31" s="441">
        <f>IF(C32*0.1&lt;C30,"Exceed 10% Rule","")</f>
      </c>
      <c r="D31" s="441">
        <f>IF(D32*0.1&lt;D30,"Exceed 10% Rule","")</f>
      </c>
      <c r="E31" s="457">
        <f>IF(E32*0.1&lt;E30,"Exceed 10% Rule","")</f>
      </c>
      <c r="G31" s="745" t="str">
        <f>CONCATENATE("Projected Carryover Into ",E1+1,"")</f>
        <v>Projected Carryover Into 2013</v>
      </c>
      <c r="H31" s="746"/>
      <c r="I31" s="747"/>
    </row>
    <row r="32" spans="2:9" ht="15.75">
      <c r="B32" s="313" t="s">
        <v>181</v>
      </c>
      <c r="C32" s="479">
        <f>SUM(C23:C30)</f>
        <v>500795</v>
      </c>
      <c r="D32" s="479">
        <f>SUM(D23:D30)</f>
        <v>36691</v>
      </c>
      <c r="E32" s="365">
        <f>SUM(E23:E30)</f>
        <v>39515</v>
      </c>
      <c r="G32" s="511"/>
      <c r="H32" s="499"/>
      <c r="I32" s="512"/>
    </row>
    <row r="33" spans="2:9" ht="15.75">
      <c r="B33" s="198" t="s">
        <v>292</v>
      </c>
      <c r="C33" s="484">
        <f>C21-C32</f>
        <v>5974</v>
      </c>
      <c r="D33" s="484">
        <f>D21-D32</f>
        <v>5888</v>
      </c>
      <c r="E33" s="370" t="s">
        <v>160</v>
      </c>
      <c r="F33"/>
      <c r="G33" s="614">
        <f>D33</f>
        <v>5888</v>
      </c>
      <c r="H33" s="615" t="str">
        <f>CONCATENATE("",E1-1," Ending Cash Balance (est.)")</f>
        <v>2011 Ending Cash Balance (est.)</v>
      </c>
      <c r="I33" s="512"/>
    </row>
    <row r="34" spans="2:9" ht="15.75">
      <c r="B34" s="232" t="str">
        <f>CONCATENATE("",E1-2,"/",E1-1," Budget Authority Amount:")</f>
        <v>2010/2011 Budget Authority Amount:</v>
      </c>
      <c r="C34" s="243">
        <f>inputOth!B57</f>
        <v>0</v>
      </c>
      <c r="D34" s="317">
        <f>inputPrYr!D18</f>
        <v>36692</v>
      </c>
      <c r="E34" s="370" t="s">
        <v>160</v>
      </c>
      <c r="F34" s="318"/>
      <c r="G34" s="614">
        <f>E20</f>
        <v>9750</v>
      </c>
      <c r="H34" s="616" t="str">
        <f>CONCATENATE("",E1," Non-AV Receipts (est.)")</f>
        <v>2012 Non-AV Receipts (est.)</v>
      </c>
      <c r="I34" s="512"/>
    </row>
    <row r="35" spans="2:9" ht="15.75">
      <c r="B35" s="232"/>
      <c r="C35" s="738" t="s">
        <v>678</v>
      </c>
      <c r="D35" s="739"/>
      <c r="E35" s="104"/>
      <c r="F35" s="530">
        <f>IF(E32/0.95-E32&lt;E35,"Exceeds 5%","")</f>
      </c>
      <c r="G35" s="617">
        <f>E39</f>
        <v>23877</v>
      </c>
      <c r="H35" s="616" t="str">
        <f>CONCATENATE("",E1," Ad Valorem Tax (est.)")</f>
        <v>2012 Ad Valorem Tax (est.)</v>
      </c>
      <c r="I35" s="512"/>
    </row>
    <row r="36" spans="2:9" ht="15.75">
      <c r="B36" s="489" t="str">
        <f>CONCATENATE(C90,"     ",D90)</f>
        <v>See Tab A     </v>
      </c>
      <c r="C36" s="740" t="s">
        <v>679</v>
      </c>
      <c r="D36" s="741"/>
      <c r="E36" s="209">
        <f>E32+E35</f>
        <v>39515</v>
      </c>
      <c r="F36"/>
      <c r="G36" s="614">
        <f>SUM(G33:G35)</f>
        <v>39515</v>
      </c>
      <c r="H36" s="616" t="str">
        <f>CONCATENATE("Total ",E1," Resources Available")</f>
        <v>Total 2012 Resources Available</v>
      </c>
      <c r="I36" s="512"/>
    </row>
    <row r="37" spans="2:9" ht="15.75">
      <c r="B37" s="489" t="str">
        <f>CONCATENATE(C91,"     ",D91)</f>
        <v>     </v>
      </c>
      <c r="C37" s="319"/>
      <c r="D37" s="240" t="s">
        <v>182</v>
      </c>
      <c r="E37" s="111">
        <f>IF(E36-E21&gt;0,E36-E21,0)</f>
        <v>23877</v>
      </c>
      <c r="F37"/>
      <c r="G37" s="618"/>
      <c r="H37" s="616"/>
      <c r="I37" s="512"/>
    </row>
    <row r="38" spans="2:9" ht="15.75">
      <c r="B38" s="240"/>
      <c r="C38" s="474" t="s">
        <v>680</v>
      </c>
      <c r="D38" s="490">
        <f>inputOth!$E$42</f>
        <v>0</v>
      </c>
      <c r="E38" s="209">
        <f>ROUND(IF(D38&gt;0,(E37*D38),0),0)</f>
        <v>0</v>
      </c>
      <c r="F38"/>
      <c r="G38" s="617">
        <f>D32</f>
        <v>36691</v>
      </c>
      <c r="H38" s="616" t="str">
        <f>CONCATENATE("Less ",E1-2," Expenditures")</f>
        <v>Less 2010 Expenditures</v>
      </c>
      <c r="I38" s="512"/>
    </row>
    <row r="39" spans="2:9" ht="15.75">
      <c r="B39" s="81"/>
      <c r="C39" s="736" t="str">
        <f>CONCATENATE("Amount of  ",E1-1," Ad Valorem Tax")</f>
        <v>Amount of  2011 Ad Valorem Tax</v>
      </c>
      <c r="D39" s="737"/>
      <c r="E39" s="371">
        <f>SUM(E37:E38)</f>
        <v>23877</v>
      </c>
      <c r="F39"/>
      <c r="G39" s="627">
        <f>G36-G38</f>
        <v>2824</v>
      </c>
      <c r="H39" s="628" t="str">
        <f>CONCATENATE("Projected ",E1+1," carryover (est.)")</f>
        <v>Projected 2013 carryover (est.)</v>
      </c>
      <c r="I39" s="521"/>
    </row>
    <row r="40" spans="2:6" ht="15.75">
      <c r="B40" s="86"/>
      <c r="C40" s="86"/>
      <c r="D40" s="300"/>
      <c r="E40" s="300"/>
      <c r="F40"/>
    </row>
    <row r="41" spans="2:6" ht="15.75">
      <c r="B41" s="86" t="s">
        <v>172</v>
      </c>
      <c r="C41" s="444" t="s">
        <v>190</v>
      </c>
      <c r="D41" s="442" t="s">
        <v>323</v>
      </c>
      <c r="E41" s="194" t="s">
        <v>324</v>
      </c>
      <c r="F41"/>
    </row>
    <row r="42" spans="2:6" ht="15.75">
      <c r="B42" s="487" t="str">
        <f>inputPrYr!B20</f>
        <v>Employee Benefits</v>
      </c>
      <c r="C42" s="476">
        <f>E1-2</f>
        <v>2010</v>
      </c>
      <c r="D42" s="476">
        <f>E1-1</f>
        <v>2011</v>
      </c>
      <c r="E42" s="251">
        <f>E1</f>
        <v>2012</v>
      </c>
      <c r="F42"/>
    </row>
    <row r="43" spans="2:6" ht="15.75">
      <c r="B43" s="198" t="s">
        <v>291</v>
      </c>
      <c r="C43" s="477">
        <v>16871</v>
      </c>
      <c r="D43" s="480">
        <f>C71</f>
        <v>13090</v>
      </c>
      <c r="E43" s="209">
        <f>D71</f>
        <v>20711</v>
      </c>
      <c r="F43"/>
    </row>
    <row r="44" spans="2:6" ht="15.75">
      <c r="B44" s="302" t="s">
        <v>293</v>
      </c>
      <c r="C44" s="198"/>
      <c r="D44" s="480"/>
      <c r="E44" s="209"/>
      <c r="F44"/>
    </row>
    <row r="45" spans="2:6" ht="15.75">
      <c r="B45" s="198" t="s">
        <v>173</v>
      </c>
      <c r="C45" s="477">
        <v>33038</v>
      </c>
      <c r="D45" s="480">
        <f>inputPrYr!E20</f>
        <v>27767</v>
      </c>
      <c r="E45" s="370" t="s">
        <v>160</v>
      </c>
      <c r="F45"/>
    </row>
    <row r="46" spans="2:6" ht="15.75">
      <c r="B46" s="198" t="s">
        <v>174</v>
      </c>
      <c r="C46" s="477"/>
      <c r="D46" s="482"/>
      <c r="E46" s="104"/>
      <c r="F46"/>
    </row>
    <row r="47" spans="2:6" ht="15.75">
      <c r="B47" s="198" t="s">
        <v>175</v>
      </c>
      <c r="C47" s="477"/>
      <c r="D47" s="482">
        <v>6525</v>
      </c>
      <c r="E47" s="209">
        <f>Mvalloc!C10</f>
        <v>7202</v>
      </c>
      <c r="F47"/>
    </row>
    <row r="48" spans="2:6" ht="15.75">
      <c r="B48" s="198" t="s">
        <v>176</v>
      </c>
      <c r="C48" s="477"/>
      <c r="D48" s="482">
        <v>85</v>
      </c>
      <c r="E48" s="209">
        <f>Mvalloc!D10</f>
        <v>95</v>
      </c>
      <c r="F48"/>
    </row>
    <row r="49" spans="2:5" ht="15.75">
      <c r="B49" s="211" t="s">
        <v>229</v>
      </c>
      <c r="C49" s="477"/>
      <c r="D49" s="482">
        <v>212</v>
      </c>
      <c r="E49" s="209">
        <f>Mvalloc!E10</f>
        <v>99</v>
      </c>
    </row>
    <row r="50" spans="2:5" ht="15.75">
      <c r="B50" s="211" t="s">
        <v>128</v>
      </c>
      <c r="C50" s="477"/>
      <c r="D50" s="482"/>
      <c r="E50" s="209">
        <f>Mvalloc!F10</f>
        <v>0</v>
      </c>
    </row>
    <row r="51" spans="2:5" ht="15.75">
      <c r="B51" s="373"/>
      <c r="C51" s="477"/>
      <c r="D51" s="482"/>
      <c r="E51" s="104"/>
    </row>
    <row r="52" spans="2:5" ht="15.75">
      <c r="B52" s="373" t="s">
        <v>899</v>
      </c>
      <c r="C52" s="531">
        <v>-113</v>
      </c>
      <c r="D52" s="482">
        <v>-113</v>
      </c>
      <c r="E52" s="104"/>
    </row>
    <row r="53" spans="2:5" ht="15.75">
      <c r="B53" s="362" t="s">
        <v>177</v>
      </c>
      <c r="C53" s="477">
        <v>132</v>
      </c>
      <c r="D53" s="482">
        <v>90</v>
      </c>
      <c r="E53" s="104">
        <v>90</v>
      </c>
    </row>
    <row r="54" spans="2:5" ht="15.75">
      <c r="B54" s="198" t="s">
        <v>269</v>
      </c>
      <c r="C54" s="531"/>
      <c r="D54" s="531"/>
      <c r="E54" s="637"/>
    </row>
    <row r="55" spans="2:5" ht="15.75">
      <c r="B55" s="198" t="s">
        <v>676</v>
      </c>
      <c r="C55" s="441">
        <f>IF(C56*0.1&lt;C54,"Exceed 10% Rule","")</f>
      </c>
      <c r="D55" s="441">
        <f>IF(D56*0.1&lt;D54,"Exceeds 10% Rule","")</f>
      </c>
      <c r="E55" s="457">
        <f>IF(E56*0.1&lt;E54,"Exceed 10% Rule","")</f>
      </c>
    </row>
    <row r="56" spans="2:5" ht="15.75">
      <c r="B56" s="313" t="s">
        <v>178</v>
      </c>
      <c r="C56" s="479">
        <f>SUM(C45:C54)</f>
        <v>33057</v>
      </c>
      <c r="D56" s="479">
        <f>SUM(D45:D54)</f>
        <v>34566</v>
      </c>
      <c r="E56" s="365">
        <f>SUM(E46:E54)</f>
        <v>7486</v>
      </c>
    </row>
    <row r="57" spans="2:5" ht="15.75">
      <c r="B57" s="313" t="s">
        <v>179</v>
      </c>
      <c r="C57" s="479">
        <f>C43+C56</f>
        <v>49928</v>
      </c>
      <c r="D57" s="479">
        <f>D43+D56</f>
        <v>47656</v>
      </c>
      <c r="E57" s="365">
        <f>E43+E56</f>
        <v>28197</v>
      </c>
    </row>
    <row r="58" spans="2:5" ht="15.75">
      <c r="B58" s="198" t="s">
        <v>180</v>
      </c>
      <c r="C58" s="198"/>
      <c r="D58" s="480"/>
      <c r="E58" s="209"/>
    </row>
    <row r="59" spans="2:5" ht="15.75">
      <c r="B59" s="373" t="s">
        <v>907</v>
      </c>
      <c r="C59" s="477">
        <v>7303</v>
      </c>
      <c r="D59" s="482">
        <v>7410</v>
      </c>
      <c r="E59" s="104">
        <f>9500-71</f>
        <v>9429</v>
      </c>
    </row>
    <row r="60" spans="2:5" ht="15.75">
      <c r="B60" s="373" t="s">
        <v>908</v>
      </c>
      <c r="C60" s="477">
        <v>3029</v>
      </c>
      <c r="D60" s="482">
        <v>3210</v>
      </c>
      <c r="E60" s="104">
        <v>6000</v>
      </c>
    </row>
    <row r="61" spans="2:5" ht="15.75">
      <c r="B61" s="373" t="s">
        <v>909</v>
      </c>
      <c r="C61" s="477">
        <v>4167</v>
      </c>
      <c r="D61" s="482">
        <v>4225</v>
      </c>
      <c r="E61" s="104">
        <v>6000</v>
      </c>
    </row>
    <row r="62" spans="2:5" ht="15.75">
      <c r="B62" s="373" t="s">
        <v>910</v>
      </c>
      <c r="C62" s="477">
        <v>21572</v>
      </c>
      <c r="D62" s="482">
        <v>11325</v>
      </c>
      <c r="E62" s="104">
        <v>21700</v>
      </c>
    </row>
    <row r="63" spans="2:5" ht="15.75">
      <c r="B63" s="373" t="s">
        <v>911</v>
      </c>
      <c r="C63" s="477">
        <v>82</v>
      </c>
      <c r="D63" s="482">
        <v>90</v>
      </c>
      <c r="E63" s="104">
        <v>90</v>
      </c>
    </row>
    <row r="64" spans="2:5" ht="15.75">
      <c r="B64" s="373" t="s">
        <v>912</v>
      </c>
      <c r="C64" s="477">
        <v>310</v>
      </c>
      <c r="D64" s="482">
        <v>310</v>
      </c>
      <c r="E64" s="104">
        <v>310</v>
      </c>
    </row>
    <row r="65" spans="2:5" ht="15.75">
      <c r="B65" s="373" t="s">
        <v>913</v>
      </c>
      <c r="C65" s="477">
        <v>375</v>
      </c>
      <c r="D65" s="482">
        <v>375</v>
      </c>
      <c r="E65" s="104">
        <v>375</v>
      </c>
    </row>
    <row r="66" spans="2:5" ht="15.75">
      <c r="B66" s="373"/>
      <c r="C66" s="477"/>
      <c r="D66" s="482"/>
      <c r="E66" s="104"/>
    </row>
    <row r="67" spans="2:6" ht="15.75">
      <c r="B67" s="211" t="s">
        <v>58</v>
      </c>
      <c r="C67" s="477"/>
      <c r="D67" s="482"/>
      <c r="E67" s="209">
        <f>Nhood!E9</f>
        <v>71</v>
      </c>
      <c r="F67"/>
    </row>
    <row r="68" spans="2:6" ht="15.75">
      <c r="B68" s="211" t="s">
        <v>269</v>
      </c>
      <c r="C68" s="531"/>
      <c r="D68" s="482"/>
      <c r="E68" s="104"/>
      <c r="F68"/>
    </row>
    <row r="69" spans="2:6" ht="15.75">
      <c r="B69" s="211" t="s">
        <v>675</v>
      </c>
      <c r="C69" s="441">
        <f>IF(C70*0.1&lt;C68,"Exceed 10% Rule","")</f>
      </c>
      <c r="D69" s="441">
        <f>IF(D70*0.1&lt;D68,"Exceed 10% Rule","")</f>
      </c>
      <c r="E69" s="457">
        <f>IF(E70*0.1&lt;E68,"Exceed 10% Rule","")</f>
      </c>
      <c r="F69"/>
    </row>
    <row r="70" spans="2:6" ht="15.75">
      <c r="B70" s="313" t="s">
        <v>181</v>
      </c>
      <c r="C70" s="479">
        <f>SUM(C59:C68)</f>
        <v>36838</v>
      </c>
      <c r="D70" s="479">
        <f>SUM(D59:D68)</f>
        <v>26945</v>
      </c>
      <c r="E70" s="365">
        <f>SUM(E59:E68)</f>
        <v>43975</v>
      </c>
      <c r="F70"/>
    </row>
    <row r="71" spans="2:6" ht="15.75">
      <c r="B71" s="198" t="s">
        <v>292</v>
      </c>
      <c r="C71" s="484">
        <f>C57-C70</f>
        <v>13090</v>
      </c>
      <c r="D71" s="484">
        <f>D57-D70</f>
        <v>20711</v>
      </c>
      <c r="E71" s="370" t="s">
        <v>160</v>
      </c>
      <c r="F71"/>
    </row>
    <row r="72" spans="2:6" ht="15.75">
      <c r="B72" s="232" t="str">
        <f>CONCATENATE("",E1-2,"/",E1-1," Budget Authority Amount:")</f>
        <v>2010/2011 Budget Authority Amount:</v>
      </c>
      <c r="C72" s="243">
        <f>inputOth!B58</f>
        <v>46620</v>
      </c>
      <c r="D72" s="243">
        <f>inputPrYr!D20</f>
        <v>43900</v>
      </c>
      <c r="E72" s="370" t="s">
        <v>160</v>
      </c>
      <c r="F72" s="318"/>
    </row>
    <row r="73" spans="2:6" ht="15.75">
      <c r="B73" s="232"/>
      <c r="C73" s="738" t="s">
        <v>678</v>
      </c>
      <c r="D73" s="739"/>
      <c r="E73" s="104"/>
      <c r="F73" s="318">
        <f>IF(E70/0.95-E70&lt;E73,"Exceeds 5%","")</f>
      </c>
    </row>
    <row r="74" spans="2:6" ht="15.75">
      <c r="B74" s="489" t="str">
        <f>CONCATENATE(C92,"     ",D92)</f>
        <v>     </v>
      </c>
      <c r="C74" s="740" t="s">
        <v>679</v>
      </c>
      <c r="D74" s="741"/>
      <c r="E74" s="209">
        <f>E70+E73</f>
        <v>43975</v>
      </c>
      <c r="F74"/>
    </row>
    <row r="75" spans="2:6" ht="15.75">
      <c r="B75" s="489" t="str">
        <f>CONCATENATE(C93,"     ",D93)</f>
        <v>     </v>
      </c>
      <c r="C75" s="319"/>
      <c r="D75" s="240" t="s">
        <v>182</v>
      </c>
      <c r="E75" s="111">
        <f>IF(E74-E57&gt;0,E74-E57,0)</f>
        <v>15778</v>
      </c>
      <c r="F75"/>
    </row>
    <row r="76" spans="2:6" ht="15.75">
      <c r="B76" s="240"/>
      <c r="C76" s="474" t="s">
        <v>680</v>
      </c>
      <c r="D76" s="490">
        <f>inputOth!$E$42</f>
        <v>0</v>
      </c>
      <c r="E76" s="209">
        <f>ROUND(IF(E75&gt;0,(E75*D76),0),0)</f>
        <v>0</v>
      </c>
      <c r="F76"/>
    </row>
    <row r="77" spans="2:6" ht="15.75">
      <c r="B77" s="81"/>
      <c r="C77" s="736" t="str">
        <f>CONCATENATE("Amount of  ",E1-1," Ad Valorem Tax")</f>
        <v>Amount of  2011 Ad Valorem Tax</v>
      </c>
      <c r="D77" s="737"/>
      <c r="E77" s="371">
        <f>E75+E76</f>
        <v>15778</v>
      </c>
      <c r="F77"/>
    </row>
    <row r="78" spans="2:6" ht="15.75">
      <c r="B78" s="240" t="s">
        <v>184</v>
      </c>
      <c r="C78" s="372">
        <v>8</v>
      </c>
      <c r="D78" s="135"/>
      <c r="E78" s="81"/>
      <c r="F78"/>
    </row>
    <row r="80" spans="2:6" ht="15.75">
      <c r="B80" s="143"/>
      <c r="C80" s="143"/>
      <c r="D80"/>
      <c r="E80"/>
      <c r="F80"/>
    </row>
    <row r="85" spans="3:4" ht="15.75">
      <c r="C85" s="82" t="s">
        <v>681</v>
      </c>
      <c r="D85" s="82" t="s">
        <v>681</v>
      </c>
    </row>
    <row r="86" spans="3:4" ht="15.75">
      <c r="C86" s="82" t="s">
        <v>681</v>
      </c>
      <c r="D86" s="82" t="s">
        <v>681</v>
      </c>
    </row>
    <row r="88" spans="3:4" ht="15.75">
      <c r="C88" s="82" t="s">
        <v>681</v>
      </c>
      <c r="D88" s="82" t="s">
        <v>681</v>
      </c>
    </row>
    <row r="89" spans="3:4" ht="15.75">
      <c r="C89" s="82" t="s">
        <v>681</v>
      </c>
      <c r="D89" s="82" t="s">
        <v>681</v>
      </c>
    </row>
    <row r="90" spans="3:4" ht="15.75" hidden="1">
      <c r="C90" s="498" t="str">
        <f>IF(C32&gt;C34,"See Tab A","")</f>
        <v>See Tab A</v>
      </c>
      <c r="D90" s="498">
        <f>IF(D32&gt;D34,"See Tab C","")</f>
      </c>
    </row>
    <row r="91" spans="3:4" ht="15.75" hidden="1">
      <c r="C91" s="498">
        <f>IF(C33&lt;0,"See Tab B","")</f>
      </c>
      <c r="D91" s="498">
        <f>IF(D33&lt;0,"See Tab D","")</f>
      </c>
    </row>
    <row r="92" spans="3:4" ht="15.75" hidden="1">
      <c r="C92" s="491">
        <f>IF(C70&gt;C72,"See Tab A","")</f>
      </c>
      <c r="D92" s="491">
        <f>IF(D70&gt;D72,"See Tab C","")</f>
      </c>
    </row>
    <row r="93" spans="3:4" ht="15.75" hidden="1">
      <c r="C93" s="491">
        <f>IF(C71&lt;0,"See Tab B","")</f>
      </c>
      <c r="D93" s="491">
        <f>IF(D71&lt;0,"See Tab D","")</f>
      </c>
    </row>
  </sheetData>
  <sheetProtection/>
  <mergeCells count="7">
    <mergeCell ref="G31:I31"/>
    <mergeCell ref="C77:D77"/>
    <mergeCell ref="C73:D73"/>
    <mergeCell ref="C74:D74"/>
    <mergeCell ref="C35:D35"/>
    <mergeCell ref="C36:D36"/>
    <mergeCell ref="C39:D39"/>
  </mergeCells>
  <conditionalFormatting sqref="C70">
    <cfRule type="cellIs" priority="18" dxfId="0" operator="greaterThan" stopIfTrue="1">
      <formula>$C$72</formula>
    </cfRule>
  </conditionalFormatting>
  <conditionalFormatting sqref="C71">
    <cfRule type="cellIs" priority="17" dxfId="0" operator="lessThan" stopIfTrue="1">
      <formula>0</formula>
    </cfRule>
  </conditionalFormatting>
  <conditionalFormatting sqref="D70">
    <cfRule type="cellIs" priority="16" dxfId="0" operator="greaterThan" stopIfTrue="1">
      <formula>$D$72</formula>
    </cfRule>
  </conditionalFormatting>
  <conditionalFormatting sqref="D71">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8">
    <cfRule type="cellIs" priority="3" dxfId="0" operator="greaterThan" stopIfTrue="1">
      <formula>$C$70*0.1</formula>
    </cfRule>
  </conditionalFormatting>
  <conditionalFormatting sqref="D68">
    <cfRule type="cellIs" priority="2" dxfId="0" operator="greaterThan" stopIfTrue="1">
      <formula>$D$70*0.1</formula>
    </cfRule>
  </conditionalFormatting>
  <conditionalFormatting sqref="E68">
    <cfRule type="cellIs" priority="1" dxfId="0" operator="greaterThan" stopIfTrue="1">
      <formula>$E$70*0.1</formula>
    </cfRule>
  </conditionalFormatting>
  <printOptions/>
  <pageMargins left="0.75" right="0.75" top="1" bottom="1" header="0.5" footer="0.5"/>
  <pageSetup blackAndWhite="1" fitToHeight="1" fitToWidth="1" horizontalDpi="600" verticalDpi="600" orientation="portrait" scale="57"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6" sqref="C66"/>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City of Lewis</v>
      </c>
      <c r="C1" s="81"/>
      <c r="D1" s="81"/>
      <c r="E1" s="181">
        <f>inputPrYr!$C$5</f>
        <v>2012</v>
      </c>
    </row>
    <row r="2" spans="2:5" ht="15.75">
      <c r="B2" s="81"/>
      <c r="C2" s="81"/>
      <c r="D2" s="81"/>
      <c r="E2" s="240"/>
    </row>
    <row r="3" spans="2:5" ht="15.75">
      <c r="B3" s="98" t="s">
        <v>234</v>
      </c>
      <c r="C3" s="356"/>
      <c r="D3" s="356"/>
      <c r="E3" s="357"/>
    </row>
    <row r="4" spans="2:5" ht="15.75">
      <c r="B4" s="86" t="s">
        <v>172</v>
      </c>
      <c r="C4" s="652" t="s">
        <v>190</v>
      </c>
      <c r="D4" s="651" t="s">
        <v>323</v>
      </c>
      <c r="E4" s="651" t="s">
        <v>324</v>
      </c>
    </row>
    <row r="5" spans="2:5" ht="15.75">
      <c r="B5" s="487" t="str">
        <f>(inputPrYr!B28)</f>
        <v>Special Highway</v>
      </c>
      <c r="C5" s="358">
        <f>inputPrYr!$C$5-2</f>
        <v>2010</v>
      </c>
      <c r="D5" s="358">
        <f>inputPrYr!$C$5-1</f>
        <v>2011</v>
      </c>
      <c r="E5" s="251">
        <f>inputPrYr!$C$5</f>
        <v>2012</v>
      </c>
    </row>
    <row r="6" spans="2:5" ht="15.75">
      <c r="B6" s="198" t="s">
        <v>291</v>
      </c>
      <c r="C6" s="104">
        <v>0</v>
      </c>
      <c r="D6" s="209">
        <f>C25</f>
        <v>0</v>
      </c>
      <c r="E6" s="209">
        <f>D25</f>
        <v>0</v>
      </c>
    </row>
    <row r="7" spans="2:5" ht="15.75">
      <c r="B7" s="302" t="s">
        <v>293</v>
      </c>
      <c r="C7" s="209"/>
      <c r="D7" s="209"/>
      <c r="E7" s="209"/>
    </row>
    <row r="8" spans="2:5" ht="15.75">
      <c r="B8" s="368" t="s">
        <v>186</v>
      </c>
      <c r="C8" s="104">
        <v>14260</v>
      </c>
      <c r="D8" s="209">
        <f>inputOth!E48</f>
        <v>11870</v>
      </c>
      <c r="E8" s="209">
        <f>inputOth!E46</f>
        <v>12090</v>
      </c>
    </row>
    <row r="9" spans="2:5" ht="15.75">
      <c r="B9" s="368" t="s">
        <v>340</v>
      </c>
      <c r="C9" s="104"/>
      <c r="D9" s="209">
        <f>inputOth!E49</f>
        <v>0</v>
      </c>
      <c r="E9" s="209">
        <f>inputOth!E47</f>
        <v>0</v>
      </c>
    </row>
    <row r="10" spans="2:5" ht="15.75">
      <c r="B10" s="316"/>
      <c r="C10" s="104"/>
      <c r="D10" s="104"/>
      <c r="E10" s="104"/>
    </row>
    <row r="11" spans="2:5" ht="15.75">
      <c r="B11" s="316"/>
      <c r="C11" s="104"/>
      <c r="D11" s="104"/>
      <c r="E11" s="104"/>
    </row>
    <row r="12" spans="2:5" ht="15.75">
      <c r="B12" s="362" t="s">
        <v>177</v>
      </c>
      <c r="C12" s="104"/>
      <c r="D12" s="104"/>
      <c r="E12" s="104"/>
    </row>
    <row r="13" spans="2:5" ht="15.75">
      <c r="B13" s="366" t="s">
        <v>269</v>
      </c>
      <c r="C13" s="104"/>
      <c r="D13" s="104"/>
      <c r="E13" s="104"/>
    </row>
    <row r="14" spans="2:5" ht="15.75">
      <c r="B14" s="366" t="s">
        <v>676</v>
      </c>
      <c r="C14" s="488">
        <f>IF(C15*0.1&lt;C13,"Exceed 10% Rule","")</f>
      </c>
      <c r="D14" s="363">
        <f>IF(D15*0.1&lt;D13,"Exceed 10% Rule","")</f>
      </c>
      <c r="E14" s="363">
        <f>IF(E15*0.1&lt;E13,"Exceed 10% Rule","")</f>
      </c>
    </row>
    <row r="15" spans="2:5" ht="15.75">
      <c r="B15" s="313" t="s">
        <v>178</v>
      </c>
      <c r="C15" s="365">
        <f>SUM(C8:C13)</f>
        <v>14260</v>
      </c>
      <c r="D15" s="365">
        <f>SUM(D8:D13)</f>
        <v>11870</v>
      </c>
      <c r="E15" s="365">
        <f>SUM(E8:E13)</f>
        <v>12090</v>
      </c>
    </row>
    <row r="16" spans="2:5" ht="15.75">
      <c r="B16" s="313" t="s">
        <v>179</v>
      </c>
      <c r="C16" s="365">
        <f>C6+C15</f>
        <v>14260</v>
      </c>
      <c r="D16" s="365">
        <f>D6+D15</f>
        <v>11870</v>
      </c>
      <c r="E16" s="365">
        <f>E6+E15</f>
        <v>12090</v>
      </c>
    </row>
    <row r="17" spans="2:5" ht="15.75">
      <c r="B17" s="198" t="s">
        <v>180</v>
      </c>
      <c r="C17" s="209"/>
      <c r="D17" s="209"/>
      <c r="E17" s="209"/>
    </row>
    <row r="18" spans="2:5" ht="15.75">
      <c r="B18" s="316" t="s">
        <v>187</v>
      </c>
      <c r="C18" s="104">
        <v>14260</v>
      </c>
      <c r="D18" s="104">
        <v>11870</v>
      </c>
      <c r="E18" s="104">
        <v>12090</v>
      </c>
    </row>
    <row r="19" spans="2:5" ht="15.75">
      <c r="B19" s="433"/>
      <c r="C19" s="104"/>
      <c r="D19" s="104"/>
      <c r="E19" s="104"/>
    </row>
    <row r="20" spans="2:5" ht="15.75">
      <c r="B20" s="316"/>
      <c r="C20" s="104"/>
      <c r="D20" s="104"/>
      <c r="E20" s="104"/>
    </row>
    <row r="21" spans="2:5" ht="15.75">
      <c r="B21" s="316"/>
      <c r="C21" s="104"/>
      <c r="D21" s="104"/>
      <c r="E21" s="104"/>
    </row>
    <row r="22" spans="2:5" ht="15.75">
      <c r="B22" s="211" t="s">
        <v>269</v>
      </c>
      <c r="C22" s="104"/>
      <c r="D22" s="104"/>
      <c r="E22" s="104"/>
    </row>
    <row r="23" spans="2:5" ht="15.75">
      <c r="B23" s="103" t="s">
        <v>675</v>
      </c>
      <c r="C23" s="488">
        <f>IF(C24*0.1&lt;C22,"Exceed 10% Rule","")</f>
      </c>
      <c r="D23" s="363">
        <f>IF(D24*0.1&lt;D22,"Exceed 10% Rule","")</f>
      </c>
      <c r="E23" s="363">
        <f>IF(E24*0.1&lt;E22,"Exceed 10% Rule","")</f>
      </c>
    </row>
    <row r="24" spans="2:5" ht="15.75">
      <c r="B24" s="313" t="s">
        <v>181</v>
      </c>
      <c r="C24" s="365">
        <f>SUM(C18:C22)</f>
        <v>14260</v>
      </c>
      <c r="D24" s="365">
        <f>SUM(D18:D22)</f>
        <v>11870</v>
      </c>
      <c r="E24" s="365">
        <f>SUM(E18:E22)</f>
        <v>12090</v>
      </c>
    </row>
    <row r="25" spans="2:5" ht="15.75">
      <c r="B25" s="198" t="s">
        <v>292</v>
      </c>
      <c r="C25" s="111">
        <f>C16-C24</f>
        <v>0</v>
      </c>
      <c r="D25" s="111">
        <f>D16-D24</f>
        <v>0</v>
      </c>
      <c r="E25" s="111">
        <f>E16-E24</f>
        <v>0</v>
      </c>
    </row>
    <row r="26" spans="2:5" ht="15.75">
      <c r="B26" s="232" t="str">
        <f>CONCATENATE("",E1-2,"/",E1-1," Budget Authority Amount:")</f>
        <v>2010/2011 Budget Authority Amount:</v>
      </c>
      <c r="C26" s="243">
        <f>inputOth!B63</f>
        <v>12960</v>
      </c>
      <c r="D26" s="243">
        <f>inputPrYr!D28</f>
        <v>12240</v>
      </c>
      <c r="E26" s="496">
        <f>IF(E25&lt;0,"See Tab E","")</f>
      </c>
    </row>
    <row r="27" spans="2:5" ht="15.75">
      <c r="B27" s="232"/>
      <c r="C27" s="319" t="str">
        <f>IF(C24&gt;C26,"See Tab A","")</f>
        <v>See Tab A</v>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172</v>
      </c>
      <c r="C30" s="652" t="s">
        <v>190</v>
      </c>
      <c r="D30" s="651" t="s">
        <v>323</v>
      </c>
      <c r="E30" s="651" t="s">
        <v>324</v>
      </c>
    </row>
    <row r="31" spans="2:5" ht="15.75">
      <c r="B31" s="486" t="str">
        <f>(inputPrYr!B29)</f>
        <v>Utility</v>
      </c>
      <c r="C31" s="358">
        <f>inputPrYr!$C$5-2</f>
        <v>2010</v>
      </c>
      <c r="D31" s="358">
        <f>inputPrYr!$C$5-1</f>
        <v>2011</v>
      </c>
      <c r="E31" s="251">
        <f>inputPrYr!$C$5</f>
        <v>2012</v>
      </c>
    </row>
    <row r="32" spans="2:5" ht="15.75">
      <c r="B32" s="198" t="s">
        <v>291</v>
      </c>
      <c r="C32" s="104">
        <v>6943</v>
      </c>
      <c r="D32" s="209">
        <f>C61</f>
        <v>13732</v>
      </c>
      <c r="E32" s="209">
        <f>D61</f>
        <v>42797</v>
      </c>
    </row>
    <row r="33" spans="2:5" ht="15.75">
      <c r="B33" s="198" t="s">
        <v>293</v>
      </c>
      <c r="C33" s="209"/>
      <c r="D33" s="209"/>
      <c r="E33" s="209"/>
    </row>
    <row r="34" spans="2:5" ht="15.75">
      <c r="B34" s="316"/>
      <c r="C34" s="104"/>
      <c r="D34" s="104"/>
      <c r="E34" s="104"/>
    </row>
    <row r="35" spans="2:5" ht="15.75">
      <c r="B35" s="316" t="s">
        <v>188</v>
      </c>
      <c r="C35" s="104">
        <v>138999</v>
      </c>
      <c r="D35" s="104">
        <v>138000</v>
      </c>
      <c r="E35" s="104">
        <v>138000</v>
      </c>
    </row>
    <row r="36" spans="2:5" ht="15.75">
      <c r="B36" s="316" t="s">
        <v>905</v>
      </c>
      <c r="C36" s="104">
        <v>744</v>
      </c>
      <c r="D36" s="104">
        <v>1000</v>
      </c>
      <c r="E36" s="104">
        <v>1000</v>
      </c>
    </row>
    <row r="37" spans="2:5" ht="15.75">
      <c r="B37" s="316" t="s">
        <v>906</v>
      </c>
      <c r="C37" s="104">
        <v>70</v>
      </c>
      <c r="D37" s="104">
        <v>50</v>
      </c>
      <c r="E37" s="104">
        <v>50</v>
      </c>
    </row>
    <row r="38" spans="2:5" ht="15.75">
      <c r="B38" s="316" t="s">
        <v>920</v>
      </c>
      <c r="C38" s="104"/>
      <c r="D38" s="104">
        <v>40000</v>
      </c>
      <c r="E38" s="104">
        <v>40000</v>
      </c>
    </row>
    <row r="39" spans="2:5" ht="15.75">
      <c r="B39" s="316"/>
      <c r="C39" s="104"/>
      <c r="D39" s="104"/>
      <c r="E39" s="104"/>
    </row>
    <row r="40" spans="2:5" ht="15.75">
      <c r="B40" s="362" t="s">
        <v>177</v>
      </c>
      <c r="C40" s="104">
        <v>249</v>
      </c>
      <c r="D40" s="104">
        <v>200</v>
      </c>
      <c r="E40" s="104">
        <v>200</v>
      </c>
    </row>
    <row r="41" spans="2:5" ht="15.75">
      <c r="B41" s="366" t="s">
        <v>269</v>
      </c>
      <c r="C41" s="104"/>
      <c r="D41" s="104"/>
      <c r="E41" s="104"/>
    </row>
    <row r="42" spans="2:5" ht="15.75">
      <c r="B42" s="366" t="s">
        <v>59</v>
      </c>
      <c r="C42" s="488">
        <f>IF(C43*0.1&lt;C41,"Exceed 10% Rule","")</f>
      </c>
      <c r="D42" s="363">
        <f>IF(D43*0.1&lt;D41,"Exceed 10% Rule","")</f>
      </c>
      <c r="E42" s="363">
        <f>IF(E43*0.1&lt;E41,"Exceed 10% Rule","")</f>
      </c>
    </row>
    <row r="43" spans="2:5" ht="15.75">
      <c r="B43" s="313" t="s">
        <v>178</v>
      </c>
      <c r="C43" s="365">
        <f>SUM(C34:C41)</f>
        <v>140062</v>
      </c>
      <c r="D43" s="365">
        <f>SUM(D34:D41)</f>
        <v>179250</v>
      </c>
      <c r="E43" s="365">
        <f>SUM(E34:E41)</f>
        <v>179250</v>
      </c>
    </row>
    <row r="44" spans="2:5" ht="15.75">
      <c r="B44" s="313" t="s">
        <v>179</v>
      </c>
      <c r="C44" s="365">
        <f>C32+C43</f>
        <v>147005</v>
      </c>
      <c r="D44" s="365">
        <f>D32+D43</f>
        <v>192982</v>
      </c>
      <c r="E44" s="365">
        <f>E32+E43</f>
        <v>222047</v>
      </c>
    </row>
    <row r="45" spans="2:5" ht="15.75">
      <c r="B45" s="198" t="s">
        <v>180</v>
      </c>
      <c r="C45" s="209"/>
      <c r="D45" s="209"/>
      <c r="E45" s="209"/>
    </row>
    <row r="46" spans="2:5" ht="15.75">
      <c r="B46" s="316" t="s">
        <v>914</v>
      </c>
      <c r="C46" s="104">
        <v>51852</v>
      </c>
      <c r="D46" s="104">
        <v>52100</v>
      </c>
      <c r="E46" s="104">
        <v>52100</v>
      </c>
    </row>
    <row r="47" spans="2:5" ht="15.75">
      <c r="B47" s="692" t="s">
        <v>901</v>
      </c>
      <c r="C47" s="104">
        <v>14960</v>
      </c>
      <c r="D47" s="104">
        <v>15230</v>
      </c>
      <c r="E47" s="104">
        <v>16535</v>
      </c>
    </row>
    <row r="48" spans="2:5" ht="15.75">
      <c r="B48" s="692" t="s">
        <v>915</v>
      </c>
      <c r="C48" s="104">
        <v>30161</v>
      </c>
      <c r="D48" s="104">
        <v>30525</v>
      </c>
      <c r="E48" s="104">
        <v>32150</v>
      </c>
    </row>
    <row r="49" spans="2:5" ht="15.75">
      <c r="B49" s="692" t="s">
        <v>916</v>
      </c>
      <c r="C49" s="104"/>
      <c r="D49" s="104">
        <v>16000</v>
      </c>
      <c r="E49" s="104">
        <v>66000</v>
      </c>
    </row>
    <row r="50" spans="2:5" ht="15.75">
      <c r="B50" s="692" t="s">
        <v>917</v>
      </c>
      <c r="C50" s="104">
        <v>511</v>
      </c>
      <c r="D50" s="104">
        <v>530</v>
      </c>
      <c r="E50" s="104">
        <v>550</v>
      </c>
    </row>
    <row r="51" spans="2:5" ht="15.75">
      <c r="B51" s="692" t="s">
        <v>918</v>
      </c>
      <c r="C51" s="104">
        <v>1390</v>
      </c>
      <c r="D51" s="104">
        <v>1405</v>
      </c>
      <c r="E51" s="104">
        <v>1500</v>
      </c>
    </row>
    <row r="52" spans="2:5" ht="15.75">
      <c r="B52" s="692" t="s">
        <v>919</v>
      </c>
      <c r="C52" s="104">
        <v>382</v>
      </c>
      <c r="D52" s="104">
        <v>380</v>
      </c>
      <c r="E52" s="104">
        <v>400</v>
      </c>
    </row>
    <row r="53" spans="2:5" ht="15.75">
      <c r="B53" s="692"/>
      <c r="C53" s="104"/>
      <c r="D53" s="104"/>
      <c r="E53" s="104"/>
    </row>
    <row r="54" spans="2:5" ht="15.75">
      <c r="B54" s="692" t="s">
        <v>920</v>
      </c>
      <c r="C54" s="104">
        <v>33984</v>
      </c>
      <c r="D54" s="104">
        <v>34015</v>
      </c>
      <c r="E54" s="104">
        <v>52812</v>
      </c>
    </row>
    <row r="55" spans="2:5" ht="15.75">
      <c r="B55" s="692"/>
      <c r="C55" s="104"/>
      <c r="D55" s="104"/>
      <c r="E55" s="104"/>
    </row>
    <row r="56" spans="2:5" ht="15.75">
      <c r="B56" s="692"/>
      <c r="C56" s="104"/>
      <c r="D56" s="104"/>
      <c r="E56" s="104"/>
    </row>
    <row r="57" spans="2:5" ht="15.75">
      <c r="B57" s="434"/>
      <c r="C57" s="104"/>
      <c r="D57" s="104"/>
      <c r="E57" s="104"/>
    </row>
    <row r="58" spans="2:5" ht="15.75">
      <c r="B58" s="211" t="s">
        <v>269</v>
      </c>
      <c r="C58" s="104">
        <v>33</v>
      </c>
      <c r="D58" s="104"/>
      <c r="E58" s="104"/>
    </row>
    <row r="59" spans="2:5" ht="15.75">
      <c r="B59" s="211" t="s">
        <v>60</v>
      </c>
      <c r="C59" s="488">
        <f>IF(C60*0.1&lt;C58,"Exceed 10% Rule","")</f>
      </c>
      <c r="D59" s="363">
        <f>IF(D60*0.1&lt;D58,"Exceed 10% Rule","")</f>
      </c>
      <c r="E59" s="363">
        <f>IF(E60*0.1&lt;E58,"Exceed 10% Rule","")</f>
      </c>
    </row>
    <row r="60" spans="2:5" ht="15.75">
      <c r="B60" s="313" t="s">
        <v>181</v>
      </c>
      <c r="C60" s="365">
        <f>SUM(C46:C58)</f>
        <v>133273</v>
      </c>
      <c r="D60" s="365">
        <f>SUM(D46:D58)</f>
        <v>150185</v>
      </c>
      <c r="E60" s="365">
        <f>SUM(E46:E58)</f>
        <v>222047</v>
      </c>
    </row>
    <row r="61" spans="2:5" ht="15.75">
      <c r="B61" s="198" t="s">
        <v>292</v>
      </c>
      <c r="C61" s="111">
        <f>C44-C60</f>
        <v>13732</v>
      </c>
      <c r="D61" s="111">
        <f>D44-D60</f>
        <v>42797</v>
      </c>
      <c r="E61" s="111">
        <f>E44-E60</f>
        <v>0</v>
      </c>
    </row>
    <row r="62" spans="2:5" ht="15.75">
      <c r="B62" s="232" t="str">
        <f>CONCATENATE("",E1-2,"/",E1-1," Budget Authority Amount:")</f>
        <v>2010/2011 Budget Authority Amount:</v>
      </c>
      <c r="C62" s="243">
        <f>inputOth!B64</f>
        <v>166700</v>
      </c>
      <c r="D62" s="243">
        <f>inputPrYr!D29</f>
        <v>200700</v>
      </c>
      <c r="E62" s="496">
        <f>IF(E61&lt;0,"See Tab E","")</f>
      </c>
    </row>
    <row r="63" spans="2:5" ht="15.75">
      <c r="B63" s="232"/>
      <c r="C63" s="319">
        <f>IF(C60&gt;C62,"See Tab A","")</f>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184</v>
      </c>
      <c r="C66" s="322">
        <v>9</v>
      </c>
      <c r="D66" s="81"/>
      <c r="E66" s="81"/>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110" zoomScaleNormal="110" zoomScalePageLayoutView="0" workbookViewId="0" topLeftCell="A10">
      <selection activeCell="F33" sqref="F33"/>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City of Lewis</v>
      </c>
      <c r="B1" s="239"/>
      <c r="C1" s="146"/>
      <c r="D1" s="146"/>
      <c r="E1" s="146"/>
      <c r="F1" s="323" t="s">
        <v>35</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48" t="str">
        <f>inputPrYr!B38</f>
        <v>Equip Res</v>
      </c>
      <c r="B5" s="749"/>
      <c r="C5" s="748" t="str">
        <f>inputPrYr!B39</f>
        <v>Cap Improv</v>
      </c>
      <c r="D5" s="749"/>
      <c r="E5" s="748" t="str">
        <f>inputPrYr!B40</f>
        <v>Fires Res</v>
      </c>
      <c r="F5" s="749"/>
      <c r="G5" s="748" t="str">
        <f>inputPrYr!B41</f>
        <v>Water Deposits</v>
      </c>
      <c r="H5" s="749"/>
      <c r="I5" s="748" t="str">
        <f>inputPrYr!B42</f>
        <v>EMT Res</v>
      </c>
      <c r="J5" s="749"/>
      <c r="K5" s="168"/>
    </row>
    <row r="6" spans="1:11" ht="15.75">
      <c r="A6" s="326" t="s">
        <v>32</v>
      </c>
      <c r="B6" s="327"/>
      <c r="C6" s="328" t="s">
        <v>32</v>
      </c>
      <c r="D6" s="329"/>
      <c r="E6" s="328" t="s">
        <v>32</v>
      </c>
      <c r="F6" s="330"/>
      <c r="G6" s="328" t="s">
        <v>32</v>
      </c>
      <c r="H6" s="325"/>
      <c r="I6" s="328" t="s">
        <v>32</v>
      </c>
      <c r="J6" s="146"/>
      <c r="K6" s="331" t="s">
        <v>142</v>
      </c>
    </row>
    <row r="7" spans="1:11" ht="15.75">
      <c r="A7" s="332" t="s">
        <v>81</v>
      </c>
      <c r="B7" s="333">
        <v>26665</v>
      </c>
      <c r="C7" s="334" t="s">
        <v>81</v>
      </c>
      <c r="D7" s="333">
        <v>105332</v>
      </c>
      <c r="E7" s="334" t="s">
        <v>81</v>
      </c>
      <c r="F7" s="333">
        <v>13500</v>
      </c>
      <c r="G7" s="334" t="s">
        <v>81</v>
      </c>
      <c r="H7" s="333">
        <v>3004</v>
      </c>
      <c r="I7" s="334" t="s">
        <v>81</v>
      </c>
      <c r="J7" s="333">
        <v>7546</v>
      </c>
      <c r="K7" s="335">
        <f>SUM(B7+D7+F7+H7+J7)</f>
        <v>156047</v>
      </c>
    </row>
    <row r="8" spans="1:11" ht="15.75">
      <c r="A8" s="336" t="s">
        <v>293</v>
      </c>
      <c r="B8" s="337"/>
      <c r="C8" s="336" t="s">
        <v>293</v>
      </c>
      <c r="D8" s="338"/>
      <c r="E8" s="336" t="s">
        <v>293</v>
      </c>
      <c r="F8" s="239"/>
      <c r="G8" s="336" t="s">
        <v>293</v>
      </c>
      <c r="H8" s="146"/>
      <c r="I8" s="336" t="s">
        <v>293</v>
      </c>
      <c r="J8" s="146"/>
      <c r="K8" s="239"/>
    </row>
    <row r="9" spans="1:11" ht="15.75">
      <c r="A9" s="339"/>
      <c r="B9" s="333"/>
      <c r="C9" s="339"/>
      <c r="D9" s="333"/>
      <c r="E9" s="339"/>
      <c r="F9" s="333"/>
      <c r="G9" s="339"/>
      <c r="H9" s="333"/>
      <c r="I9" s="339"/>
      <c r="J9" s="333"/>
      <c r="K9" s="239"/>
    </row>
    <row r="10" spans="1:11" ht="15.75">
      <c r="A10" s="339" t="s">
        <v>219</v>
      </c>
      <c r="B10" s="333">
        <v>10</v>
      </c>
      <c r="C10" s="339" t="s">
        <v>219</v>
      </c>
      <c r="D10" s="333">
        <v>308</v>
      </c>
      <c r="E10" s="339" t="s">
        <v>219</v>
      </c>
      <c r="F10" s="333">
        <v>5</v>
      </c>
      <c r="G10" s="339" t="s">
        <v>922</v>
      </c>
      <c r="H10" s="333">
        <v>1100</v>
      </c>
      <c r="I10" s="339" t="s">
        <v>926</v>
      </c>
      <c r="J10" s="333">
        <v>100</v>
      </c>
      <c r="K10" s="239"/>
    </row>
    <row r="11" spans="1:11" ht="15.75">
      <c r="A11" s="339" t="s">
        <v>924</v>
      </c>
      <c r="B11" s="333">
        <v>20000</v>
      </c>
      <c r="C11" s="340" t="s">
        <v>924</v>
      </c>
      <c r="D11" s="341">
        <v>40000</v>
      </c>
      <c r="E11" s="340" t="s">
        <v>924</v>
      </c>
      <c r="F11" s="333">
        <v>20000</v>
      </c>
      <c r="G11" s="340"/>
      <c r="H11" s="333"/>
      <c r="I11" s="342" t="s">
        <v>219</v>
      </c>
      <c r="J11" s="333">
        <v>70</v>
      </c>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178</v>
      </c>
      <c r="B17" s="335">
        <f>SUM(B9:B16)</f>
        <v>20010</v>
      </c>
      <c r="C17" s="336" t="s">
        <v>178</v>
      </c>
      <c r="D17" s="335">
        <f>SUM(D9:D16)</f>
        <v>40308</v>
      </c>
      <c r="E17" s="336" t="s">
        <v>178</v>
      </c>
      <c r="F17" s="349">
        <f>SUM(F9:F16)</f>
        <v>20005</v>
      </c>
      <c r="G17" s="336" t="s">
        <v>178</v>
      </c>
      <c r="H17" s="335">
        <f>SUM(H9:H16)</f>
        <v>1100</v>
      </c>
      <c r="I17" s="336" t="s">
        <v>178</v>
      </c>
      <c r="J17" s="335">
        <f>SUM(J9:J16)</f>
        <v>170</v>
      </c>
      <c r="K17" s="335">
        <f>SUM(B17+D17+F17+H17+J17)</f>
        <v>81593</v>
      </c>
    </row>
    <row r="18" spans="1:11" ht="15.75">
      <c r="A18" s="336" t="s">
        <v>179</v>
      </c>
      <c r="B18" s="335">
        <f>SUM(B7+B17)</f>
        <v>46675</v>
      </c>
      <c r="C18" s="336" t="s">
        <v>179</v>
      </c>
      <c r="D18" s="335">
        <f>SUM(D7+D17)</f>
        <v>145640</v>
      </c>
      <c r="E18" s="336" t="s">
        <v>179</v>
      </c>
      <c r="F18" s="335">
        <f>SUM(F7+F17)</f>
        <v>33505</v>
      </c>
      <c r="G18" s="336" t="s">
        <v>179</v>
      </c>
      <c r="H18" s="335">
        <f>SUM(H7+H17)</f>
        <v>4104</v>
      </c>
      <c r="I18" s="336" t="s">
        <v>179</v>
      </c>
      <c r="J18" s="335">
        <f>SUM(J7+J17)</f>
        <v>7716</v>
      </c>
      <c r="K18" s="335">
        <f>SUM(B18+D18+F18+H18+J18)</f>
        <v>237640</v>
      </c>
    </row>
    <row r="19" spans="1:11" ht="15.75">
      <c r="A19" s="336" t="s">
        <v>180</v>
      </c>
      <c r="B19" s="337"/>
      <c r="C19" s="336" t="s">
        <v>180</v>
      </c>
      <c r="D19" s="338"/>
      <c r="E19" s="336" t="s">
        <v>180</v>
      </c>
      <c r="F19" s="239"/>
      <c r="G19" s="336" t="s">
        <v>180</v>
      </c>
      <c r="H19" s="146"/>
      <c r="I19" s="336" t="s">
        <v>180</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t="s">
        <v>923</v>
      </c>
      <c r="H21" s="333">
        <v>118</v>
      </c>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181</v>
      </c>
      <c r="B28" s="335">
        <f>SUM(B20:B27)</f>
        <v>0</v>
      </c>
      <c r="C28" s="336" t="s">
        <v>181</v>
      </c>
      <c r="D28" s="335">
        <f>SUM(D20:D27)</f>
        <v>0</v>
      </c>
      <c r="E28" s="336" t="s">
        <v>181</v>
      </c>
      <c r="F28" s="349">
        <f>SUM(F20:F27)</f>
        <v>0</v>
      </c>
      <c r="G28" s="336" t="s">
        <v>181</v>
      </c>
      <c r="H28" s="349">
        <f>SUM(H20:H27)</f>
        <v>118</v>
      </c>
      <c r="I28" s="336" t="s">
        <v>181</v>
      </c>
      <c r="J28" s="335">
        <f>SUM(J20:J27)</f>
        <v>0</v>
      </c>
      <c r="K28" s="335">
        <f>SUM(B28+D28+F28+H28+J28)</f>
        <v>118</v>
      </c>
    </row>
    <row r="29" spans="1:12" ht="15.75">
      <c r="A29" s="336" t="s">
        <v>33</v>
      </c>
      <c r="B29" s="335">
        <f>SUM(B18-B28)</f>
        <v>46675</v>
      </c>
      <c r="C29" s="336" t="s">
        <v>33</v>
      </c>
      <c r="D29" s="335">
        <f>SUM(D18-D28)</f>
        <v>145640</v>
      </c>
      <c r="E29" s="336" t="s">
        <v>33</v>
      </c>
      <c r="F29" s="335">
        <f>SUM(F18-F28)</f>
        <v>33505</v>
      </c>
      <c r="G29" s="336" t="s">
        <v>33</v>
      </c>
      <c r="H29" s="335">
        <f>SUM(H18-H28)</f>
        <v>3986</v>
      </c>
      <c r="I29" s="336" t="s">
        <v>33</v>
      </c>
      <c r="J29" s="335">
        <f>SUM(J18-J28)</f>
        <v>7716</v>
      </c>
      <c r="K29" s="350">
        <f>SUM(B29+D29+F29+H29+J29)</f>
        <v>237522</v>
      </c>
      <c r="L29" s="67" t="s">
        <v>38</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237522</v>
      </c>
      <c r="L30" s="67" t="s">
        <v>38</v>
      </c>
    </row>
    <row r="31" spans="1:11" ht="15.75">
      <c r="A31" s="146"/>
      <c r="B31" s="352"/>
      <c r="C31" s="146"/>
      <c r="D31" s="239"/>
      <c r="E31" s="146"/>
      <c r="F31" s="146"/>
      <c r="G31" s="78" t="s">
        <v>39</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184</v>
      </c>
      <c r="F33" s="322">
        <v>10</v>
      </c>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21" sqref="A21:H25"/>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53" t="s">
        <v>231</v>
      </c>
      <c r="B2" s="753"/>
      <c r="C2" s="753"/>
      <c r="D2" s="753"/>
      <c r="E2" s="753"/>
      <c r="F2" s="753"/>
      <c r="G2" s="753"/>
      <c r="H2" s="753"/>
    </row>
    <row r="3" spans="1:8" ht="15.75">
      <c r="A3" s="7"/>
      <c r="B3" s="7"/>
      <c r="C3" s="7"/>
      <c r="D3" s="7"/>
      <c r="E3" s="7"/>
      <c r="F3" s="7"/>
      <c r="G3" s="7"/>
      <c r="H3" s="7"/>
    </row>
    <row r="4" spans="1:8" ht="15.75">
      <c r="A4" s="752" t="s">
        <v>189</v>
      </c>
      <c r="B4" s="752"/>
      <c r="C4" s="752"/>
      <c r="D4" s="752"/>
      <c r="E4" s="752"/>
      <c r="F4" s="752"/>
      <c r="G4" s="752"/>
      <c r="H4" s="752"/>
    </row>
    <row r="5" spans="1:8" ht="15.75">
      <c r="A5" s="754" t="str">
        <f>inputPrYr!D2</f>
        <v>City of Lewis</v>
      </c>
      <c r="B5" s="754"/>
      <c r="C5" s="754"/>
      <c r="D5" s="754"/>
      <c r="E5" s="754"/>
      <c r="F5" s="754"/>
      <c r="G5" s="754"/>
      <c r="H5" s="754"/>
    </row>
    <row r="6" spans="1:8" ht="15.75">
      <c r="A6" s="752" t="str">
        <f>CONCATENATE("will meet on ",inputBudSum!B6," at ",inputBudSum!B8," at ",inputBudSum!B10," for the purpose of hearing and")</f>
        <v>will meet on August 8, 2011 at 7 p.m. at City Hall for the purpose of hearing and</v>
      </c>
      <c r="B6" s="752"/>
      <c r="C6" s="752"/>
      <c r="D6" s="752"/>
      <c r="E6" s="752"/>
      <c r="F6" s="752"/>
      <c r="G6" s="752"/>
      <c r="H6" s="752"/>
    </row>
    <row r="7" spans="1:8" ht="15.75">
      <c r="A7" s="752" t="s">
        <v>653</v>
      </c>
      <c r="B7" s="752"/>
      <c r="C7" s="752"/>
      <c r="D7" s="752"/>
      <c r="E7" s="752"/>
      <c r="F7" s="752"/>
      <c r="G7" s="752"/>
      <c r="H7" s="752"/>
    </row>
    <row r="8" spans="1:8" ht="15.75">
      <c r="A8" s="752" t="str">
        <f>CONCATENATE("Detailed budget information is available at ",inputBudSum!B13," and will be available at this hearing.")</f>
        <v>Detailed budget information is available at City Clerk's Office and will be available at this hearing.</v>
      </c>
      <c r="B8" s="752"/>
      <c r="C8" s="752"/>
      <c r="D8" s="752"/>
      <c r="E8" s="752"/>
      <c r="F8" s="752"/>
      <c r="G8" s="752"/>
      <c r="H8" s="752"/>
    </row>
    <row r="9" spans="1:8" ht="15.75">
      <c r="A9" s="21" t="s">
        <v>232</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300</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185</v>
      </c>
      <c r="D14" s="14"/>
      <c r="E14" s="14" t="s">
        <v>185</v>
      </c>
      <c r="F14" s="14" t="s">
        <v>56</v>
      </c>
      <c r="G14" s="34" t="str">
        <f>CONCATENATE("Amount of ",H1-1,"")</f>
        <v>Amount of 2011</v>
      </c>
      <c r="H14" s="14" t="s">
        <v>7</v>
      </c>
    </row>
    <row r="15" spans="1:8" ht="17.25" customHeight="1">
      <c r="A15" s="26" t="s">
        <v>191</v>
      </c>
      <c r="B15" s="15" t="s">
        <v>154</v>
      </c>
      <c r="C15" s="15" t="s">
        <v>192</v>
      </c>
      <c r="D15" s="15" t="s">
        <v>5</v>
      </c>
      <c r="E15" s="15" t="s">
        <v>192</v>
      </c>
      <c r="F15" s="15" t="s">
        <v>683</v>
      </c>
      <c r="G15" s="20" t="s">
        <v>173</v>
      </c>
      <c r="H15" s="15" t="s">
        <v>192</v>
      </c>
    </row>
    <row r="16" spans="1:8" ht="15.75">
      <c r="A16" s="5" t="s">
        <v>138</v>
      </c>
      <c r="B16" s="35">
        <f>IF((general!$C$61)&lt;&gt;0,general!$C$61,"  ")</f>
        <v>201870</v>
      </c>
      <c r="C16" s="45">
        <f>IF(inputPrYr!D47&gt;0,inputPrYr!D47,"  ")</f>
        <v>53.279</v>
      </c>
      <c r="D16" s="35">
        <f>IF((general!$D$61)&lt;&gt;0,general!$D$61,"  ")</f>
        <v>174610</v>
      </c>
      <c r="E16" s="45">
        <f>IF(inputOth!D21&gt;0,inputOth!D21,"  ")</f>
        <v>31.283</v>
      </c>
      <c r="F16" s="35">
        <f>IF((general!$E$61)&lt;&gt;0,general!$E$61,"  ")</f>
        <v>181654</v>
      </c>
      <c r="G16" s="35">
        <f>IF((general!$E$68)&lt;&gt;0,(general!$E$68),"  ")</f>
        <v>65249</v>
      </c>
      <c r="H16" s="45">
        <f>IF((general!E68&gt;0),ROUND(G16/$F$26*1000,3),"  ")</f>
        <v>38.747</v>
      </c>
    </row>
    <row r="17" spans="1:8" ht="15.75">
      <c r="A17" s="5" t="s">
        <v>114</v>
      </c>
      <c r="B17" s="35">
        <f>IF(('DebtSvs-Employee'!$C$32)&lt;&gt;0,('DebtSvs-Employee'!$C$32),"  ")</f>
        <v>500795</v>
      </c>
      <c r="C17" s="45" t="str">
        <f>IF(inputPrYr!D48&gt;0,inputPrYr!D48,"  ")</f>
        <v>  </v>
      </c>
      <c r="D17" s="35">
        <f>IF(('DebtSvs-Employee'!$D$32)&lt;&gt;0,('DebtSvs-Employee'!$D$32),"  ")</f>
        <v>36691</v>
      </c>
      <c r="E17" s="45">
        <f>IF(inputOth!D22&gt;0,inputOth!D22,"  ")</f>
        <v>21.801</v>
      </c>
      <c r="F17" s="35">
        <f>IF(('DebtSvs-Employee'!$E$32)&lt;&gt;0,('DebtSvs-Employee'!$E$32),"  ")</f>
        <v>39515</v>
      </c>
      <c r="G17" s="35">
        <f>IF(('DebtSvs-Employee'!$E$39)&lt;&gt;0,('DebtSvs-Employee'!$E$39),"  ")</f>
        <v>23877</v>
      </c>
      <c r="H17" s="45">
        <f>IF(('DebtSvs-Employee'!E39&gt;0),ROUND(G17/$F$26*1000,3),"  ")</f>
        <v>14.179</v>
      </c>
    </row>
    <row r="18" spans="1:8" ht="15.75">
      <c r="A18" s="6" t="str">
        <f>IF((inputPrYr!$B20&gt;"  "),(inputPrYr!$B20),"  ")</f>
        <v>Employee Benefits</v>
      </c>
      <c r="B18" s="35">
        <f>IF(('DebtSvs-Employee'!$C$70)&lt;&gt;0,('DebtSvs-Employee'!$C$70),"  ")</f>
        <v>36838</v>
      </c>
      <c r="C18" s="45">
        <f>IF(inputPrYr!D49&gt;0,inputPrYr!D49,"  ")</f>
        <v>16.502</v>
      </c>
      <c r="D18" s="35">
        <f>IF(('DebtSvs-Employee'!$D$70)&lt;&gt;0,('DebtSvs-Employee'!$D$70),"  ")</f>
        <v>26945</v>
      </c>
      <c r="E18" s="45">
        <f>IF(inputOth!D23&gt;0,inputOth!D23,"  ")</f>
        <v>16.538</v>
      </c>
      <c r="F18" s="35">
        <f>IF(('DebtSvs-Employee'!$E$70)&lt;&gt;0,('DebtSvs-Employee'!$E$70),"  ")</f>
        <v>43975</v>
      </c>
      <c r="G18" s="35">
        <f>IF(('DebtSvs-Employee'!$E$77)&lt;&gt;0,('DebtSvs-Employee'!$E$77),"  ")</f>
        <v>15778</v>
      </c>
      <c r="H18" s="45">
        <f>IF(('DebtSvs-Employee'!E77&gt;0),ROUND(G18/$F$26*1000,3),"")</f>
        <v>9.369</v>
      </c>
    </row>
    <row r="19" spans="1:8" ht="15.75">
      <c r="A19" s="6" t="str">
        <f>IF((inputPrYr!$B28&gt;"  "),(inputPrYr!$B28),"  ")</f>
        <v>Special Highway</v>
      </c>
      <c r="B19" s="35">
        <f>IF(('SpecHwy-Utility'!$C$24)&lt;&gt;0,('SpecHwy-Utility'!$C$24),"  ")</f>
        <v>14260</v>
      </c>
      <c r="C19" s="29"/>
      <c r="D19" s="35">
        <f>IF(('SpecHwy-Utility'!$D$24)&lt;&gt;0,('SpecHwy-Utility'!$D$24),"  ")</f>
        <v>11870</v>
      </c>
      <c r="E19" s="29"/>
      <c r="F19" s="35">
        <f>IF(('SpecHwy-Utility'!$E$24)&lt;&gt;0,('SpecHwy-Utility'!$E$24),"  ")</f>
        <v>12090</v>
      </c>
      <c r="G19" s="29"/>
      <c r="H19" s="29"/>
    </row>
    <row r="20" spans="1:13" ht="15.75">
      <c r="A20" s="6" t="str">
        <f>IF((inputPrYr!$B29&gt;"  "),(inputPrYr!$B29),"  ")</f>
        <v>Utility</v>
      </c>
      <c r="B20" s="35">
        <f>IF(('SpecHwy-Utility'!$C$60)&lt;&gt;0,('SpecHwy-Utility'!$C$60),"  ")</f>
        <v>133273</v>
      </c>
      <c r="C20" s="29"/>
      <c r="D20" s="35">
        <f>IF(('SpecHwy-Utility'!$D$60)&lt;&gt;0,('SpecHwy-Utility'!$D$60),"  ")</f>
        <v>150185</v>
      </c>
      <c r="E20" s="29"/>
      <c r="F20" s="35">
        <f>IF(('SpecHwy-Utility'!$E$60)&lt;&gt;0,('SpecHwy-Utility'!$E$60),"  ")</f>
        <v>222047</v>
      </c>
      <c r="G20" s="29"/>
      <c r="H20" s="29"/>
      <c r="J20" s="755" t="str">
        <f>CONCATENATE("Estimated Value Of One Mill For ",H1,"")</f>
        <v>Estimated Value Of One Mill For 2012</v>
      </c>
      <c r="K20" s="758"/>
      <c r="L20" s="758"/>
      <c r="M20" s="759"/>
    </row>
    <row r="21" spans="1:13" ht="15.75">
      <c r="A21" s="6" t="str">
        <f>IF((inputPrYr!$B38&gt;"  "),(nonbud!$A3),"  ")</f>
        <v>Non-Budgeted Funds</v>
      </c>
      <c r="B21" s="643">
        <f>IF((nonbud!$K$28)&lt;&gt;0,(nonbud!$K$28),"  ")</f>
        <v>118</v>
      </c>
      <c r="C21" s="644"/>
      <c r="D21" s="643"/>
      <c r="E21" s="644"/>
      <c r="F21" s="643"/>
      <c r="G21" s="644"/>
      <c r="H21" s="644"/>
      <c r="J21" s="545"/>
      <c r="K21" s="546"/>
      <c r="L21" s="546"/>
      <c r="M21" s="547"/>
    </row>
    <row r="22" spans="1:13" ht="15.75">
      <c r="A22" s="638" t="s">
        <v>804</v>
      </c>
      <c r="B22" s="50">
        <f>SUM(B16:B21)</f>
        <v>887154</v>
      </c>
      <c r="C22" s="51">
        <f>SUM(C16:C18)</f>
        <v>69.781</v>
      </c>
      <c r="D22" s="50">
        <f>SUM(D16:D21)</f>
        <v>400301</v>
      </c>
      <c r="E22" s="51">
        <f>SUM(E16:E18)</f>
        <v>69.622</v>
      </c>
      <c r="F22" s="50">
        <f>SUM(F16:F21)</f>
        <v>499281</v>
      </c>
      <c r="G22" s="50">
        <f>SUM(G16:G18)</f>
        <v>104904</v>
      </c>
      <c r="H22" s="51">
        <f>SUM(H16:H21)</f>
        <v>62.295</v>
      </c>
      <c r="J22" s="548" t="s">
        <v>696</v>
      </c>
      <c r="K22" s="549"/>
      <c r="L22" s="549"/>
      <c r="M22" s="550">
        <f>ROUND(F26/1000,0)</f>
        <v>1684</v>
      </c>
    </row>
    <row r="23" spans="1:8" ht="15.75">
      <c r="A23" s="8" t="s">
        <v>193</v>
      </c>
      <c r="B23" s="64">
        <f>Transfers!$C$15</f>
        <v>80000</v>
      </c>
      <c r="C23" s="640"/>
      <c r="D23" s="64">
        <f>Transfers!$D$15</f>
        <v>0</v>
      </c>
      <c r="E23" s="58"/>
      <c r="F23" s="64">
        <f>Transfers!$E$15</f>
        <v>0</v>
      </c>
      <c r="G23" s="639"/>
      <c r="H23" s="641"/>
    </row>
    <row r="24" spans="1:13" ht="16.5" thickBot="1">
      <c r="A24" s="63" t="s">
        <v>194</v>
      </c>
      <c r="B24" s="52">
        <f>B22-B23</f>
        <v>807154</v>
      </c>
      <c r="C24" s="7"/>
      <c r="D24" s="52">
        <f>D22-D23</f>
        <v>400301</v>
      </c>
      <c r="E24" s="7"/>
      <c r="F24" s="52">
        <f>F22-F23</f>
        <v>499281</v>
      </c>
      <c r="G24" s="7"/>
      <c r="H24" s="7"/>
      <c r="J24" s="755" t="str">
        <f>CONCATENATE("Want The Mill Rate The Same As For ",H1-1,"?")</f>
        <v>Want The Mill Rate The Same As For 2011?</v>
      </c>
      <c r="K24" s="760"/>
      <c r="L24" s="760"/>
      <c r="M24" s="761"/>
    </row>
    <row r="25" spans="1:13" ht="16.5" thickTop="1">
      <c r="A25" s="8" t="s">
        <v>195</v>
      </c>
      <c r="B25" s="64">
        <f>inputPrYr!E56</f>
        <v>119367</v>
      </c>
      <c r="C25" s="47"/>
      <c r="D25" s="64">
        <f>inputPrYr!E25</f>
        <v>116897</v>
      </c>
      <c r="E25" s="48"/>
      <c r="F25" s="65" t="s">
        <v>160</v>
      </c>
      <c r="G25" s="43"/>
      <c r="H25" s="43"/>
      <c r="J25" s="552"/>
      <c r="K25" s="546"/>
      <c r="L25" s="546"/>
      <c r="M25" s="553"/>
    </row>
    <row r="26" spans="1:13" ht="15.75">
      <c r="A26" s="8" t="s">
        <v>196</v>
      </c>
      <c r="B26" s="35">
        <f>inputPrYr!E57</f>
        <v>1676336</v>
      </c>
      <c r="C26" s="19"/>
      <c r="D26" s="35">
        <f>inputOth!E30</f>
        <v>1679029</v>
      </c>
      <c r="E26" s="33"/>
      <c r="F26" s="35">
        <f>inputOth!E7</f>
        <v>1683991</v>
      </c>
      <c r="G26" s="43"/>
      <c r="H26" s="43"/>
      <c r="J26" s="552" t="str">
        <f>CONCATENATE("",H1-1," Mill Rate Was:")</f>
        <v>2011 Mill Rate Was:</v>
      </c>
      <c r="K26" s="546"/>
      <c r="L26" s="546"/>
      <c r="M26" s="554">
        <f>E22</f>
        <v>69.622</v>
      </c>
    </row>
    <row r="27" spans="1:13" ht="15.75">
      <c r="A27" s="642"/>
      <c r="B27" s="639"/>
      <c r="C27" s="645"/>
      <c r="D27" s="639"/>
      <c r="E27" s="645"/>
      <c r="F27" s="646"/>
      <c r="G27" s="645"/>
      <c r="H27" s="653"/>
      <c r="J27" s="555" t="str">
        <f>CONCATENATE("",H1," Tax Levy Fund Expenditures Must Be ")</f>
        <v>2012 Tax Levy Fund Expenditures Must Be </v>
      </c>
      <c r="K27" s="556"/>
      <c r="L27" s="556"/>
      <c r="M27" s="553"/>
    </row>
    <row r="28" spans="1:13" ht="15.75">
      <c r="A28" s="8" t="s">
        <v>197</v>
      </c>
      <c r="B28" s="639"/>
      <c r="C28" s="645"/>
      <c r="D28" s="639"/>
      <c r="E28" s="645"/>
      <c r="F28" s="639"/>
      <c r="G28" s="43"/>
      <c r="H28" s="43"/>
      <c r="J28" s="555" t="str">
        <f>IF(M35&lt;0,"Increased By:","")</f>
        <v>Increased By:</v>
      </c>
      <c r="K28" s="556"/>
      <c r="L28" s="556"/>
      <c r="M28" s="686">
        <f>IF(M35&lt;0,M35*-1,0)</f>
        <v>12339</v>
      </c>
    </row>
    <row r="29" spans="1:13" ht="15.75">
      <c r="A29" s="8" t="s">
        <v>198</v>
      </c>
      <c r="B29" s="634">
        <f>$H$1-3</f>
        <v>2009</v>
      </c>
      <c r="C29" s="7"/>
      <c r="D29" s="634">
        <f>$H$1-2</f>
        <v>2010</v>
      </c>
      <c r="E29" s="7"/>
      <c r="F29" s="634">
        <f>$H$1-1</f>
        <v>2011</v>
      </c>
      <c r="G29" s="7"/>
      <c r="H29" s="7"/>
      <c r="J29" s="557">
        <f>IF(M35&gt;0,"Reduced By:","")</f>
      </c>
      <c r="K29" s="558"/>
      <c r="L29" s="558"/>
      <c r="M29" s="687">
        <f>IF(M35&gt;0,M35*-1,0)</f>
        <v>0</v>
      </c>
    </row>
    <row r="30" spans="1:13" ht="15.75">
      <c r="A30" s="8" t="s">
        <v>199</v>
      </c>
      <c r="B30" s="35">
        <f>inputPrYr!D60</f>
        <v>0</v>
      </c>
      <c r="C30" s="7"/>
      <c r="D30" s="35">
        <f>inputPrYr!E60</f>
        <v>0</v>
      </c>
      <c r="E30" s="7"/>
      <c r="F30" s="35">
        <f>debt!F15</f>
        <v>500000</v>
      </c>
      <c r="G30" s="7"/>
      <c r="H30" s="7"/>
      <c r="J30" s="559"/>
      <c r="K30" s="559"/>
      <c r="L30" s="559"/>
      <c r="M30" s="559"/>
    </row>
    <row r="31" spans="1:13" ht="15.75">
      <c r="A31" s="8" t="s">
        <v>200</v>
      </c>
      <c r="B31" s="35">
        <f>inputPrYr!D61</f>
        <v>0</v>
      </c>
      <c r="C31" s="7"/>
      <c r="D31" s="35">
        <f>inputPrYr!E61</f>
        <v>0</v>
      </c>
      <c r="E31" s="7"/>
      <c r="F31" s="35">
        <f>debt!F22</f>
        <v>0</v>
      </c>
      <c r="G31" s="7"/>
      <c r="H31" s="7"/>
      <c r="J31" s="755" t="str">
        <f>CONCATENATE("Impact On Keeping The Same Mill Rate As For ",H1-1,"")</f>
        <v>Impact On Keeping The Same Mill Rate As For 2011</v>
      </c>
      <c r="K31" s="758"/>
      <c r="L31" s="758"/>
      <c r="M31" s="759"/>
    </row>
    <row r="32" spans="1:13" ht="15.75">
      <c r="A32" s="30" t="s">
        <v>220</v>
      </c>
      <c r="B32" s="35">
        <f>inputPrYr!D62</f>
        <v>0</v>
      </c>
      <c r="C32" s="7"/>
      <c r="D32" s="35">
        <f>inputPrYr!E62</f>
        <v>0</v>
      </c>
      <c r="E32" s="7"/>
      <c r="F32" s="36">
        <f>debt!F30</f>
        <v>0</v>
      </c>
      <c r="G32" s="7"/>
      <c r="H32" s="7"/>
      <c r="I32" s="498"/>
      <c r="J32" s="552"/>
      <c r="K32" s="546"/>
      <c r="L32" s="546"/>
      <c r="M32" s="553"/>
    </row>
    <row r="33" spans="1:13" ht="15.75">
      <c r="A33" s="8" t="s">
        <v>301</v>
      </c>
      <c r="B33" s="35">
        <f>inputPrYr!D63</f>
        <v>0</v>
      </c>
      <c r="C33" s="7"/>
      <c r="D33" s="35">
        <f>inputPrYr!E63</f>
        <v>0</v>
      </c>
      <c r="E33" s="7"/>
      <c r="F33" s="35">
        <f>lpform!F20</f>
        <v>0</v>
      </c>
      <c r="G33" s="7"/>
      <c r="H33" s="7"/>
      <c r="J33" s="552" t="str">
        <f>CONCATENATE("",H1," Ad Valorem Tax Revenue:")</f>
        <v>2012 Ad Valorem Tax Revenue:</v>
      </c>
      <c r="K33" s="546"/>
      <c r="L33" s="546"/>
      <c r="M33" s="547">
        <f>G22</f>
        <v>104904</v>
      </c>
    </row>
    <row r="34" spans="1:13" ht="16.5" thickBot="1">
      <c r="A34" s="8" t="s">
        <v>201</v>
      </c>
      <c r="B34" s="52">
        <f>SUM(B30:B33)</f>
        <v>0</v>
      </c>
      <c r="C34" s="7"/>
      <c r="D34" s="52">
        <f>SUM(D30:D33)</f>
        <v>0</v>
      </c>
      <c r="E34" s="7"/>
      <c r="F34" s="52">
        <f>SUM(F30:F33)</f>
        <v>500000</v>
      </c>
      <c r="G34" s="7"/>
      <c r="H34" s="7"/>
      <c r="J34" s="552" t="str">
        <f>CONCATENATE("",H1-1," Ad Valorem Tax Revenue:")</f>
        <v>2011 Ad Valorem Tax Revenue:</v>
      </c>
      <c r="K34" s="546"/>
      <c r="L34" s="546"/>
      <c r="M34" s="560">
        <f>ROUND(F26*M26/1000,0)</f>
        <v>117243</v>
      </c>
    </row>
    <row r="35" spans="1:13" ht="16.5" thickTop="1">
      <c r="A35" s="8" t="s">
        <v>202</v>
      </c>
      <c r="B35" s="7"/>
      <c r="C35" s="7"/>
      <c r="D35" s="7"/>
      <c r="E35" s="7"/>
      <c r="F35" s="7"/>
      <c r="G35" s="7"/>
      <c r="H35" s="7"/>
      <c r="J35" s="557" t="s">
        <v>698</v>
      </c>
      <c r="K35" s="558"/>
      <c r="L35" s="558"/>
      <c r="M35" s="550">
        <f>M33-M34</f>
        <v>-12339</v>
      </c>
    </row>
    <row r="36" spans="1:13" ht="15.75">
      <c r="A36" s="7"/>
      <c r="B36" s="7"/>
      <c r="C36" s="7"/>
      <c r="D36" s="7"/>
      <c r="E36" s="7"/>
      <c r="F36" s="7"/>
      <c r="G36" s="7"/>
      <c r="H36" s="7"/>
      <c r="I36" s="543"/>
      <c r="J36" s="551"/>
      <c r="K36" s="551"/>
      <c r="L36" s="551"/>
      <c r="M36" s="559"/>
    </row>
    <row r="37" spans="1:13" ht="15.75">
      <c r="A37" s="7"/>
      <c r="B37" s="7"/>
      <c r="C37" s="7"/>
      <c r="D37" s="7"/>
      <c r="E37" s="7"/>
      <c r="F37" s="7"/>
      <c r="G37" s="7"/>
      <c r="H37" s="7"/>
      <c r="J37" s="755" t="s">
        <v>764</v>
      </c>
      <c r="K37" s="756"/>
      <c r="L37" s="756"/>
      <c r="M37" s="757"/>
    </row>
    <row r="38" spans="1:13" ht="15.75">
      <c r="A38" s="750"/>
      <c r="B38" s="751"/>
      <c r="C38" s="527"/>
      <c r="D38" s="7"/>
      <c r="E38" s="7"/>
      <c r="F38" s="7"/>
      <c r="G38" s="7"/>
      <c r="H38" s="7"/>
      <c r="J38" s="552"/>
      <c r="K38" s="546"/>
      <c r="L38" s="546"/>
      <c r="M38" s="553"/>
    </row>
    <row r="39" spans="1:13" ht="15.75">
      <c r="A39" s="526" t="s">
        <v>686</v>
      </c>
      <c r="B39" s="525" t="str">
        <f>inputBudSum!B4</f>
        <v>City Clerk</v>
      </c>
      <c r="C39" s="524"/>
      <c r="D39" s="7"/>
      <c r="E39" s="7"/>
      <c r="F39" s="7"/>
      <c r="G39" s="7"/>
      <c r="H39" s="7"/>
      <c r="J39" s="552" t="str">
        <f>CONCATENATE("Current ",H1," Estimated Mill Rate:")</f>
        <v>Current 2012 Estimated Mill Rate:</v>
      </c>
      <c r="K39" s="546"/>
      <c r="L39" s="546"/>
      <c r="M39" s="554">
        <f>H22</f>
        <v>62.295</v>
      </c>
    </row>
    <row r="40" spans="1:13" ht="15.75">
      <c r="A40" s="17"/>
      <c r="B40" s="43"/>
      <c r="C40" s="44"/>
      <c r="D40" s="7"/>
      <c r="E40" s="7"/>
      <c r="F40" s="7"/>
      <c r="G40" s="7"/>
      <c r="H40" s="7"/>
      <c r="J40" s="552" t="str">
        <f>CONCATENATE("Desired ",H1," Mill Rate:")</f>
        <v>Desired 2012 Mill Rate:</v>
      </c>
      <c r="K40" s="546"/>
      <c r="L40" s="546"/>
      <c r="M40" s="544">
        <v>65</v>
      </c>
    </row>
    <row r="41" spans="1:13" ht="15.75">
      <c r="A41" s="7"/>
      <c r="B41" s="7"/>
      <c r="C41" s="7"/>
      <c r="D41" s="7"/>
      <c r="E41" s="7"/>
      <c r="F41" s="7"/>
      <c r="G41" s="7"/>
      <c r="H41" s="7"/>
      <c r="J41" s="552" t="str">
        <f>CONCATENATE("",H1," Ad Valorem Tax:")</f>
        <v>2012 Ad Valorem Tax:</v>
      </c>
      <c r="K41" s="546"/>
      <c r="L41" s="546"/>
      <c r="M41" s="560">
        <f>ROUND(F26*M40/1000,0)</f>
        <v>109459</v>
      </c>
    </row>
    <row r="42" spans="1:13" ht="15.75">
      <c r="A42" s="7"/>
      <c r="B42" s="7"/>
      <c r="C42" s="18" t="s">
        <v>203</v>
      </c>
      <c r="D42" s="3">
        <v>11</v>
      </c>
      <c r="E42" s="7"/>
      <c r="F42" s="7"/>
      <c r="G42" s="7"/>
      <c r="H42" s="7"/>
      <c r="J42" s="557" t="str">
        <f>CONCATENATE("",H1," Tax Levy Fund Exp. Changed By:")</f>
        <v>2012 Tax Levy Fund Exp. Changed By:</v>
      </c>
      <c r="K42" s="558"/>
      <c r="L42" s="558"/>
      <c r="M42" s="550">
        <f>IF(M40=0,0,(M41-G22))</f>
        <v>4555</v>
      </c>
    </row>
    <row r="43" spans="1:8" ht="15.75">
      <c r="A43" s="1"/>
      <c r="B43" s="1"/>
      <c r="C43" s="1"/>
      <c r="D43" s="1"/>
      <c r="E43" s="1"/>
      <c r="F43" s="1"/>
      <c r="G43" s="1"/>
      <c r="H43" s="1"/>
    </row>
    <row r="53" spans="9:13" ht="15.75">
      <c r="I53" s="1"/>
      <c r="J53" s="1"/>
      <c r="K53" s="1"/>
      <c r="L53" s="1"/>
      <c r="M53" s="1"/>
    </row>
    <row r="83" spans="1:8" ht="15.75">
      <c r="A83" s="1"/>
      <c r="B83" s="1"/>
      <c r="C83" s="1"/>
      <c r="D83" s="1"/>
      <c r="E83" s="1"/>
      <c r="F83" s="1"/>
      <c r="G83" s="1"/>
      <c r="H83" s="1"/>
    </row>
    <row r="93" ht="15.75">
      <c r="I93" s="1"/>
    </row>
    <row r="94" spans="1:8" ht="15.75">
      <c r="A94" s="1"/>
      <c r="B94" s="1"/>
      <c r="C94" s="1"/>
      <c r="D94" s="1"/>
      <c r="E94" s="1"/>
      <c r="F94" s="1"/>
      <c r="G94" s="1"/>
      <c r="H94" s="1"/>
    </row>
    <row r="116" spans="1:8" ht="15.75">
      <c r="A116" s="1"/>
      <c r="B116" s="1"/>
      <c r="C116" s="1"/>
      <c r="D116" s="1"/>
      <c r="E116" s="1"/>
      <c r="F116" s="1"/>
      <c r="G116" s="1"/>
      <c r="H116" s="1"/>
    </row>
    <row r="125" spans="9:15" ht="15.75">
      <c r="I125" s="1"/>
      <c r="J125" s="1"/>
      <c r="K125" s="1"/>
      <c r="L125" s="1"/>
      <c r="M125" s="1"/>
      <c r="N125" s="1"/>
      <c r="O125" s="1"/>
    </row>
    <row r="160" spans="1:8" ht="15.75">
      <c r="A160" s="1"/>
      <c r="B160" s="1"/>
      <c r="C160" s="1"/>
      <c r="D160" s="1"/>
      <c r="E160" s="1"/>
      <c r="F160" s="1"/>
      <c r="G160" s="1"/>
      <c r="H160" s="1"/>
    </row>
    <row r="169" spans="9:17" ht="15.75">
      <c r="I169" s="1"/>
      <c r="J169" s="1"/>
      <c r="K169" s="1"/>
      <c r="L169" s="1"/>
      <c r="M169" s="1"/>
      <c r="N169" s="1"/>
      <c r="O169" s="1"/>
      <c r="P169" s="1"/>
      <c r="Q169" s="1"/>
    </row>
  </sheetData>
  <sheetProtection/>
  <mergeCells count="11">
    <mergeCell ref="J37:M37"/>
    <mergeCell ref="J20:M20"/>
    <mergeCell ref="J31:M31"/>
    <mergeCell ref="J24:M24"/>
    <mergeCell ref="A38:B38"/>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6">
      <selection activeCell="C33" sqref="C3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City of Lewis</v>
      </c>
      <c r="B1" s="4"/>
      <c r="C1" s="4"/>
      <c r="D1" s="4"/>
      <c r="E1" s="4"/>
      <c r="F1" s="4">
        <f>inputPrYr!C5</f>
        <v>2012</v>
      </c>
    </row>
    <row r="2" spans="1:6" ht="15.75">
      <c r="A2" s="56"/>
      <c r="B2" s="4"/>
      <c r="C2" s="4"/>
      <c r="D2" s="4"/>
      <c r="E2" s="4"/>
      <c r="F2" s="4"/>
    </row>
    <row r="3" spans="1:6" ht="15.75">
      <c r="A3" s="4"/>
      <c r="B3" s="4"/>
      <c r="C3" s="4"/>
      <c r="D3" s="4"/>
      <c r="E3" s="4"/>
      <c r="F3" s="4"/>
    </row>
    <row r="4" spans="1:6" ht="15.75">
      <c r="A4" s="7"/>
      <c r="B4" s="764" t="str">
        <f>CONCATENATE("",F1," Neighborhood Revitalization Rebate")</f>
        <v>2012 Neighborhood Revitalization Rebate</v>
      </c>
      <c r="C4" s="765"/>
      <c r="D4" s="765"/>
      <c r="E4" s="766"/>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138</v>
      </c>
      <c r="C7" s="62">
        <v>65249</v>
      </c>
      <c r="D7" s="53">
        <f aca="true" t="shared" si="0" ref="D7:D12">IF(C7&gt;0,C7/$D$19,"")</f>
        <v>38.7466441328962</v>
      </c>
      <c r="E7" s="35">
        <f aca="true" t="shared" si="1" ref="E7:E12">IF(C7&gt;0,ROUND(D7*$D$23,0),"")</f>
        <v>294</v>
      </c>
      <c r="F7" s="4"/>
    </row>
    <row r="8" spans="1:6" ht="15.75">
      <c r="A8" s="7"/>
      <c r="B8" s="5" t="str">
        <f>inputPrYr!B18</f>
        <v>Debt Service</v>
      </c>
      <c r="C8" s="62">
        <v>23877</v>
      </c>
      <c r="D8" s="53">
        <f t="shared" si="0"/>
        <v>14.17881687016142</v>
      </c>
      <c r="E8" s="35">
        <f t="shared" si="1"/>
        <v>108</v>
      </c>
      <c r="F8" s="4"/>
    </row>
    <row r="9" spans="1:6" ht="15.75">
      <c r="A9" s="7"/>
      <c r="B9" s="6" t="str">
        <f>IF((inputPrYr!$B20&gt;"  "),(inputPrYr!$B20),"  ")</f>
        <v>Employee Benefits</v>
      </c>
      <c r="C9" s="62">
        <v>15778</v>
      </c>
      <c r="D9" s="53">
        <f t="shared" si="0"/>
        <v>9.36940874387096</v>
      </c>
      <c r="E9" s="35">
        <f t="shared" si="1"/>
        <v>71</v>
      </c>
      <c r="F9" s="4"/>
    </row>
    <row r="10" spans="1:6" ht="15.75">
      <c r="A10" s="7"/>
      <c r="B10" s="6" t="str">
        <f>IF((inputPrYr!$B21&gt;"  "),(inputPrYr!$B21),"  ")</f>
        <v>  </v>
      </c>
      <c r="C10" s="62"/>
      <c r="D10" s="53">
        <f t="shared" si="0"/>
      </c>
      <c r="E10" s="35">
        <f t="shared" si="1"/>
      </c>
      <c r="F10" s="4"/>
    </row>
    <row r="11" spans="1:6" ht="15.75">
      <c r="A11" s="7"/>
      <c r="B11" s="6" t="str">
        <f>IF((inputPrYr!$B22&gt;"  "),(inputPrYr!$B22),"  ")</f>
        <v>  </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166</v>
      </c>
      <c r="C14" s="37">
        <f>SUM(C7:C13)</f>
        <v>104904</v>
      </c>
      <c r="D14" s="54">
        <f>SUM(D7:D13)</f>
        <v>62.29486974692858</v>
      </c>
      <c r="E14" s="37">
        <f>SUM(E7:E13)</f>
        <v>473</v>
      </c>
      <c r="F14" s="4"/>
    </row>
    <row r="15" spans="1:6" ht="16.5" thickTop="1">
      <c r="A15" s="7"/>
      <c r="B15" s="7"/>
      <c r="C15" s="7"/>
      <c r="D15" s="7"/>
      <c r="E15" s="7"/>
      <c r="F15" s="4"/>
    </row>
    <row r="16" spans="1:6" ht="15.75">
      <c r="A16" s="7"/>
      <c r="B16" s="7"/>
      <c r="C16" s="7"/>
      <c r="D16" s="7"/>
      <c r="E16" s="7"/>
      <c r="F16" s="4"/>
    </row>
    <row r="17" spans="1:6" ht="15.75">
      <c r="A17" s="769" t="str">
        <f>CONCATENATE("",F1-1," July 1 Valuation:")</f>
        <v>2011 July 1 Valuation:</v>
      </c>
      <c r="B17" s="768"/>
      <c r="C17" s="769"/>
      <c r="D17" s="46">
        <f>inputOth!E7</f>
        <v>1683991</v>
      </c>
      <c r="E17" s="7"/>
      <c r="F17" s="4"/>
    </row>
    <row r="18" spans="1:6" ht="15.75">
      <c r="A18" s="7"/>
      <c r="B18" s="7"/>
      <c r="C18" s="7"/>
      <c r="D18" s="7"/>
      <c r="E18" s="7"/>
      <c r="F18" s="4"/>
    </row>
    <row r="19" spans="1:6" ht="15.75">
      <c r="A19" s="7"/>
      <c r="B19" s="769" t="s">
        <v>363</v>
      </c>
      <c r="C19" s="769"/>
      <c r="D19" s="57">
        <f>IF(D17&gt;0,(D17*0.001),"")</f>
        <v>1683.991</v>
      </c>
      <c r="E19" s="7"/>
      <c r="F19" s="4"/>
    </row>
    <row r="20" spans="1:6" ht="15.75">
      <c r="A20" s="7"/>
      <c r="B20" s="18"/>
      <c r="C20" s="18"/>
      <c r="D20" s="58"/>
      <c r="E20" s="7"/>
      <c r="F20" s="4"/>
    </row>
    <row r="21" spans="1:6" ht="15.75">
      <c r="A21" s="767" t="s">
        <v>364</v>
      </c>
      <c r="B21" s="766"/>
      <c r="C21" s="766"/>
      <c r="D21" s="59">
        <f>inputOth!E17</f>
        <v>7597</v>
      </c>
      <c r="E21" s="32"/>
      <c r="F21" s="32"/>
    </row>
    <row r="22" spans="1:6" ht="15">
      <c r="A22" s="32"/>
      <c r="B22" s="32"/>
      <c r="C22" s="32"/>
      <c r="D22" s="60"/>
      <c r="E22" s="32"/>
      <c r="F22" s="32"/>
    </row>
    <row r="23" spans="1:6" ht="15.75">
      <c r="A23" s="32"/>
      <c r="B23" s="767" t="s">
        <v>365</v>
      </c>
      <c r="C23" s="768"/>
      <c r="D23" s="61">
        <f>IF(D21&gt;0,(D21*0.001),"")</f>
        <v>7.597</v>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655</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184</v>
      </c>
      <c r="C32" s="3">
        <v>12</v>
      </c>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5"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B1">
      <selection activeCell="L29" sqref="L2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Lewis</v>
      </c>
      <c r="C1" s="81"/>
      <c r="D1" s="81"/>
      <c r="E1" s="181">
        <f>inputPrYr!$C$5</f>
        <v>2012</v>
      </c>
    </row>
    <row r="2" spans="2:5" ht="15.75">
      <c r="B2" s="81"/>
      <c r="C2" s="81"/>
      <c r="D2" s="81"/>
      <c r="E2" s="240"/>
    </row>
    <row r="3" spans="2:5" ht="15.75">
      <c r="B3" s="98" t="s">
        <v>234</v>
      </c>
      <c r="C3" s="192"/>
      <c r="D3" s="192"/>
      <c r="E3" s="183"/>
    </row>
    <row r="4" spans="2:5" ht="15.75">
      <c r="B4" s="86" t="s">
        <v>172</v>
      </c>
      <c r="C4" s="652" t="s">
        <v>190</v>
      </c>
      <c r="D4" s="651" t="s">
        <v>323</v>
      </c>
      <c r="E4" s="651" t="s">
        <v>324</v>
      </c>
    </row>
    <row r="5" spans="2:5" ht="15.75">
      <c r="B5" s="487">
        <f>(inputPrYr!B30)</f>
        <v>0</v>
      </c>
      <c r="C5" s="358">
        <f>inputPrYr!$C$5-2</f>
        <v>2010</v>
      </c>
      <c r="D5" s="358">
        <f>inputPrYr!$C$5-1</f>
        <v>2011</v>
      </c>
      <c r="E5" s="251">
        <f>inputPrYr!$C$5</f>
        <v>2012</v>
      </c>
    </row>
    <row r="6" spans="2:5" ht="15.75">
      <c r="B6" s="198" t="s">
        <v>291</v>
      </c>
      <c r="C6" s="104"/>
      <c r="D6" s="209">
        <f>C31</f>
        <v>0</v>
      </c>
      <c r="E6" s="209">
        <f>D31</f>
        <v>0</v>
      </c>
    </row>
    <row r="7" spans="2:5" ht="15.75">
      <c r="B7" s="302" t="s">
        <v>293</v>
      </c>
      <c r="C7" s="209"/>
      <c r="D7" s="209"/>
      <c r="E7" s="209"/>
    </row>
    <row r="8" spans="2:5" ht="15.75">
      <c r="B8" s="316"/>
      <c r="C8" s="104"/>
      <c r="D8" s="104"/>
      <c r="E8" s="104"/>
    </row>
    <row r="9" spans="2:5" ht="15.75">
      <c r="B9" s="316" t="s">
        <v>188</v>
      </c>
      <c r="C9" s="104"/>
      <c r="D9" s="104"/>
      <c r="E9" s="104"/>
    </row>
    <row r="10" spans="2:5" ht="15.75">
      <c r="B10" s="316"/>
      <c r="C10" s="104"/>
      <c r="D10" s="104"/>
      <c r="E10" s="104"/>
    </row>
    <row r="11" spans="2:5" ht="15.75">
      <c r="B11" s="316"/>
      <c r="C11" s="104"/>
      <c r="D11" s="104"/>
      <c r="E11" s="104"/>
    </row>
    <row r="12" spans="2:5" ht="15.75">
      <c r="B12" s="362" t="s">
        <v>177</v>
      </c>
      <c r="C12" s="104"/>
      <c r="D12" s="104"/>
      <c r="E12" s="104"/>
    </row>
    <row r="13" spans="2:5" ht="15.75">
      <c r="B13" s="366" t="s">
        <v>269</v>
      </c>
      <c r="C13" s="104"/>
      <c r="D13" s="104"/>
      <c r="E13" s="104"/>
    </row>
    <row r="14" spans="2:5" ht="15.75">
      <c r="B14" s="366" t="s">
        <v>676</v>
      </c>
      <c r="C14" s="488">
        <f>IF(C15*0.1&lt;C13,"Exceed 10% Rule","")</f>
      </c>
      <c r="D14" s="363">
        <f>IF(D15*0.1&lt;D13,"Exceed 10% Rule","")</f>
      </c>
      <c r="E14" s="363">
        <f>IF(E15*0.1&lt;E13,"Exceed 10% Rule","")</f>
      </c>
    </row>
    <row r="15" spans="2:5" ht="15.75">
      <c r="B15" s="313" t="s">
        <v>178</v>
      </c>
      <c r="C15" s="365">
        <f>SUM(C8:C13)</f>
        <v>0</v>
      </c>
      <c r="D15" s="365">
        <f>SUM(D8:D13)</f>
        <v>0</v>
      </c>
      <c r="E15" s="365">
        <f>SUM(E8:E13)</f>
        <v>0</v>
      </c>
    </row>
    <row r="16" spans="2:5" ht="15.75">
      <c r="B16" s="313" t="s">
        <v>179</v>
      </c>
      <c r="C16" s="365">
        <f>C6+C15</f>
        <v>0</v>
      </c>
      <c r="D16" s="365">
        <f>D6+D15</f>
        <v>0</v>
      </c>
      <c r="E16" s="365">
        <f>E6+E15</f>
        <v>0</v>
      </c>
    </row>
    <row r="17" spans="2:5" ht="15.75">
      <c r="B17" s="198" t="s">
        <v>180</v>
      </c>
      <c r="C17" s="209"/>
      <c r="D17" s="209"/>
      <c r="E17" s="209"/>
    </row>
    <row r="18" spans="2:5" ht="15.75">
      <c r="B18" s="435"/>
      <c r="C18" s="104"/>
      <c r="D18" s="436"/>
      <c r="E18" s="104"/>
    </row>
    <row r="19" spans="2:5" ht="15.75">
      <c r="B19" s="435" t="s">
        <v>901</v>
      </c>
      <c r="C19" s="104"/>
      <c r="D19" s="436"/>
      <c r="E19" s="104"/>
    </row>
    <row r="20" spans="2:5" ht="15.75">
      <c r="B20" s="435"/>
      <c r="C20" s="104"/>
      <c r="D20" s="436"/>
      <c r="E20" s="104"/>
    </row>
    <row r="21" spans="2:5" ht="15.75">
      <c r="B21" s="435"/>
      <c r="C21" s="104"/>
      <c r="D21" s="436"/>
      <c r="E21" s="104"/>
    </row>
    <row r="22" spans="2:5" ht="15.75">
      <c r="B22" s="435"/>
      <c r="C22" s="104"/>
      <c r="D22" s="436"/>
      <c r="E22" s="104"/>
    </row>
    <row r="23" spans="2:5" ht="15.75">
      <c r="B23" s="435"/>
      <c r="C23" s="104"/>
      <c r="D23" s="436"/>
      <c r="E23" s="104"/>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269</v>
      </c>
      <c r="C28" s="104"/>
      <c r="D28" s="436"/>
      <c r="E28" s="104"/>
    </row>
    <row r="29" spans="2:5" ht="15.75">
      <c r="B29" s="211" t="s">
        <v>675</v>
      </c>
      <c r="C29" s="488">
        <f>IF(C30*0.1&lt;C28,"Exceed 10% Rule","")</f>
      </c>
      <c r="D29" s="363">
        <f>IF(D30*0.1&lt;D28,"Exceed 10% Rule","")</f>
      </c>
      <c r="E29" s="363">
        <f>IF(E30*0.1&lt;E28,"Exceed 10% Rule","")</f>
      </c>
    </row>
    <row r="30" spans="2:5" ht="15.75">
      <c r="B30" s="313" t="s">
        <v>181</v>
      </c>
      <c r="C30" s="365">
        <f>SUM(C18:C28)</f>
        <v>0</v>
      </c>
      <c r="D30" s="365">
        <f>SUM(D18:D28)</f>
        <v>0</v>
      </c>
      <c r="E30" s="365">
        <f>SUM(E18:E28)</f>
        <v>0</v>
      </c>
    </row>
    <row r="31" spans="2:5" ht="15.75">
      <c r="B31" s="198" t="s">
        <v>292</v>
      </c>
      <c r="C31" s="111">
        <f>C16-C30</f>
        <v>0</v>
      </c>
      <c r="D31" s="111">
        <f>D16-D30</f>
        <v>0</v>
      </c>
      <c r="E31" s="111">
        <f>E16-E30</f>
        <v>0</v>
      </c>
    </row>
    <row r="32" spans="2:5" ht="15.75">
      <c r="B32" s="232" t="str">
        <f>CONCATENATE("",E1-2,"/",E1-1," Budget Authority Amount:")</f>
        <v>2010/2011 Budget Authority Amount:</v>
      </c>
      <c r="C32" s="243">
        <f>inputOth!B65</f>
        <v>0</v>
      </c>
      <c r="D32" s="243">
        <f>inputPrYr!D30</f>
        <v>0</v>
      </c>
      <c r="E32" s="496">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172</v>
      </c>
      <c r="C37" s="652" t="s">
        <v>190</v>
      </c>
      <c r="D37" s="651" t="s">
        <v>323</v>
      </c>
      <c r="E37" s="651" t="s">
        <v>324</v>
      </c>
    </row>
    <row r="38" spans="2:5" ht="15.75">
      <c r="B38" s="487">
        <f>(inputPrYr!B31)</f>
        <v>0</v>
      </c>
      <c r="C38" s="358">
        <f>inputPrYr!$C$5-2</f>
        <v>2010</v>
      </c>
      <c r="D38" s="358">
        <f>inputPrYr!$C$5-1</f>
        <v>2011</v>
      </c>
      <c r="E38" s="251">
        <f>inputPrYr!$C$5</f>
        <v>2012</v>
      </c>
    </row>
    <row r="39" spans="2:5" ht="15.75">
      <c r="B39" s="198" t="s">
        <v>291</v>
      </c>
      <c r="C39" s="104"/>
      <c r="D39" s="209">
        <f>C63</f>
        <v>0</v>
      </c>
      <c r="E39" s="209">
        <f>D63</f>
        <v>0</v>
      </c>
    </row>
    <row r="40" spans="2:5" ht="15.75">
      <c r="B40" s="302" t="s">
        <v>293</v>
      </c>
      <c r="C40" s="209"/>
      <c r="D40" s="209"/>
      <c r="E40" s="209"/>
    </row>
    <row r="41" spans="2:5" ht="15.75">
      <c r="B41" s="316"/>
      <c r="C41" s="104"/>
      <c r="D41" s="104"/>
      <c r="E41" s="104"/>
    </row>
    <row r="42" spans="2:5" ht="15.75">
      <c r="B42" s="316" t="s">
        <v>188</v>
      </c>
      <c r="C42" s="104"/>
      <c r="D42" s="104"/>
      <c r="E42" s="104"/>
    </row>
    <row r="43" spans="2:5" ht="15.75">
      <c r="B43" s="316"/>
      <c r="C43" s="104"/>
      <c r="D43" s="104"/>
      <c r="E43" s="104"/>
    </row>
    <row r="44" spans="2:5" ht="15.75">
      <c r="B44" s="316"/>
      <c r="C44" s="104"/>
      <c r="D44" s="104"/>
      <c r="E44" s="104"/>
    </row>
    <row r="45" spans="2:5" ht="15.75">
      <c r="B45" s="362" t="s">
        <v>177</v>
      </c>
      <c r="C45" s="104"/>
      <c r="D45" s="104"/>
      <c r="E45" s="104"/>
    </row>
    <row r="46" spans="2:5" ht="15.75">
      <c r="B46" s="366" t="s">
        <v>269</v>
      </c>
      <c r="C46" s="104"/>
      <c r="D46" s="104"/>
      <c r="E46" s="104"/>
    </row>
    <row r="47" spans="2:5" ht="15.75">
      <c r="B47" s="366" t="s">
        <v>676</v>
      </c>
      <c r="C47" s="488">
        <f>IF(C48*0.1&lt;C46,"Exceed 10% Rule","")</f>
      </c>
      <c r="D47" s="363">
        <f>IF(D48*0.1&lt;D46,"Exceed 10% Rule","")</f>
      </c>
      <c r="E47" s="363">
        <f>IF(E48*0.1&lt;E46,"Exceed 10% Rule","")</f>
      </c>
    </row>
    <row r="48" spans="2:5" ht="15.75">
      <c r="B48" s="313" t="s">
        <v>178</v>
      </c>
      <c r="C48" s="365">
        <f>SUM(C41:C46)</f>
        <v>0</v>
      </c>
      <c r="D48" s="365">
        <f>SUM(D41:D46)</f>
        <v>0</v>
      </c>
      <c r="E48" s="365">
        <f>SUM(E41:E46)</f>
        <v>0</v>
      </c>
    </row>
    <row r="49" spans="2:5" ht="15.75">
      <c r="B49" s="313" t="s">
        <v>179</v>
      </c>
      <c r="C49" s="365">
        <f>C39+C48</f>
        <v>0</v>
      </c>
      <c r="D49" s="365">
        <f>D39+D48</f>
        <v>0</v>
      </c>
      <c r="E49" s="365">
        <f>E39+E48</f>
        <v>0</v>
      </c>
    </row>
    <row r="50" spans="2:5" ht="15.75">
      <c r="B50" s="198" t="s">
        <v>180</v>
      </c>
      <c r="C50" s="209"/>
      <c r="D50" s="209"/>
      <c r="E50" s="209"/>
    </row>
    <row r="51" spans="2:5" ht="15.75">
      <c r="B51" s="437"/>
      <c r="C51" s="104"/>
      <c r="D51" s="104"/>
      <c r="E51" s="104"/>
    </row>
    <row r="52" spans="2:5" ht="15.75">
      <c r="B52" s="437"/>
      <c r="C52" s="104"/>
      <c r="D52" s="438"/>
      <c r="E52" s="104"/>
    </row>
    <row r="53" spans="2:5" ht="15.75">
      <c r="B53" s="437"/>
      <c r="C53" s="104"/>
      <c r="D53" s="438"/>
      <c r="E53" s="104"/>
    </row>
    <row r="54" spans="2:5" ht="15.75">
      <c r="B54" s="316"/>
      <c r="C54" s="104"/>
      <c r="D54" s="438"/>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269</v>
      </c>
      <c r="C60" s="104"/>
      <c r="D60" s="359"/>
      <c r="E60" s="359"/>
    </row>
    <row r="61" spans="2:5" ht="15.75">
      <c r="B61" s="211" t="s">
        <v>675</v>
      </c>
      <c r="C61" s="488">
        <f>IF(C62*0.1&lt;C60,"Exceed 10% Rule","")</f>
      </c>
      <c r="D61" s="363">
        <f>IF(D62*0.1&lt;D60,"Exceed 10% Rule","")</f>
      </c>
      <c r="E61" s="363">
        <f>IF(E62*0.1&lt;E60,"Exceed 10% Rule","")</f>
      </c>
    </row>
    <row r="62" spans="2:5" ht="15.75">
      <c r="B62" s="313" t="s">
        <v>181</v>
      </c>
      <c r="C62" s="365">
        <f>SUM(C51:C60)</f>
        <v>0</v>
      </c>
      <c r="D62" s="365">
        <f>SUM(D51:D60)</f>
        <v>0</v>
      </c>
      <c r="E62" s="365">
        <f>SUM(E51:E60)</f>
        <v>0</v>
      </c>
    </row>
    <row r="63" spans="2:5" ht="15.75">
      <c r="B63" s="198" t="s">
        <v>292</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184</v>
      </c>
      <c r="C68" s="322"/>
      <c r="D68" s="81"/>
      <c r="E68" s="81"/>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4">
      <selection activeCell="B30" sqref="B30"/>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690" t="s">
        <v>867</v>
      </c>
      <c r="E2" s="84"/>
    </row>
    <row r="3" spans="1:5" ht="15.75">
      <c r="A3" s="83" t="s">
        <v>80</v>
      </c>
      <c r="B3" s="81"/>
      <c r="C3" s="81"/>
      <c r="D3" s="691" t="s">
        <v>868</v>
      </c>
      <c r="E3" s="85"/>
    </row>
    <row r="4" spans="1:5" ht="15.75">
      <c r="A4" s="86"/>
      <c r="B4" s="81"/>
      <c r="C4" s="81"/>
      <c r="D4" s="87"/>
      <c r="E4" s="81"/>
    </row>
    <row r="5" spans="1:5" ht="15.75">
      <c r="A5" s="83" t="s">
        <v>321</v>
      </c>
      <c r="B5" s="81"/>
      <c r="C5" s="88">
        <v>2012</v>
      </c>
      <c r="D5" s="87"/>
      <c r="E5" s="81"/>
    </row>
    <row r="6" spans="1:5" ht="15.75">
      <c r="A6" s="81"/>
      <c r="B6" s="81"/>
      <c r="C6" s="81"/>
      <c r="D6" s="81"/>
      <c r="E6" s="81"/>
    </row>
    <row r="7" spans="1:5" ht="15.75">
      <c r="A7" s="89" t="s">
        <v>362</v>
      </c>
      <c r="B7" s="90"/>
      <c r="C7" s="90"/>
      <c r="D7" s="90"/>
      <c r="E7" s="90"/>
    </row>
    <row r="8" spans="1:5" ht="15.75">
      <c r="A8" s="89" t="s">
        <v>361</v>
      </c>
      <c r="B8" s="90"/>
      <c r="C8" s="90"/>
      <c r="D8" s="90"/>
      <c r="E8" s="90"/>
    </row>
    <row r="9" spans="1:5" ht="15.75">
      <c r="A9" s="91"/>
      <c r="B9" s="90"/>
      <c r="C9" s="90"/>
      <c r="D9" s="90"/>
      <c r="E9" s="90"/>
    </row>
    <row r="10" spans="1:5" ht="15.75">
      <c r="A10" s="698" t="s">
        <v>23</v>
      </c>
      <c r="B10" s="699"/>
      <c r="C10" s="699"/>
      <c r="D10" s="699"/>
      <c r="E10" s="699"/>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360</v>
      </c>
      <c r="B14" s="96"/>
      <c r="C14" s="97"/>
      <c r="D14" s="81"/>
      <c r="E14" s="81"/>
    </row>
    <row r="15" spans="1:5" ht="15.75">
      <c r="A15" s="98"/>
      <c r="B15" s="81"/>
      <c r="C15" s="81"/>
      <c r="D15" s="99">
        <f>$C$5-1</f>
        <v>2011</v>
      </c>
      <c r="E15" s="99">
        <f>$C$5-2</f>
        <v>2010</v>
      </c>
    </row>
    <row r="16" spans="1:5" ht="15.75">
      <c r="A16" s="86" t="s">
        <v>136</v>
      </c>
      <c r="B16" s="81"/>
      <c r="C16" s="100" t="s">
        <v>137</v>
      </c>
      <c r="D16" s="101" t="s">
        <v>359</v>
      </c>
      <c r="E16" s="101" t="s">
        <v>119</v>
      </c>
    </row>
    <row r="17" spans="1:5" ht="15.75">
      <c r="A17" s="81"/>
      <c r="B17" s="102" t="s">
        <v>138</v>
      </c>
      <c r="C17" s="207" t="s">
        <v>296</v>
      </c>
      <c r="D17" s="104">
        <v>226100</v>
      </c>
      <c r="E17" s="104">
        <v>52525</v>
      </c>
    </row>
    <row r="18" spans="1:5" ht="15.75">
      <c r="A18" s="81"/>
      <c r="B18" s="102" t="s">
        <v>114</v>
      </c>
      <c r="C18" s="207" t="s">
        <v>322</v>
      </c>
      <c r="D18" s="104">
        <v>36692</v>
      </c>
      <c r="E18" s="104">
        <v>36605</v>
      </c>
    </row>
    <row r="19" spans="1:5" ht="15.75">
      <c r="A19" s="86" t="s">
        <v>139</v>
      </c>
      <c r="B19" s="81"/>
      <c r="C19" s="81"/>
      <c r="D19" s="105"/>
      <c r="E19" s="105"/>
    </row>
    <row r="20" spans="1:5" ht="15.75">
      <c r="A20" s="86"/>
      <c r="B20" s="106" t="s">
        <v>306</v>
      </c>
      <c r="C20" s="635" t="s">
        <v>869</v>
      </c>
      <c r="D20" s="104">
        <v>43900</v>
      </c>
      <c r="E20" s="104">
        <v>27767</v>
      </c>
    </row>
    <row r="21" spans="1:5" ht="15.75">
      <c r="A21" s="81"/>
      <c r="B21" s="106"/>
      <c r="C21" s="635"/>
      <c r="D21" s="104"/>
      <c r="E21" s="104"/>
    </row>
    <row r="22" spans="1:5" ht="15.75">
      <c r="A22" s="81"/>
      <c r="B22" s="107"/>
      <c r="C22" s="636"/>
      <c r="D22" s="104"/>
      <c r="E22" s="104"/>
    </row>
    <row r="23" spans="1:5" ht="15.75">
      <c r="A23" s="81"/>
      <c r="B23" s="107"/>
      <c r="C23" s="635"/>
      <c r="D23" s="104"/>
      <c r="E23" s="104"/>
    </row>
    <row r="24" spans="1:5" ht="15.75">
      <c r="A24" s="81"/>
      <c r="B24" s="107"/>
      <c r="C24" s="635"/>
      <c r="D24" s="104"/>
      <c r="E24" s="104"/>
    </row>
    <row r="25" spans="1:5" ht="15.75">
      <c r="A25" s="108" t="str">
        <f>CONCATENATE("Total Ad Valorem Tax Levy Funds for ",C5-1," Budgeted Year")</f>
        <v>Total Ad Valorem Tax Levy Funds for 2011 Budgeted Year</v>
      </c>
      <c r="B25" s="109"/>
      <c r="C25" s="109"/>
      <c r="D25" s="110"/>
      <c r="E25" s="111">
        <f>SUM(E17:E24)</f>
        <v>116897</v>
      </c>
    </row>
    <row r="26" spans="1:5" ht="15.75">
      <c r="A26" s="116"/>
      <c r="B26" s="113"/>
      <c r="C26" s="113"/>
      <c r="D26" s="230"/>
      <c r="E26" s="113"/>
    </row>
    <row r="27" spans="1:5" ht="15.75">
      <c r="A27" s="86" t="s">
        <v>140</v>
      </c>
      <c r="B27" s="81"/>
      <c r="C27" s="81"/>
      <c r="D27" s="81"/>
      <c r="E27" s="81"/>
    </row>
    <row r="28" spans="1:5" ht="15.75">
      <c r="A28" s="81"/>
      <c r="B28" s="112" t="s">
        <v>141</v>
      </c>
      <c r="C28" s="113"/>
      <c r="D28" s="104">
        <v>12240</v>
      </c>
      <c r="E28" s="113"/>
    </row>
    <row r="29" spans="1:5" ht="15.75">
      <c r="A29" s="81"/>
      <c r="B29" s="439" t="s">
        <v>870</v>
      </c>
      <c r="C29" s="113"/>
      <c r="D29" s="104">
        <v>200700</v>
      </c>
      <c r="E29" s="113"/>
    </row>
    <row r="30" spans="1:5" ht="15.75">
      <c r="A30" s="81"/>
      <c r="B30" s="439"/>
      <c r="C30" s="113"/>
      <c r="D30" s="104"/>
      <c r="E30" s="113"/>
    </row>
    <row r="31" spans="1:5" ht="15.75">
      <c r="A31" s="81"/>
      <c r="B31" s="439"/>
      <c r="C31" s="113"/>
      <c r="D31" s="104"/>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519632</v>
      </c>
      <c r="E36" s="118"/>
    </row>
    <row r="37" spans="1:5" ht="15.75">
      <c r="A37" s="116" t="s">
        <v>36</v>
      </c>
      <c r="B37" s="113"/>
      <c r="C37" s="113"/>
      <c r="D37" s="113"/>
      <c r="E37" s="81"/>
    </row>
    <row r="38" spans="1:5" ht="15.75">
      <c r="A38" s="121">
        <v>1</v>
      </c>
      <c r="B38" s="106" t="s">
        <v>902</v>
      </c>
      <c r="C38" s="113"/>
      <c r="D38" s="113"/>
      <c r="E38" s="81"/>
    </row>
    <row r="39" spans="1:5" ht="15.75">
      <c r="A39" s="121">
        <v>2</v>
      </c>
      <c r="B39" s="106" t="s">
        <v>903</v>
      </c>
      <c r="C39" s="113"/>
      <c r="D39" s="113"/>
      <c r="E39" s="81"/>
    </row>
    <row r="40" spans="1:5" ht="15.75">
      <c r="A40" s="121">
        <v>3</v>
      </c>
      <c r="B40" s="106" t="s">
        <v>904</v>
      </c>
      <c r="C40" s="113"/>
      <c r="D40" s="113"/>
      <c r="E40" s="81"/>
    </row>
    <row r="41" spans="1:5" ht="15.75">
      <c r="A41" s="121">
        <v>4</v>
      </c>
      <c r="B41" s="106" t="s">
        <v>921</v>
      </c>
      <c r="C41" s="113"/>
      <c r="D41" s="113"/>
      <c r="E41" s="81"/>
    </row>
    <row r="42" spans="1:5" ht="15.75">
      <c r="A42" s="121">
        <v>5</v>
      </c>
      <c r="B42" s="106" t="s">
        <v>925</v>
      </c>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53.279</v>
      </c>
      <c r="E47" s="81"/>
    </row>
    <row r="48" spans="1:5" ht="15.75">
      <c r="A48" s="81"/>
      <c r="B48" s="125" t="str">
        <f>B18</f>
        <v>Debt Service</v>
      </c>
      <c r="C48" s="126"/>
      <c r="D48" s="127">
        <v>0</v>
      </c>
      <c r="E48" s="81"/>
    </row>
    <row r="49" spans="1:5" ht="15.75">
      <c r="A49" s="81"/>
      <c r="B49" s="125" t="str">
        <f>B20</f>
        <v>Employee Benefits</v>
      </c>
      <c r="C49" s="126"/>
      <c r="D49" s="127">
        <v>16.502</v>
      </c>
      <c r="E49" s="81"/>
    </row>
    <row r="50" spans="1:5" ht="15.75">
      <c r="A50" s="81"/>
      <c r="B50" s="125">
        <f>B21</f>
        <v>0</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69.781</v>
      </c>
      <c r="E54" s="81"/>
    </row>
    <row r="55" spans="1:5" ht="15.75">
      <c r="A55" s="81"/>
      <c r="B55" s="81"/>
      <c r="C55" s="81"/>
      <c r="D55" s="81"/>
      <c r="E55" s="81"/>
    </row>
    <row r="56" spans="1:5" ht="15.75">
      <c r="A56" s="129" t="str">
        <f>CONCATENATE("Total Tax Levied (",C5-2," budget column)")</f>
        <v>Total Tax Levied (2010 budget column)</v>
      </c>
      <c r="B56" s="130"/>
      <c r="C56" s="109"/>
      <c r="D56" s="120"/>
      <c r="E56" s="104">
        <v>119367</v>
      </c>
    </row>
    <row r="57" spans="1:5" ht="15.75">
      <c r="A57" s="129" t="str">
        <f>CONCATENATE("Assessed Valuation  (",C5-2," budget column)")</f>
        <v>Assessed Valuation  (2010 budget column)</v>
      </c>
      <c r="B57" s="131"/>
      <c r="C57" s="132"/>
      <c r="D57" s="133"/>
      <c r="E57" s="104">
        <v>1676336</v>
      </c>
    </row>
    <row r="58" spans="1:5" ht="15.75">
      <c r="A58" s="81"/>
      <c r="B58" s="81"/>
      <c r="C58" s="81"/>
      <c r="D58" s="97"/>
      <c r="E58" s="105"/>
    </row>
    <row r="59" spans="1:5" ht="15.75">
      <c r="A59" s="134" t="s">
        <v>46</v>
      </c>
      <c r="B59" s="134"/>
      <c r="C59" s="135"/>
      <c r="D59" s="136">
        <f>C5-3</f>
        <v>2009</v>
      </c>
      <c r="E59" s="137">
        <f>C5-2</f>
        <v>2010</v>
      </c>
    </row>
    <row r="60" spans="1:5" ht="15.75">
      <c r="A60" s="138" t="s">
        <v>336</v>
      </c>
      <c r="B60" s="138"/>
      <c r="C60" s="139"/>
      <c r="D60" s="140"/>
      <c r="E60" s="140"/>
    </row>
    <row r="61" spans="1:5" ht="15.75">
      <c r="A61" s="141" t="s">
        <v>337</v>
      </c>
      <c r="B61" s="141"/>
      <c r="C61" s="142"/>
      <c r="D61" s="140"/>
      <c r="E61" s="140"/>
    </row>
    <row r="62" spans="1:5" ht="15.75">
      <c r="A62" s="141" t="s">
        <v>338</v>
      </c>
      <c r="B62" s="141"/>
      <c r="C62" s="142"/>
      <c r="D62" s="140"/>
      <c r="E62" s="140"/>
    </row>
    <row r="63" spans="1:5" ht="15.75">
      <c r="A63" s="141" t="s">
        <v>339</v>
      </c>
      <c r="B63" s="141"/>
      <c r="C63" s="142"/>
      <c r="D63" s="140"/>
      <c r="E63" s="140"/>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Lewis</v>
      </c>
      <c r="C1" s="223"/>
      <c r="D1" s="81"/>
      <c r="E1" s="181">
        <f>inputPrYr!$C$5</f>
        <v>2012</v>
      </c>
    </row>
    <row r="2" spans="2:5" ht="15.75">
      <c r="B2" s="81"/>
      <c r="C2" s="81"/>
      <c r="D2" s="81"/>
      <c r="E2" s="240"/>
    </row>
    <row r="3" spans="2:5" ht="15.75">
      <c r="B3" s="98" t="s">
        <v>233</v>
      </c>
      <c r="C3" s="98"/>
      <c r="D3" s="300"/>
      <c r="E3" s="183"/>
    </row>
    <row r="4" spans="2:5" ht="15.75">
      <c r="B4" s="86" t="s">
        <v>172</v>
      </c>
      <c r="C4" s="649" t="s">
        <v>190</v>
      </c>
      <c r="D4" s="650" t="s">
        <v>323</v>
      </c>
      <c r="E4" s="651" t="s">
        <v>324</v>
      </c>
    </row>
    <row r="5" spans="2:5" ht="15.75">
      <c r="B5" s="486">
        <f>(inputPrYr!B21)</f>
        <v>0</v>
      </c>
      <c r="C5" s="443">
        <f>inputPrYr!$C$5-2</f>
        <v>2010</v>
      </c>
      <c r="D5" s="443">
        <f>inputPrYr!$C$5-1</f>
        <v>2011</v>
      </c>
      <c r="E5" s="251">
        <f>inputPrYr!$C$5</f>
        <v>2012</v>
      </c>
    </row>
    <row r="6" spans="2:5" ht="15.75">
      <c r="B6" s="198" t="s">
        <v>291</v>
      </c>
      <c r="C6" s="481"/>
      <c r="D6" s="480">
        <f>C33</f>
        <v>0</v>
      </c>
      <c r="E6" s="209">
        <f>D33</f>
        <v>0</v>
      </c>
    </row>
    <row r="7" spans="2:5" ht="15.75">
      <c r="B7" s="198" t="s">
        <v>293</v>
      </c>
      <c r="C7" s="210"/>
      <c r="D7" s="480"/>
      <c r="E7" s="209"/>
    </row>
    <row r="8" spans="2:5" ht="15.75">
      <c r="B8" s="198" t="s">
        <v>173</v>
      </c>
      <c r="C8" s="477"/>
      <c r="D8" s="480">
        <f>inputPrYr!E21</f>
        <v>0</v>
      </c>
      <c r="E8" s="370" t="s">
        <v>160</v>
      </c>
    </row>
    <row r="9" spans="2:5" ht="15.75">
      <c r="B9" s="198" t="s">
        <v>174</v>
      </c>
      <c r="C9" s="477"/>
      <c r="D9" s="482"/>
      <c r="E9" s="104"/>
    </row>
    <row r="10" spans="2:5" ht="15.75">
      <c r="B10" s="198" t="s">
        <v>175</v>
      </c>
      <c r="C10" s="477"/>
      <c r="D10" s="482"/>
      <c r="E10" s="209" t="str">
        <f>Mvalloc!C11</f>
        <v>  </v>
      </c>
    </row>
    <row r="11" spans="2:5" ht="15.75">
      <c r="B11" s="198" t="s">
        <v>176</v>
      </c>
      <c r="C11" s="477"/>
      <c r="D11" s="482"/>
      <c r="E11" s="209" t="str">
        <f>Mvalloc!D11</f>
        <v>  </v>
      </c>
    </row>
    <row r="12" spans="2:5" ht="15.75">
      <c r="B12" s="211" t="s">
        <v>229</v>
      </c>
      <c r="C12" s="477"/>
      <c r="D12" s="482"/>
      <c r="E12" s="209" t="str">
        <f>Mvalloc!E11</f>
        <v>  </v>
      </c>
    </row>
    <row r="13" spans="2:5" ht="15.75">
      <c r="B13" s="211" t="s">
        <v>128</v>
      </c>
      <c r="C13" s="477"/>
      <c r="D13" s="482"/>
      <c r="E13" s="209" t="str">
        <f>Mvalloc!F11</f>
        <v>  </v>
      </c>
    </row>
    <row r="14" spans="2:5" ht="15.75">
      <c r="B14" s="373"/>
      <c r="C14" s="477"/>
      <c r="D14" s="482"/>
      <c r="E14" s="104"/>
    </row>
    <row r="15" spans="2:5" ht="15.75">
      <c r="B15" s="373"/>
      <c r="C15" s="477"/>
      <c r="D15" s="482"/>
      <c r="E15" s="104"/>
    </row>
    <row r="16" spans="2:5" ht="15.75">
      <c r="B16" s="373"/>
      <c r="C16" s="477"/>
      <c r="D16" s="482"/>
      <c r="E16" s="104"/>
    </row>
    <row r="17" spans="2:5" ht="15.75">
      <c r="B17" s="362" t="s">
        <v>177</v>
      </c>
      <c r="C17" s="477"/>
      <c r="D17" s="482"/>
      <c r="E17" s="104"/>
    </row>
    <row r="18" spans="2:5" ht="15.75">
      <c r="B18" s="198" t="s">
        <v>269</v>
      </c>
      <c r="C18" s="477"/>
      <c r="D18" s="482"/>
      <c r="E18" s="104"/>
    </row>
    <row r="19" spans="2:5" ht="15.75">
      <c r="B19" s="198" t="s">
        <v>676</v>
      </c>
      <c r="C19" s="478">
        <f>IF(C20*0.1&lt;C18,"Exceed 10% Rule","")</f>
      </c>
      <c r="D19" s="488">
        <f>IF(D20*0.1&lt;D18,"Exceed 10% Rule","")</f>
      </c>
      <c r="E19" s="363">
        <f>IF(E20*0.1+E39&lt;E18,"Exceed 10% Rule","")</f>
      </c>
    </row>
    <row r="20" spans="2:5" ht="15.75">
      <c r="B20" s="313" t="s">
        <v>178</v>
      </c>
      <c r="C20" s="483">
        <f>SUM(C8:C18)</f>
        <v>0</v>
      </c>
      <c r="D20" s="483">
        <f>SUM(D8:D18)</f>
        <v>0</v>
      </c>
      <c r="E20" s="374">
        <f>SUM(E8:E18)</f>
        <v>0</v>
      </c>
    </row>
    <row r="21" spans="2:5" ht="15.75">
      <c r="B21" s="313" t="s">
        <v>179</v>
      </c>
      <c r="C21" s="483">
        <f>C6+C20</f>
        <v>0</v>
      </c>
      <c r="D21" s="483">
        <f>D6+D20</f>
        <v>0</v>
      </c>
      <c r="E21" s="374">
        <f>E6+E20</f>
        <v>0</v>
      </c>
    </row>
    <row r="22" spans="2:5" ht="15.75">
      <c r="B22" s="198" t="s">
        <v>180</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Nhood!E10</f>
      </c>
    </row>
    <row r="30" spans="2:5" ht="15.75">
      <c r="B30" s="368" t="s">
        <v>269</v>
      </c>
      <c r="C30" s="477"/>
      <c r="D30" s="482"/>
      <c r="E30" s="104"/>
    </row>
    <row r="31" spans="2:5" ht="15.75">
      <c r="B31" s="368" t="s">
        <v>682</v>
      </c>
      <c r="C31" s="441">
        <f>IF(C32*0.1&lt;C30,"Exceed 10% Rule","")</f>
      </c>
      <c r="D31" s="457">
        <f>IF(D32*0.1&lt;D30,"Exceed 10% Rule","")</f>
      </c>
      <c r="E31" s="312">
        <f>IF(E32*0.1&lt;E30,"Exceed 10% Rule","")</f>
      </c>
    </row>
    <row r="32" spans="2:5" ht="15.75">
      <c r="B32" s="313" t="s">
        <v>181</v>
      </c>
      <c r="C32" s="479">
        <f>SUM(C23:C30)</f>
        <v>0</v>
      </c>
      <c r="D32" s="479">
        <f>SUM(D23:D30)</f>
        <v>0</v>
      </c>
      <c r="E32" s="365">
        <f>SUM(E23:E30)</f>
        <v>0</v>
      </c>
    </row>
    <row r="33" spans="2:5" ht="15.75">
      <c r="B33" s="198" t="s">
        <v>292</v>
      </c>
      <c r="C33" s="484">
        <f>C21-C32</f>
        <v>0</v>
      </c>
      <c r="D33" s="484">
        <f>D21-D32</f>
        <v>0</v>
      </c>
      <c r="E33" s="370" t="s">
        <v>160</v>
      </c>
    </row>
    <row r="34" spans="2:6" ht="15.75">
      <c r="B34" s="232" t="str">
        <f>CONCATENATE("",E1-2,"/",E1-1," Budget Authority Amount:")</f>
        <v>2010/2011 Budget Authority Amount:</v>
      </c>
      <c r="C34" s="497">
        <f>inputOth!B59</f>
        <v>0</v>
      </c>
      <c r="D34" s="243">
        <f>inputPrYr!D21</f>
        <v>0</v>
      </c>
      <c r="E34" s="370" t="s">
        <v>160</v>
      </c>
      <c r="F34" s="318"/>
    </row>
    <row r="35" spans="2:6" ht="15.75">
      <c r="B35" s="232"/>
      <c r="C35" s="738" t="s">
        <v>678</v>
      </c>
      <c r="D35" s="739"/>
      <c r="E35" s="104"/>
      <c r="F35" s="318">
        <f>IF(E32/0.95-E32&lt;E35,"Exceeds 5%","")</f>
      </c>
    </row>
    <row r="36" spans="2:5" ht="15.75">
      <c r="B36" s="489" t="str">
        <f>CONCATENATE(C88,"     ",D88)</f>
        <v>     </v>
      </c>
      <c r="C36" s="740" t="s">
        <v>679</v>
      </c>
      <c r="D36" s="741"/>
      <c r="E36" s="209">
        <f>E32+E35</f>
        <v>0</v>
      </c>
    </row>
    <row r="37" spans="2:5" ht="15.75">
      <c r="B37" s="489" t="str">
        <f>CONCATENATE(C89,"     ",D89)</f>
        <v>     </v>
      </c>
      <c r="C37" s="319"/>
      <c r="D37" s="240" t="s">
        <v>182</v>
      </c>
      <c r="E37" s="111">
        <f>IF(E36-E21&gt;0,E36-E21,0)</f>
        <v>0</v>
      </c>
    </row>
    <row r="38" spans="2:5" ht="15.75">
      <c r="B38" s="240"/>
      <c r="C38" s="474" t="s">
        <v>680</v>
      </c>
      <c r="D38" s="490">
        <f>inputOth!$E$42</f>
        <v>0</v>
      </c>
      <c r="E38" s="209">
        <f>ROUND(IF(D38&gt;0,(E37*D38),0),0)</f>
        <v>0</v>
      </c>
    </row>
    <row r="39" spans="2:5" ht="15.75">
      <c r="B39" s="81"/>
      <c r="C39" s="736" t="str">
        <f>CONCATENATE("Amount of  ",E1-1," Ad Valorem Tax")</f>
        <v>Amount of  2011 Ad Valorem Tax</v>
      </c>
      <c r="D39" s="737"/>
      <c r="E39" s="371">
        <f>E37+E38</f>
        <v>0</v>
      </c>
    </row>
    <row r="40" spans="2:5" ht="15.75">
      <c r="B40" s="86" t="s">
        <v>172</v>
      </c>
      <c r="C40" s="86"/>
      <c r="D40" s="300"/>
      <c r="E40" s="300"/>
    </row>
    <row r="41" spans="2:5" ht="15.75">
      <c r="B41" s="81"/>
      <c r="C41" s="649" t="s">
        <v>190</v>
      </c>
      <c r="D41" s="650" t="s">
        <v>323</v>
      </c>
      <c r="E41" s="651" t="s">
        <v>324</v>
      </c>
    </row>
    <row r="42" spans="2:5" ht="15.75">
      <c r="B42" s="487">
        <f>(inputPrYr!B22)</f>
        <v>0</v>
      </c>
      <c r="C42" s="443">
        <f>inputPrYr!$C$5-2</f>
        <v>2010</v>
      </c>
      <c r="D42" s="443">
        <f>inputPrYr!$C$5-1</f>
        <v>2011</v>
      </c>
      <c r="E42" s="251">
        <f>inputPrYr!$C$5</f>
        <v>2012</v>
      </c>
    </row>
    <row r="43" spans="2:5" ht="15.75">
      <c r="B43" s="198" t="s">
        <v>291</v>
      </c>
      <c r="C43" s="477"/>
      <c r="D43" s="480">
        <f>C70</f>
        <v>0</v>
      </c>
      <c r="E43" s="209">
        <f>D70</f>
        <v>0</v>
      </c>
    </row>
    <row r="44" spans="2:5" ht="15.75">
      <c r="B44" s="302" t="s">
        <v>293</v>
      </c>
      <c r="C44" s="198"/>
      <c r="D44" s="480"/>
      <c r="E44" s="209"/>
    </row>
    <row r="45" spans="2:5" ht="15.75">
      <c r="B45" s="198" t="s">
        <v>173</v>
      </c>
      <c r="C45" s="477"/>
      <c r="D45" s="480">
        <f>inputPrYr!E22</f>
        <v>0</v>
      </c>
      <c r="E45" s="370" t="s">
        <v>160</v>
      </c>
    </row>
    <row r="46" spans="2:5" ht="15.75">
      <c r="B46" s="198" t="s">
        <v>174</v>
      </c>
      <c r="C46" s="477"/>
      <c r="D46" s="482"/>
      <c r="E46" s="104"/>
    </row>
    <row r="47" spans="2:5" ht="15.75">
      <c r="B47" s="198" t="s">
        <v>175</v>
      </c>
      <c r="C47" s="477"/>
      <c r="D47" s="482"/>
      <c r="E47" s="209" t="str">
        <f>Mvalloc!C12</f>
        <v>  </v>
      </c>
    </row>
    <row r="48" spans="2:5" ht="15.75">
      <c r="B48" s="198" t="s">
        <v>176</v>
      </c>
      <c r="C48" s="477"/>
      <c r="D48" s="482"/>
      <c r="E48" s="209" t="str">
        <f>Mvalloc!D12</f>
        <v>  </v>
      </c>
    </row>
    <row r="49" spans="2:5" ht="15.75">
      <c r="B49" s="211" t="s">
        <v>229</v>
      </c>
      <c r="C49" s="477"/>
      <c r="D49" s="482"/>
      <c r="E49" s="209" t="str">
        <f>Mvalloc!E12</f>
        <v>  </v>
      </c>
    </row>
    <row r="50" spans="2:5" ht="15.75">
      <c r="B50" s="211" t="s">
        <v>128</v>
      </c>
      <c r="C50" s="477"/>
      <c r="D50" s="482"/>
      <c r="E50" s="209" t="str">
        <f>Mvalloc!F12</f>
        <v>  </v>
      </c>
    </row>
    <row r="51" spans="2:5" ht="15.75">
      <c r="B51" s="373"/>
      <c r="C51" s="477"/>
      <c r="D51" s="482"/>
      <c r="E51" s="104"/>
    </row>
    <row r="52" spans="2:5" ht="15.75">
      <c r="B52" s="373"/>
      <c r="C52" s="477"/>
      <c r="D52" s="482"/>
      <c r="E52" s="104"/>
    </row>
    <row r="53" spans="2:5" ht="15.75">
      <c r="B53" s="362" t="s">
        <v>177</v>
      </c>
      <c r="C53" s="477"/>
      <c r="D53" s="482"/>
      <c r="E53" s="104"/>
    </row>
    <row r="54" spans="2:5" ht="15.75">
      <c r="B54" s="198" t="s">
        <v>269</v>
      </c>
      <c r="C54" s="477"/>
      <c r="D54" s="482"/>
      <c r="E54" s="104"/>
    </row>
    <row r="55" spans="2:5" ht="15.75">
      <c r="B55" s="198" t="s">
        <v>676</v>
      </c>
      <c r="C55" s="478">
        <f>IF(C56*0.1&lt;C54,"Exceed 10% Rule","")</f>
      </c>
      <c r="D55" s="488">
        <f>IF(D56*0.1&lt;D54,"Exceed 10% Rule","")</f>
      </c>
      <c r="E55" s="363">
        <f>IF(E56*0.1+E75&lt;E54,"Exceed 10% Rule","")</f>
      </c>
    </row>
    <row r="56" spans="2:5" ht="15.75">
      <c r="B56" s="313" t="s">
        <v>178</v>
      </c>
      <c r="C56" s="479">
        <f>SUM(C45:C54)</f>
        <v>0</v>
      </c>
      <c r="D56" s="479">
        <f>SUM(D45:D54)</f>
        <v>0</v>
      </c>
      <c r="E56" s="365">
        <f>SUM(E45:E54)</f>
        <v>0</v>
      </c>
    </row>
    <row r="57" spans="2:5" ht="15.75">
      <c r="B57" s="313" t="s">
        <v>179</v>
      </c>
      <c r="C57" s="479">
        <f>C43+C56</f>
        <v>0</v>
      </c>
      <c r="D57" s="479">
        <f>D43+D56</f>
        <v>0</v>
      </c>
      <c r="E57" s="365">
        <f>E43+E56</f>
        <v>0</v>
      </c>
    </row>
    <row r="58" spans="2:5" ht="15.75">
      <c r="B58" s="198" t="s">
        <v>180</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5" ht="15.75">
      <c r="B65" s="373"/>
      <c r="C65" s="477"/>
      <c r="D65" s="482"/>
      <c r="E65" s="104"/>
    </row>
    <row r="66" spans="2:5" ht="15.75">
      <c r="B66" s="211" t="s">
        <v>58</v>
      </c>
      <c r="C66" s="477"/>
      <c r="D66" s="482"/>
      <c r="E66" s="209">
        <f>Nhood!E11</f>
      </c>
    </row>
    <row r="67" spans="2:5" ht="15.75">
      <c r="B67" s="211" t="s">
        <v>269</v>
      </c>
      <c r="C67" s="477"/>
      <c r="D67" s="482"/>
      <c r="E67" s="104"/>
    </row>
    <row r="68" spans="2:5" ht="15.75">
      <c r="B68" s="211" t="s">
        <v>675</v>
      </c>
      <c r="C68" s="478">
        <f>IF(C69*0.1&lt;C67,"Exceed 10% Rule","")</f>
      </c>
      <c r="D68" s="488">
        <f>IF(D69*0.1&lt;D67,"Exceed 10% Rule","")</f>
      </c>
      <c r="E68" s="363">
        <f>IF(E69*0.1&lt;E67,"Exceed 10% Rule","")</f>
      </c>
    </row>
    <row r="69" spans="2:5" ht="15.75">
      <c r="B69" s="313" t="s">
        <v>181</v>
      </c>
      <c r="C69" s="479">
        <f>SUM(C59:C67)</f>
        <v>0</v>
      </c>
      <c r="D69" s="479">
        <f>SUM(D59:D67)</f>
        <v>0</v>
      </c>
      <c r="E69" s="365">
        <f>SUM(E59:E67)</f>
        <v>0</v>
      </c>
    </row>
    <row r="70" spans="2:5" ht="15.75">
      <c r="B70" s="198" t="s">
        <v>292</v>
      </c>
      <c r="C70" s="484">
        <f>C57-C69</f>
        <v>0</v>
      </c>
      <c r="D70" s="484">
        <f>D57-D69</f>
        <v>0</v>
      </c>
      <c r="E70" s="370" t="s">
        <v>160</v>
      </c>
    </row>
    <row r="71" spans="2:6" ht="15.75">
      <c r="B71" s="232" t="str">
        <f>CONCATENATE("",E1-2,"/",E1-1," Budget Authority Amount:")</f>
        <v>2010/2011 Budget Authority Amount:</v>
      </c>
      <c r="C71" s="243">
        <f>inputOth!B60</f>
        <v>0</v>
      </c>
      <c r="D71" s="243">
        <f>inputPrYr!D22</f>
        <v>0</v>
      </c>
      <c r="E71" s="370" t="s">
        <v>160</v>
      </c>
      <c r="F71" s="318"/>
    </row>
    <row r="72" spans="2:6" ht="15.75">
      <c r="B72" s="232"/>
      <c r="C72" s="738" t="s">
        <v>678</v>
      </c>
      <c r="D72" s="739"/>
      <c r="E72" s="104"/>
      <c r="F72" s="318">
        <f>IF(E69/0.95-E69&lt;E72,"Exceeds 5%","")</f>
      </c>
    </row>
    <row r="73" spans="2:5" ht="15.75">
      <c r="B73" s="489" t="str">
        <f>CONCATENATE(C90,"     ",D90)</f>
        <v>     </v>
      </c>
      <c r="C73" s="740" t="s">
        <v>679</v>
      </c>
      <c r="D73" s="741"/>
      <c r="E73" s="209">
        <f>E69+E72</f>
        <v>0</v>
      </c>
    </row>
    <row r="74" spans="2:5" ht="15.75">
      <c r="B74" s="489" t="str">
        <f>CONCATENATE(C91,"     ",D91)</f>
        <v>     </v>
      </c>
      <c r="C74" s="319"/>
      <c r="D74" s="240" t="s">
        <v>182</v>
      </c>
      <c r="E74" s="111">
        <f>IF(E73-E57&gt;0,E73-E57,0)</f>
        <v>0</v>
      </c>
    </row>
    <row r="75" spans="2:5" ht="15.75">
      <c r="B75" s="240"/>
      <c r="C75" s="474" t="s">
        <v>680</v>
      </c>
      <c r="D75" s="490">
        <f>inputOth!E42</f>
        <v>0</v>
      </c>
      <c r="E75" s="209">
        <f>ROUND(IF(D75&gt;0,(E74*D75),0),0)</f>
        <v>0</v>
      </c>
    </row>
    <row r="76" spans="2:5" ht="15.75">
      <c r="B76" s="81"/>
      <c r="C76" s="736" t="str">
        <f>CONCATENATE("Amount of  ",E1-1," Ad Valorem Tax")</f>
        <v>Amount of  2011 Ad Valorem Tax</v>
      </c>
      <c r="D76" s="737"/>
      <c r="E76" s="371">
        <f>E74+E75</f>
        <v>0</v>
      </c>
    </row>
    <row r="77" spans="2:5" ht="15.75">
      <c r="B77" s="240" t="s">
        <v>184</v>
      </c>
      <c r="C77" s="372"/>
      <c r="D77" s="135"/>
      <c r="E77" s="81"/>
    </row>
    <row r="79" spans="2:3" ht="15.75">
      <c r="B79" s="143"/>
      <c r="C79"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Lewis</v>
      </c>
      <c r="C1" s="223"/>
      <c r="D1" s="81"/>
      <c r="E1" s="181">
        <f>inputPrYr!$C$5</f>
        <v>2012</v>
      </c>
    </row>
    <row r="2" spans="2:5" ht="15.75">
      <c r="B2" s="81"/>
      <c r="C2" s="81"/>
      <c r="D2" s="81"/>
      <c r="E2" s="240"/>
    </row>
    <row r="3" spans="2:5" ht="15.75">
      <c r="B3" s="98" t="s">
        <v>233</v>
      </c>
      <c r="C3" s="369"/>
      <c r="D3" s="192"/>
      <c r="E3" s="183"/>
    </row>
    <row r="4" spans="2:5" ht="15.75">
      <c r="B4" s="86" t="s">
        <v>172</v>
      </c>
      <c r="C4" s="652" t="s">
        <v>190</v>
      </c>
      <c r="D4" s="650" t="s">
        <v>323</v>
      </c>
      <c r="E4" s="651" t="s">
        <v>324</v>
      </c>
    </row>
    <row r="5" spans="2:5" ht="15.75">
      <c r="B5" s="487">
        <f>(inputPrYr!B23)</f>
        <v>0</v>
      </c>
      <c r="C5" s="358">
        <f>inputPrYr!$C$5-2</f>
        <v>2010</v>
      </c>
      <c r="D5" s="443">
        <f>inputPrYr!$C$5-1</f>
        <v>2011</v>
      </c>
      <c r="E5" s="251">
        <f>inputPrYr!$C$5</f>
        <v>2012</v>
      </c>
    </row>
    <row r="6" spans="2:5" ht="15.75">
      <c r="B6" s="198" t="s">
        <v>291</v>
      </c>
      <c r="C6" s="477"/>
      <c r="D6" s="480">
        <f>C33</f>
        <v>0</v>
      </c>
      <c r="E6" s="209">
        <f>D33</f>
        <v>0</v>
      </c>
    </row>
    <row r="7" spans="2:5" ht="15.75">
      <c r="B7" s="302" t="s">
        <v>293</v>
      </c>
      <c r="C7" s="198"/>
      <c r="D7" s="480"/>
      <c r="E7" s="209"/>
    </row>
    <row r="8" spans="2:5" ht="15.75">
      <c r="B8" s="198" t="s">
        <v>173</v>
      </c>
      <c r="C8" s="482"/>
      <c r="D8" s="480">
        <f>inputPrYr!E23</f>
        <v>0</v>
      </c>
      <c r="E8" s="370" t="s">
        <v>160</v>
      </c>
    </row>
    <row r="9" spans="2:5" ht="15.75">
      <c r="B9" s="198" t="s">
        <v>174</v>
      </c>
      <c r="C9" s="482"/>
      <c r="D9" s="482"/>
      <c r="E9" s="104"/>
    </row>
    <row r="10" spans="2:5" ht="15.75">
      <c r="B10" s="198" t="s">
        <v>175</v>
      </c>
      <c r="C10" s="482"/>
      <c r="D10" s="482"/>
      <c r="E10" s="209" t="str">
        <f>Mvalloc!C13</f>
        <v>  </v>
      </c>
    </row>
    <row r="11" spans="2:5" ht="15.75">
      <c r="B11" s="198" t="s">
        <v>176</v>
      </c>
      <c r="C11" s="482"/>
      <c r="D11" s="482"/>
      <c r="E11" s="209" t="str">
        <f>Mvalloc!D13</f>
        <v>  </v>
      </c>
    </row>
    <row r="12" spans="2:5" ht="15.75">
      <c r="B12" s="211" t="s">
        <v>229</v>
      </c>
      <c r="C12" s="482"/>
      <c r="D12" s="482"/>
      <c r="E12" s="209" t="str">
        <f>Mvalloc!E13</f>
        <v>  </v>
      </c>
    </row>
    <row r="13" spans="2:5" ht="15.75">
      <c r="B13" s="211" t="s">
        <v>128</v>
      </c>
      <c r="C13" s="482"/>
      <c r="D13" s="482"/>
      <c r="E13" s="209" t="str">
        <f>Mvalloc!F13</f>
        <v>  </v>
      </c>
    </row>
    <row r="14" spans="2:5" ht="15.75">
      <c r="B14" s="316"/>
      <c r="C14" s="482"/>
      <c r="D14" s="482"/>
      <c r="E14" s="104"/>
    </row>
    <row r="15" spans="2:5" ht="15.75">
      <c r="B15" s="316"/>
      <c r="C15" s="482"/>
      <c r="D15" s="482"/>
      <c r="E15" s="104"/>
    </row>
    <row r="16" spans="2:5" ht="15.75">
      <c r="B16" s="362" t="s">
        <v>177</v>
      </c>
      <c r="C16" s="482"/>
      <c r="D16" s="482"/>
      <c r="E16" s="104"/>
    </row>
    <row r="17" spans="2:5" ht="15.75">
      <c r="B17" s="366" t="s">
        <v>269</v>
      </c>
      <c r="C17" s="482"/>
      <c r="D17" s="482"/>
      <c r="E17" s="104"/>
    </row>
    <row r="18" spans="2:5" ht="15.75">
      <c r="B18" s="366" t="s">
        <v>676</v>
      </c>
      <c r="C18" s="478">
        <f>IF(C19*0.1&lt;C17,"Exceed 10% Rule","")</f>
      </c>
      <c r="D18" s="478">
        <f>IF(D19*0.1&lt;D17,"Exceed 10% Rule","")</f>
      </c>
      <c r="E18" s="488">
        <f>IF(E19*0.1+E39&lt;E17,"Exceed 10% Rule","")</f>
      </c>
    </row>
    <row r="19" spans="2:5" ht="15.75">
      <c r="B19" s="313" t="s">
        <v>178</v>
      </c>
      <c r="C19" s="479">
        <f>SUM(C8:C17)</f>
        <v>0</v>
      </c>
      <c r="D19" s="479">
        <f>SUM(D8:D17)</f>
        <v>0</v>
      </c>
      <c r="E19" s="365">
        <f>SUM(E8:E17)</f>
        <v>0</v>
      </c>
    </row>
    <row r="20" spans="2:5" ht="15.75">
      <c r="B20" s="313" t="s">
        <v>179</v>
      </c>
      <c r="C20" s="479">
        <f>C6+C19</f>
        <v>0</v>
      </c>
      <c r="D20" s="479">
        <f>D6+D19</f>
        <v>0</v>
      </c>
      <c r="E20" s="365">
        <f>E6+E19</f>
        <v>0</v>
      </c>
    </row>
    <row r="21" spans="2:5" ht="15.75">
      <c r="B21" s="198" t="s">
        <v>180</v>
      </c>
      <c r="C21" s="198"/>
      <c r="D21" s="480"/>
      <c r="E21" s="209"/>
    </row>
    <row r="22" spans="2:5" ht="15.75">
      <c r="B22" s="316"/>
      <c r="C22" s="482"/>
      <c r="D22" s="482"/>
      <c r="E22" s="104"/>
    </row>
    <row r="23" spans="2:5" ht="15.75">
      <c r="B23" s="316"/>
      <c r="C23" s="482"/>
      <c r="D23" s="482"/>
      <c r="E23" s="104"/>
    </row>
    <row r="24" spans="2:5" ht="15.75">
      <c r="B24" s="316"/>
      <c r="C24" s="482"/>
      <c r="D24" s="482"/>
      <c r="E24" s="104"/>
    </row>
    <row r="25" spans="2:5" ht="15.75">
      <c r="B25" s="316"/>
      <c r="C25" s="482"/>
      <c r="D25" s="482"/>
      <c r="E25" s="104"/>
    </row>
    <row r="26" spans="2:5" ht="15.75">
      <c r="B26" s="316"/>
      <c r="C26" s="482"/>
      <c r="D26" s="482"/>
      <c r="E26" s="104"/>
    </row>
    <row r="27" spans="2:5" ht="15.75">
      <c r="B27" s="316"/>
      <c r="C27" s="482"/>
      <c r="D27" s="482"/>
      <c r="E27" s="104"/>
    </row>
    <row r="28" spans="2:5" ht="15.75">
      <c r="B28" s="316"/>
      <c r="C28" s="482"/>
      <c r="D28" s="482"/>
      <c r="E28" s="104"/>
    </row>
    <row r="29" spans="2:5" ht="15.75">
      <c r="B29" s="211" t="s">
        <v>58</v>
      </c>
      <c r="C29" s="482"/>
      <c r="D29" s="482"/>
      <c r="E29" s="209">
        <f>Nhood!E12</f>
      </c>
    </row>
    <row r="30" spans="2:5" ht="15.75">
      <c r="B30" s="211" t="s">
        <v>269</v>
      </c>
      <c r="C30" s="482"/>
      <c r="D30" s="482"/>
      <c r="E30" s="104"/>
    </row>
    <row r="31" spans="2:5" ht="15.75">
      <c r="B31" s="211" t="s">
        <v>675</v>
      </c>
      <c r="C31" s="478">
        <f>IF(C32*0.1&lt;C30,"Exceed 10% Rule","")</f>
      </c>
      <c r="D31" s="478">
        <f>IF(D32*0.1&lt;D30,"Exceed 10% Rule","")</f>
      </c>
      <c r="E31" s="488">
        <f>IF(E32*0.1&lt;E30,"Exceed 10% Rule","")</f>
      </c>
    </row>
    <row r="32" spans="2:5" ht="15.75">
      <c r="B32" s="313" t="s">
        <v>181</v>
      </c>
      <c r="C32" s="479">
        <f>SUM(C22:C30)</f>
        <v>0</v>
      </c>
      <c r="D32" s="479">
        <f>SUM(D22:D30)</f>
        <v>0</v>
      </c>
      <c r="E32" s="365">
        <f>SUM(E22:E30)</f>
        <v>0</v>
      </c>
    </row>
    <row r="33" spans="2:5" ht="15.75">
      <c r="B33" s="198" t="s">
        <v>292</v>
      </c>
      <c r="C33" s="484">
        <f>C20-C32</f>
        <v>0</v>
      </c>
      <c r="D33" s="484">
        <f>D20-D32</f>
        <v>0</v>
      </c>
      <c r="E33" s="370" t="s">
        <v>160</v>
      </c>
    </row>
    <row r="34" spans="2:6" ht="15.75">
      <c r="B34" s="232" t="str">
        <f>CONCATENATE("",E1-2,"/",E1-1," Budget Authority Amount:")</f>
        <v>2010/2011 Budget Authority Amount:</v>
      </c>
      <c r="C34" s="243">
        <f>inputOth!B61</f>
        <v>0</v>
      </c>
      <c r="D34" s="243">
        <f>inputPrYr!D23</f>
        <v>0</v>
      </c>
      <c r="E34" s="370" t="s">
        <v>160</v>
      </c>
      <c r="F34" s="318"/>
    </row>
    <row r="35" spans="2:6" ht="15.75">
      <c r="B35" s="232"/>
      <c r="C35" s="738" t="s">
        <v>678</v>
      </c>
      <c r="D35" s="739"/>
      <c r="E35" s="104"/>
      <c r="F35" s="318">
        <f>IF(E32/0.95-E32&lt;E35,"Exceeds 5%","")</f>
      </c>
    </row>
    <row r="36" spans="2:5" ht="15.75">
      <c r="B36" s="489" t="str">
        <f>CONCATENATE(C88,"     ",D88)</f>
        <v>     </v>
      </c>
      <c r="C36" s="740" t="s">
        <v>679</v>
      </c>
      <c r="D36" s="741"/>
      <c r="E36" s="209">
        <f>E32+E35</f>
        <v>0</v>
      </c>
    </row>
    <row r="37" spans="2:5" ht="15.75">
      <c r="B37" s="489" t="str">
        <f>CONCATENATE(C89,"     ",D89)</f>
        <v>     </v>
      </c>
      <c r="C37" s="319"/>
      <c r="D37" s="240" t="s">
        <v>182</v>
      </c>
      <c r="E37" s="111">
        <f>IF(E36-E20&gt;0,E36-E20,0)</f>
        <v>0</v>
      </c>
    </row>
    <row r="38" spans="2:5" ht="15.75">
      <c r="B38" s="240"/>
      <c r="C38" s="474" t="s">
        <v>680</v>
      </c>
      <c r="D38" s="490">
        <f>inputOth!$E$42</f>
        <v>0</v>
      </c>
      <c r="E38" s="209">
        <f>ROUND(IF(D38&gt;0,(E37*D38),0),0)</f>
        <v>0</v>
      </c>
    </row>
    <row r="39" spans="2:5" ht="15.75">
      <c r="B39" s="81"/>
      <c r="C39" s="762" t="str">
        <f>CONCATENATE("Amount of  ",E1-1," Ad Valorem Tax")</f>
        <v>Amount of  2011 Ad Valorem Tax</v>
      </c>
      <c r="D39" s="763"/>
      <c r="E39" s="371">
        <f>E37+E38</f>
        <v>0</v>
      </c>
    </row>
    <row r="40" spans="2:5" ht="15.75">
      <c r="B40" s="86" t="s">
        <v>172</v>
      </c>
      <c r="C40" s="108"/>
      <c r="D40" s="192"/>
      <c r="E40" s="192"/>
    </row>
    <row r="41" spans="2:5" ht="15.75">
      <c r="B41" s="81"/>
      <c r="C41" s="652" t="s">
        <v>190</v>
      </c>
      <c r="D41" s="650" t="s">
        <v>323</v>
      </c>
      <c r="E41" s="651" t="s">
        <v>324</v>
      </c>
    </row>
    <row r="42" spans="2:5" ht="15.75">
      <c r="B42" s="486">
        <f>(inputPrYr!B24)</f>
        <v>0</v>
      </c>
      <c r="C42" s="358">
        <f>inputPrYr!$C$5-2</f>
        <v>2010</v>
      </c>
      <c r="D42" s="443">
        <f>inputPrYr!$C$5-1</f>
        <v>2011</v>
      </c>
      <c r="E42" s="251">
        <f>inputPrYr!$C$5</f>
        <v>2012</v>
      </c>
    </row>
    <row r="43" spans="2:5" ht="15.75">
      <c r="B43" s="198" t="s">
        <v>291</v>
      </c>
      <c r="C43" s="481"/>
      <c r="D43" s="480">
        <f>C70</f>
        <v>0</v>
      </c>
      <c r="E43" s="209">
        <f>D70</f>
        <v>0</v>
      </c>
    </row>
    <row r="44" spans="2:5" ht="15.75">
      <c r="B44" s="198" t="s">
        <v>293</v>
      </c>
      <c r="C44" s="198"/>
      <c r="D44" s="480"/>
      <c r="E44" s="209"/>
    </row>
    <row r="45" spans="2:5" ht="15.75">
      <c r="B45" s="198" t="s">
        <v>173</v>
      </c>
      <c r="C45" s="477"/>
      <c r="D45" s="480">
        <f>inputPrYr!E24</f>
        <v>0</v>
      </c>
      <c r="E45" s="370" t="s">
        <v>160</v>
      </c>
    </row>
    <row r="46" spans="2:5" ht="15.75">
      <c r="B46" s="198" t="s">
        <v>174</v>
      </c>
      <c r="C46" s="477"/>
      <c r="D46" s="477"/>
      <c r="E46" s="104"/>
    </row>
    <row r="47" spans="2:5" ht="15.75">
      <c r="B47" s="198" t="s">
        <v>175</v>
      </c>
      <c r="C47" s="477"/>
      <c r="D47" s="477"/>
      <c r="E47" s="209" t="str">
        <f>Mvalloc!C14</f>
        <v>  </v>
      </c>
    </row>
    <row r="48" spans="2:5" ht="15.75">
      <c r="B48" s="198" t="s">
        <v>176</v>
      </c>
      <c r="C48" s="477"/>
      <c r="D48" s="477"/>
      <c r="E48" s="209" t="str">
        <f>Mvalloc!D14</f>
        <v>  </v>
      </c>
    </row>
    <row r="49" spans="2:5" ht="15.75">
      <c r="B49" s="211" t="s">
        <v>229</v>
      </c>
      <c r="C49" s="477"/>
      <c r="D49" s="477"/>
      <c r="E49" s="209" t="str">
        <f>Mvalloc!E14</f>
        <v>  </v>
      </c>
    </row>
    <row r="50" spans="2:5" ht="15.75">
      <c r="B50" s="211" t="s">
        <v>128</v>
      </c>
      <c r="C50" s="477"/>
      <c r="D50" s="477"/>
      <c r="E50" s="209" t="str">
        <f>Mvalloc!F14</f>
        <v>  </v>
      </c>
    </row>
    <row r="51" spans="2:5" ht="15.75">
      <c r="B51" s="316"/>
      <c r="C51" s="477"/>
      <c r="D51" s="477"/>
      <c r="E51" s="104"/>
    </row>
    <row r="52" spans="2:5" ht="15.75">
      <c r="B52" s="316"/>
      <c r="C52" s="477"/>
      <c r="D52" s="477"/>
      <c r="E52" s="104"/>
    </row>
    <row r="53" spans="2:5" ht="15.75">
      <c r="B53" s="362" t="s">
        <v>177</v>
      </c>
      <c r="C53" s="477"/>
      <c r="D53" s="477"/>
      <c r="E53" s="104"/>
    </row>
    <row r="54" spans="2:5" ht="15.75">
      <c r="B54" s="198" t="s">
        <v>269</v>
      </c>
      <c r="C54" s="477"/>
      <c r="D54" s="477"/>
      <c r="E54" s="104"/>
    </row>
    <row r="55" spans="2:5" ht="15.75">
      <c r="B55" s="198" t="s">
        <v>59</v>
      </c>
      <c r="C55" s="485">
        <f>IF(C56*0.1&lt;C54,"Exceed 10% Rule","")</f>
      </c>
      <c r="D55" s="478">
        <f>IF(D56*0.1&lt;D54,"Exceed 10% Rule","")</f>
      </c>
      <c r="E55" s="488">
        <f>IF(E56*0.1+E76&lt;E54,"Exceed 10% Rule","")</f>
      </c>
    </row>
    <row r="56" spans="2:5" ht="15.75">
      <c r="B56" s="313" t="s">
        <v>178</v>
      </c>
      <c r="C56" s="479">
        <f>SUM(C45:C54)</f>
        <v>0</v>
      </c>
      <c r="D56" s="479">
        <f>SUM(D45:D54)</f>
        <v>0</v>
      </c>
      <c r="E56" s="365">
        <f>SUM(E45:E54)</f>
        <v>0</v>
      </c>
    </row>
    <row r="57" spans="2:5" ht="15.75">
      <c r="B57" s="313" t="s">
        <v>179</v>
      </c>
      <c r="C57" s="479">
        <f>C43+C56</f>
        <v>0</v>
      </c>
      <c r="D57" s="479">
        <f>D43+D56</f>
        <v>0</v>
      </c>
      <c r="E57" s="365">
        <f>E43+E56</f>
        <v>0</v>
      </c>
    </row>
    <row r="58" spans="2:5" ht="15.75">
      <c r="B58" s="198" t="s">
        <v>180</v>
      </c>
      <c r="C58" s="198"/>
      <c r="D58" s="480"/>
      <c r="E58" s="209"/>
    </row>
    <row r="59" spans="2:5" ht="15.75">
      <c r="B59" s="316"/>
      <c r="C59" s="477"/>
      <c r="D59" s="477"/>
      <c r="E59" s="104"/>
    </row>
    <row r="60" spans="2:5" ht="15.75">
      <c r="B60" s="316"/>
      <c r="C60" s="477"/>
      <c r="D60" s="477"/>
      <c r="E60" s="104"/>
    </row>
    <row r="61" spans="2:5" ht="15.75">
      <c r="B61" s="316"/>
      <c r="C61" s="477"/>
      <c r="D61" s="477"/>
      <c r="E61" s="104"/>
    </row>
    <row r="62" spans="2:5" ht="15.75">
      <c r="B62" s="316"/>
      <c r="C62" s="477"/>
      <c r="D62" s="477"/>
      <c r="E62" s="104"/>
    </row>
    <row r="63" spans="2:5" ht="15.75">
      <c r="B63" s="316"/>
      <c r="C63" s="477"/>
      <c r="D63" s="477"/>
      <c r="E63" s="104"/>
    </row>
    <row r="64" spans="2:5" ht="15.75">
      <c r="B64" s="316"/>
      <c r="C64" s="477"/>
      <c r="D64" s="477"/>
      <c r="E64" s="104"/>
    </row>
    <row r="65" spans="2:5" ht="15.75">
      <c r="B65" s="316"/>
      <c r="C65" s="477"/>
      <c r="D65" s="477"/>
      <c r="E65" s="104"/>
    </row>
    <row r="66" spans="2:5" ht="15.75">
      <c r="B66" s="211" t="s">
        <v>58</v>
      </c>
      <c r="C66" s="477"/>
      <c r="D66" s="477"/>
      <c r="E66" s="209">
        <f>Nhood!E13</f>
      </c>
    </row>
    <row r="67" spans="2:5" ht="15.75">
      <c r="B67" s="211" t="s">
        <v>269</v>
      </c>
      <c r="C67" s="477"/>
      <c r="D67" s="477"/>
      <c r="E67" s="104"/>
    </row>
    <row r="68" spans="2:5" ht="15.75">
      <c r="B68" s="211" t="s">
        <v>60</v>
      </c>
      <c r="C68" s="478">
        <f>IF(C69*0.1&lt;C67,"Exceed 10% Rule","")</f>
      </c>
      <c r="D68" s="478">
        <f>IF(D69*0.1&lt;D67,"Exceed 10% Rule","")</f>
      </c>
      <c r="E68" s="488">
        <f>IF(E69*0.1&lt;E67,"Exceed 10% Rule","")</f>
      </c>
    </row>
    <row r="69" spans="2:5" ht="15.75">
      <c r="B69" s="313" t="s">
        <v>181</v>
      </c>
      <c r="C69" s="479">
        <f>SUM(C59:C67)</f>
        <v>0</v>
      </c>
      <c r="D69" s="479">
        <f>SUM(D59:D67)</f>
        <v>0</v>
      </c>
      <c r="E69" s="365">
        <f>SUM(E59:E67)</f>
        <v>0</v>
      </c>
    </row>
    <row r="70" spans="2:5" ht="15.75">
      <c r="B70" s="198" t="s">
        <v>292</v>
      </c>
      <c r="C70" s="484">
        <f>C57-C69</f>
        <v>0</v>
      </c>
      <c r="D70" s="484">
        <f>D57-D69</f>
        <v>0</v>
      </c>
      <c r="E70" s="370" t="s">
        <v>160</v>
      </c>
    </row>
    <row r="71" spans="2:6" ht="15.75">
      <c r="B71" s="232" t="str">
        <f>CONCATENATE("",E1-2,"/",E1-1," Budget Authority Amount:")</f>
        <v>2010/2011 Budget Authority Amount:</v>
      </c>
      <c r="C71" s="243">
        <f>inputOth!B62</f>
        <v>0</v>
      </c>
      <c r="D71" s="243">
        <f>inputPrYr!D24</f>
        <v>0</v>
      </c>
      <c r="E71" s="370" t="s">
        <v>160</v>
      </c>
      <c r="F71" s="318"/>
    </row>
    <row r="72" spans="2:6" ht="15.75">
      <c r="B72" s="232"/>
      <c r="C72" s="738" t="s">
        <v>678</v>
      </c>
      <c r="D72" s="739"/>
      <c r="E72" s="104"/>
      <c r="F72" s="318">
        <f>IF(E69/0.95-E69&lt;E72,"Exceeds 5%","")</f>
      </c>
    </row>
    <row r="73" spans="2:5" ht="15.75">
      <c r="B73" s="489" t="str">
        <f>CONCATENATE(C90,"     ",D90)</f>
        <v>     </v>
      </c>
      <c r="C73" s="740" t="s">
        <v>679</v>
      </c>
      <c r="D73" s="741"/>
      <c r="E73" s="209">
        <f>E69+E72</f>
        <v>0</v>
      </c>
    </row>
    <row r="74" spans="2:5" ht="15.75">
      <c r="B74" s="489" t="str">
        <f>CONCATENATE(C91,"     ",D91)</f>
        <v>     </v>
      </c>
      <c r="C74" s="319"/>
      <c r="D74" s="240" t="s">
        <v>182</v>
      </c>
      <c r="E74" s="111">
        <f>IF(E73-E57&gt;0,E73-E57,0)</f>
        <v>0</v>
      </c>
    </row>
    <row r="75" spans="2:5" ht="15.75">
      <c r="B75" s="240"/>
      <c r="C75" s="474" t="s">
        <v>680</v>
      </c>
      <c r="D75" s="490">
        <f>inputOth!$E$42</f>
        <v>0</v>
      </c>
      <c r="E75" s="209">
        <f>ROUND(IF(D75&gt;0,(E74*D75),0),0)</f>
        <v>0</v>
      </c>
    </row>
    <row r="76" spans="2:5" ht="15.75">
      <c r="B76" s="81"/>
      <c r="C76" s="762" t="str">
        <f>CONCATENATE("Amount of  ",E1-1," Ad Valorem Tax")</f>
        <v>Amount of  2011 Ad Valorem Tax</v>
      </c>
      <c r="D76" s="763"/>
      <c r="E76" s="371">
        <f>E74+E75</f>
        <v>0</v>
      </c>
    </row>
    <row r="77" spans="2:5" ht="15.75">
      <c r="B77" s="81"/>
      <c r="C77" s="81"/>
      <c r="D77" s="81"/>
      <c r="E77" s="81"/>
    </row>
    <row r="78" spans="2:5" ht="15.75">
      <c r="B78" s="240" t="s">
        <v>184</v>
      </c>
      <c r="C78" s="372"/>
      <c r="D78" s="135"/>
      <c r="E78" s="81"/>
    </row>
    <row r="80" spans="2:3" ht="15.75">
      <c r="B80" s="143"/>
      <c r="C80"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row r="92" spans="3:4" ht="15.75">
      <c r="C92" s="491"/>
      <c r="D92" s="491"/>
    </row>
    <row r="93" spans="3:4" ht="15.75">
      <c r="C93" s="491"/>
      <c r="D93" s="491"/>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City of Lewis</v>
      </c>
      <c r="C1" s="81"/>
      <c r="D1" s="81"/>
      <c r="E1" s="181">
        <f>inputPrYr!$C$5</f>
        <v>2012</v>
      </c>
    </row>
    <row r="2" spans="2:5" ht="15.75">
      <c r="B2" s="81"/>
      <c r="C2" s="81"/>
      <c r="D2" s="81"/>
      <c r="E2" s="240"/>
    </row>
    <row r="3" spans="2:5" ht="15.75">
      <c r="B3" s="98" t="s">
        <v>234</v>
      </c>
      <c r="C3" s="356"/>
      <c r="D3" s="356"/>
      <c r="E3" s="357"/>
    </row>
    <row r="4" spans="2:5" ht="15.75">
      <c r="B4" s="86" t="s">
        <v>172</v>
      </c>
      <c r="C4" s="652" t="s">
        <v>190</v>
      </c>
      <c r="D4" s="651" t="s">
        <v>323</v>
      </c>
      <c r="E4" s="651" t="s">
        <v>324</v>
      </c>
    </row>
    <row r="5" spans="2:5" ht="15.75">
      <c r="B5" s="487">
        <f>(inputPrYr!B32)</f>
        <v>0</v>
      </c>
      <c r="C5" s="358">
        <f>inputPrYr!$C$5-2</f>
        <v>2010</v>
      </c>
      <c r="D5" s="358">
        <f>inputPrYr!$C$5-1</f>
        <v>2011</v>
      </c>
      <c r="E5" s="251">
        <f>inputPrYr!$C$5</f>
        <v>2012</v>
      </c>
    </row>
    <row r="6" spans="2:5" ht="15.75">
      <c r="B6" s="198" t="s">
        <v>291</v>
      </c>
      <c r="C6" s="104"/>
      <c r="D6" s="209">
        <f>C31</f>
        <v>0</v>
      </c>
      <c r="E6" s="209">
        <f>D31</f>
        <v>0</v>
      </c>
    </row>
    <row r="7" spans="2:5" ht="15.75">
      <c r="B7" s="302" t="s">
        <v>293</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177</v>
      </c>
      <c r="C12" s="360"/>
      <c r="D12" s="360"/>
      <c r="E12" s="360"/>
    </row>
    <row r="13" spans="2:5" ht="15.75">
      <c r="B13" s="366" t="s">
        <v>269</v>
      </c>
      <c r="C13" s="360"/>
      <c r="D13" s="360"/>
      <c r="E13" s="360"/>
    </row>
    <row r="14" spans="2:5" ht="15.75">
      <c r="B14" s="366" t="s">
        <v>676</v>
      </c>
      <c r="C14" s="488">
        <f>IF(C15*0.1&lt;C13,"Exceed 10% Rule","")</f>
      </c>
      <c r="D14" s="363">
        <f>IF(D15*0.1&lt;D13,"Exceed 10% Rule","")</f>
      </c>
      <c r="E14" s="363">
        <f>IF(E15*0.1&lt;E13,"Exceed 10% Rule","")</f>
      </c>
    </row>
    <row r="15" spans="2:5" ht="15.75">
      <c r="B15" s="313" t="s">
        <v>178</v>
      </c>
      <c r="C15" s="365">
        <f>SUM(C8:C13)</f>
        <v>0</v>
      </c>
      <c r="D15" s="365">
        <f>SUM(D8:D13)</f>
        <v>0</v>
      </c>
      <c r="E15" s="365">
        <f>SUM(E8:E13)</f>
        <v>0</v>
      </c>
    </row>
    <row r="16" spans="2:5" ht="15.75">
      <c r="B16" s="313" t="s">
        <v>179</v>
      </c>
      <c r="C16" s="365">
        <f>C6+C15</f>
        <v>0</v>
      </c>
      <c r="D16" s="365">
        <f>D6+D15</f>
        <v>0</v>
      </c>
      <c r="E16" s="365">
        <f>E6+E15</f>
        <v>0</v>
      </c>
    </row>
    <row r="17" spans="2:5" ht="15.75">
      <c r="B17" s="198" t="s">
        <v>180</v>
      </c>
      <c r="C17" s="125"/>
      <c r="D17" s="125"/>
      <c r="E17" s="125"/>
    </row>
    <row r="18" spans="2:5" ht="15.75">
      <c r="B18" s="316" t="s">
        <v>303</v>
      </c>
      <c r="C18" s="360"/>
      <c r="D18" s="360"/>
      <c r="E18" s="360"/>
    </row>
    <row r="19" spans="2:5" ht="15.75">
      <c r="B19" s="316" t="s">
        <v>306</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269</v>
      </c>
      <c r="C28" s="360"/>
      <c r="D28" s="360"/>
      <c r="E28" s="360"/>
    </row>
    <row r="29" spans="2:5" ht="15.75">
      <c r="B29" s="211" t="s">
        <v>675</v>
      </c>
      <c r="C29" s="488">
        <f>IF(C30*0.1&lt;C28,"Exceed 10% Rule","")</f>
      </c>
      <c r="D29" s="363">
        <f>IF(D30*0.1&lt;D28,"Exceed 10% Rule","")</f>
      </c>
      <c r="E29" s="363">
        <f>IF(E30*0.1&lt;E28,"Exceed 10% Rule","")</f>
      </c>
    </row>
    <row r="30" spans="2:5" ht="15.75">
      <c r="B30" s="313" t="s">
        <v>181</v>
      </c>
      <c r="C30" s="365">
        <f>SUM(C18:C28)</f>
        <v>0</v>
      </c>
      <c r="D30" s="365">
        <f>SUM(D18:D28)</f>
        <v>0</v>
      </c>
      <c r="E30" s="365">
        <f>SUM(E18:E28)</f>
        <v>0</v>
      </c>
    </row>
    <row r="31" spans="2:5" ht="15.75">
      <c r="B31" s="198" t="s">
        <v>292</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6">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172</v>
      </c>
      <c r="C37" s="652" t="s">
        <v>190</v>
      </c>
      <c r="D37" s="651" t="s">
        <v>323</v>
      </c>
      <c r="E37" s="651" t="s">
        <v>324</v>
      </c>
    </row>
    <row r="38" spans="2:5" ht="15.75">
      <c r="B38" s="486">
        <f>(inputPrYr!B33)</f>
        <v>0</v>
      </c>
      <c r="C38" s="358">
        <f>inputPrYr!$C$5-2</f>
        <v>2010</v>
      </c>
      <c r="D38" s="358">
        <f>inputPrYr!$C$5-1</f>
        <v>2011</v>
      </c>
      <c r="E38" s="251">
        <f>inputPrYr!$C$5</f>
        <v>2012</v>
      </c>
    </row>
    <row r="39" spans="2:5" ht="15.75">
      <c r="B39" s="198" t="s">
        <v>291</v>
      </c>
      <c r="C39" s="104"/>
      <c r="D39" s="209">
        <f>C63</f>
        <v>0</v>
      </c>
      <c r="E39" s="209">
        <f>D63</f>
        <v>0</v>
      </c>
    </row>
    <row r="40" spans="2:5" ht="15.75">
      <c r="B40" s="198" t="s">
        <v>293</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177</v>
      </c>
      <c r="C45" s="360"/>
      <c r="D45" s="360"/>
      <c r="E45" s="360"/>
    </row>
    <row r="46" spans="2:5" ht="15.75">
      <c r="B46" s="366" t="s">
        <v>269</v>
      </c>
      <c r="C46" s="360"/>
      <c r="D46" s="360"/>
      <c r="E46" s="360"/>
    </row>
    <row r="47" spans="2:5" ht="15.75">
      <c r="B47" s="366" t="s">
        <v>676</v>
      </c>
      <c r="C47" s="488">
        <f>IF(C48*0.1&lt;C46,"Exceed 10% Rule","")</f>
      </c>
      <c r="D47" s="363">
        <f>IF(D48*0.1&lt;D46,"Exceed 10% Rule","")</f>
      </c>
      <c r="E47" s="363">
        <f>IF(E48*0.1&lt;E46,"Exceed 10% Rule","")</f>
      </c>
    </row>
    <row r="48" spans="2:5" ht="15.75">
      <c r="B48" s="313" t="s">
        <v>178</v>
      </c>
      <c r="C48" s="365">
        <f>SUM(C41:C46)</f>
        <v>0</v>
      </c>
      <c r="D48" s="365">
        <f>SUM(D41:D46)</f>
        <v>0</v>
      </c>
      <c r="E48" s="365">
        <f>SUM(E41:E46)</f>
        <v>0</v>
      </c>
    </row>
    <row r="49" spans="2:5" ht="15.75">
      <c r="B49" s="313" t="s">
        <v>179</v>
      </c>
      <c r="C49" s="365">
        <f>C39+C48</f>
        <v>0</v>
      </c>
      <c r="D49" s="365">
        <f>D39+D48</f>
        <v>0</v>
      </c>
      <c r="E49" s="365">
        <f>E39+E48</f>
        <v>0</v>
      </c>
    </row>
    <row r="50" spans="2:5" ht="15.75">
      <c r="B50" s="198" t="s">
        <v>180</v>
      </c>
      <c r="C50" s="125"/>
      <c r="D50" s="125"/>
      <c r="E50" s="125"/>
    </row>
    <row r="51" spans="2:5" ht="15.75">
      <c r="B51" s="316" t="s">
        <v>303</v>
      </c>
      <c r="C51" s="360"/>
      <c r="D51" s="360"/>
      <c r="E51" s="360"/>
    </row>
    <row r="52" spans="2:5" ht="15.75">
      <c r="B52" s="316" t="s">
        <v>304</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269</v>
      </c>
      <c r="C60" s="360"/>
      <c r="D60" s="148"/>
      <c r="E60" s="148"/>
    </row>
    <row r="61" spans="2:5" ht="15.75">
      <c r="B61" s="211" t="s">
        <v>675</v>
      </c>
      <c r="C61" s="488">
        <f>IF(C62*0.1&lt;C60,"Exceed 10% Rule","")</f>
      </c>
      <c r="D61" s="363">
        <f>IF(D62*0.1&lt;D60,"Exceed 10% Rule","")</f>
      </c>
      <c r="E61" s="363">
        <f>IF(E62*0.1&lt;E60,"Exceed 10% Rule","")</f>
      </c>
    </row>
    <row r="62" spans="2:5" ht="15.75">
      <c r="B62" s="313" t="s">
        <v>181</v>
      </c>
      <c r="C62" s="365">
        <f>SUM(C51:C60)</f>
        <v>0</v>
      </c>
      <c r="D62" s="365">
        <f>SUM(D51:D60)</f>
        <v>0</v>
      </c>
      <c r="E62" s="365">
        <f>SUM(E51:E60)</f>
        <v>0</v>
      </c>
    </row>
    <row r="63" spans="2:5" ht="15.75">
      <c r="B63" s="198" t="s">
        <v>292</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184</v>
      </c>
      <c r="C68" s="322"/>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City of Lewis</v>
      </c>
      <c r="C1" s="81"/>
      <c r="D1" s="81"/>
      <c r="E1" s="181">
        <f>inputPrYr!$C$5</f>
        <v>2012</v>
      </c>
    </row>
    <row r="2" spans="2:5" ht="15.75">
      <c r="B2" s="81"/>
      <c r="C2" s="81"/>
      <c r="D2" s="81"/>
      <c r="E2" s="240"/>
    </row>
    <row r="3" spans="2:5" ht="15.75">
      <c r="B3" s="98" t="s">
        <v>234</v>
      </c>
      <c r="C3" s="356"/>
      <c r="D3" s="356"/>
      <c r="E3" s="357"/>
    </row>
    <row r="4" spans="2:5" ht="15.75">
      <c r="B4" s="86" t="s">
        <v>172</v>
      </c>
      <c r="C4" s="652" t="s">
        <v>190</v>
      </c>
      <c r="D4" s="651" t="s">
        <v>323</v>
      </c>
      <c r="E4" s="651" t="s">
        <v>324</v>
      </c>
    </row>
    <row r="5" spans="2:5" ht="15.75">
      <c r="B5" s="487">
        <f>(inputPrYr!B35)</f>
        <v>0</v>
      </c>
      <c r="C5" s="358">
        <f>inputPrYr!$C$5-2</f>
        <v>2010</v>
      </c>
      <c r="D5" s="358">
        <f>inputPrYr!$C$5-1</f>
        <v>2011</v>
      </c>
      <c r="E5" s="251">
        <f>inputPrYr!$C$5</f>
        <v>2012</v>
      </c>
    </row>
    <row r="6" spans="2:5" ht="15.75">
      <c r="B6" s="198" t="s">
        <v>291</v>
      </c>
      <c r="C6" s="104"/>
      <c r="D6" s="209">
        <f>C52</f>
        <v>0</v>
      </c>
      <c r="E6" s="209">
        <f>D52</f>
        <v>0</v>
      </c>
    </row>
    <row r="7" spans="2:5" ht="15.75">
      <c r="B7" s="302" t="s">
        <v>293</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177</v>
      </c>
      <c r="C18" s="360"/>
      <c r="D18" s="360"/>
      <c r="E18" s="360"/>
    </row>
    <row r="19" spans="2:5" ht="15.75">
      <c r="B19" s="198" t="s">
        <v>269</v>
      </c>
      <c r="C19" s="360"/>
      <c r="D19" s="360"/>
      <c r="E19" s="360"/>
    </row>
    <row r="20" spans="2:5" ht="15.75">
      <c r="B20" s="198" t="s">
        <v>850</v>
      </c>
      <c r="C20" s="488">
        <f>IF(C21*0.1&lt;C19,"Exceed 10% Rule","")</f>
      </c>
      <c r="D20" s="363">
        <f>IF(D21*0.1&lt;D19,"Exceed 10% Rule","")</f>
      </c>
      <c r="E20" s="363">
        <f>IF(E21*0.1&lt;E19,"Exceed 10% Rule","")</f>
      </c>
    </row>
    <row r="21" spans="2:5" ht="15.75">
      <c r="B21" s="313" t="s">
        <v>178</v>
      </c>
      <c r="C21" s="365">
        <f>SUM(C8:C19)</f>
        <v>0</v>
      </c>
      <c r="D21" s="365">
        <f>SUM(D8:D19)</f>
        <v>0</v>
      </c>
      <c r="E21" s="365">
        <f>SUM(E8:E19)</f>
        <v>0</v>
      </c>
    </row>
    <row r="22" spans="2:5" ht="15.75">
      <c r="B22" s="313" t="s">
        <v>179</v>
      </c>
      <c r="C22" s="365">
        <f>C6+C21</f>
        <v>0</v>
      </c>
      <c r="D22" s="365">
        <f>D6+D21</f>
        <v>0</v>
      </c>
      <c r="E22" s="365">
        <f>E6+E21</f>
        <v>0</v>
      </c>
    </row>
    <row r="23" spans="2:5" ht="15.75">
      <c r="B23" s="198" t="s">
        <v>180</v>
      </c>
      <c r="C23" s="125"/>
      <c r="D23" s="125"/>
      <c r="E23" s="125"/>
    </row>
    <row r="24" spans="2:5" ht="15.75">
      <c r="B24" s="316" t="s">
        <v>303</v>
      </c>
      <c r="C24" s="360"/>
      <c r="D24" s="360"/>
      <c r="E24" s="360"/>
    </row>
    <row r="25" spans="2:5" ht="15.75">
      <c r="B25" s="316" t="s">
        <v>306</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269</v>
      </c>
      <c r="C49" s="360"/>
      <c r="D49" s="360"/>
      <c r="E49" s="360"/>
    </row>
    <row r="50" spans="2:5" ht="15.75">
      <c r="B50" s="211" t="s">
        <v>849</v>
      </c>
      <c r="C50" s="488">
        <f>IF(C51*0.1&lt;C49,"Exceed 10% Rule","")</f>
      </c>
      <c r="D50" s="363">
        <f>IF(D51*0.1&lt;D49,"Exceed 10% Rule","")</f>
      </c>
      <c r="E50" s="363">
        <f>IF(E51*0.1&lt;E49,"Exceed 10% Rule","")</f>
      </c>
    </row>
    <row r="51" spans="2:5" ht="15.75">
      <c r="B51" s="313" t="s">
        <v>181</v>
      </c>
      <c r="C51" s="365">
        <f>SUM(C24:C49)</f>
        <v>0</v>
      </c>
      <c r="D51" s="365">
        <f>SUM(D24:D49)</f>
        <v>0</v>
      </c>
      <c r="E51" s="365">
        <f>SUM(E24:E49)</f>
        <v>0</v>
      </c>
    </row>
    <row r="52" spans="2:5" ht="15.75">
      <c r="B52" s="198" t="s">
        <v>292</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6">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184</v>
      </c>
      <c r="C57" s="322"/>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367</v>
      </c>
    </row>
    <row r="2" ht="15.75">
      <c r="A2" s="1"/>
    </row>
    <row r="3" ht="57" customHeight="1">
      <c r="A3" s="382" t="s">
        <v>368</v>
      </c>
    </row>
    <row r="4" ht="15.75">
      <c r="A4" s="380"/>
    </row>
    <row r="5" ht="15.75">
      <c r="A5" s="1"/>
    </row>
    <row r="6" ht="44.25" customHeight="1">
      <c r="A6" s="382" t="s">
        <v>369</v>
      </c>
    </row>
    <row r="7" ht="15.75">
      <c r="A7" s="1"/>
    </row>
    <row r="8" ht="15.75">
      <c r="A8" s="380"/>
    </row>
    <row r="9" ht="46.5" customHeight="1">
      <c r="A9" s="382" t="s">
        <v>370</v>
      </c>
    </row>
    <row r="10" ht="15.75">
      <c r="A10" s="1"/>
    </row>
    <row r="11" ht="15.75">
      <c r="A11" s="380"/>
    </row>
    <row r="12" ht="60" customHeight="1">
      <c r="A12" s="382" t="s">
        <v>371</v>
      </c>
    </row>
    <row r="13" ht="15.75">
      <c r="A13" s="1"/>
    </row>
    <row r="14" ht="15.75">
      <c r="A14" s="1"/>
    </row>
    <row r="15" ht="61.5" customHeight="1">
      <c r="A15" s="382" t="s">
        <v>372</v>
      </c>
    </row>
    <row r="16" ht="15.75">
      <c r="A16" s="1"/>
    </row>
    <row r="17" ht="15.75">
      <c r="A17" s="1"/>
    </row>
    <row r="18" ht="59.25" customHeight="1">
      <c r="A18" s="382" t="s">
        <v>373</v>
      </c>
    </row>
    <row r="19" ht="15.75">
      <c r="A19" s="1"/>
    </row>
    <row r="20" ht="15.75">
      <c r="A20" s="1"/>
    </row>
    <row r="21" ht="61.5" customHeight="1">
      <c r="A21" s="382" t="s">
        <v>374</v>
      </c>
    </row>
    <row r="22" ht="15.75">
      <c r="A22" s="380"/>
    </row>
    <row r="23" ht="15.75">
      <c r="A23" s="380"/>
    </row>
    <row r="24" ht="63" customHeight="1">
      <c r="A24" s="382" t="s">
        <v>375</v>
      </c>
    </row>
    <row r="25" ht="15.75">
      <c r="A25" s="1"/>
    </row>
    <row r="26" ht="15.75">
      <c r="A26" s="1"/>
    </row>
    <row r="27" ht="52.5" customHeight="1">
      <c r="A27" s="542" t="s">
        <v>697</v>
      </c>
    </row>
    <row r="28" ht="15.75">
      <c r="A28" s="1"/>
    </row>
    <row r="29" ht="15.75">
      <c r="A29" s="1"/>
    </row>
    <row r="30" ht="44.25" customHeight="1">
      <c r="A30" s="382" t="s">
        <v>376</v>
      </c>
    </row>
    <row r="31" ht="15.75">
      <c r="A31" s="1"/>
    </row>
    <row r="32" ht="15.75">
      <c r="A32" s="1"/>
    </row>
    <row r="33" ht="42.75" customHeight="1">
      <c r="A33" s="382" t="s">
        <v>377</v>
      </c>
    </row>
    <row r="34" ht="15.75">
      <c r="A34" s="380"/>
    </row>
    <row r="35" ht="15.75">
      <c r="A35" s="380"/>
    </row>
    <row r="36" ht="38.25" customHeight="1">
      <c r="A36" s="382" t="s">
        <v>378</v>
      </c>
    </row>
    <row r="37" ht="15.75">
      <c r="A37" s="380"/>
    </row>
    <row r="38" ht="15.75">
      <c r="A38" s="1"/>
    </row>
    <row r="39" ht="75.75" customHeight="1">
      <c r="A39" s="382" t="s">
        <v>379</v>
      </c>
    </row>
    <row r="40" ht="15.75">
      <c r="A40" s="1"/>
    </row>
    <row r="41" ht="15.75">
      <c r="A41" s="1"/>
    </row>
    <row r="42" ht="57.75" customHeight="1">
      <c r="A42" s="382" t="s">
        <v>380</v>
      </c>
    </row>
    <row r="43" ht="15.75">
      <c r="A43" s="380"/>
    </row>
    <row r="44" ht="15.75">
      <c r="A44" s="1"/>
    </row>
    <row r="45" ht="57.75" customHeight="1">
      <c r="A45" s="382" t="s">
        <v>381</v>
      </c>
    </row>
    <row r="46" ht="15.75">
      <c r="A46" s="1"/>
    </row>
    <row r="47" ht="15.75">
      <c r="A47" s="1"/>
    </row>
    <row r="48" ht="41.25" customHeight="1">
      <c r="A48" s="382" t="s">
        <v>382</v>
      </c>
    </row>
    <row r="49" ht="15.75">
      <c r="A49" s="1"/>
    </row>
    <row r="50" ht="15.75">
      <c r="A50" s="1"/>
    </row>
    <row r="51" ht="75" customHeight="1">
      <c r="A51" s="382" t="s">
        <v>383</v>
      </c>
    </row>
    <row r="52" ht="15.75">
      <c r="A52" s="380"/>
    </row>
    <row r="53" ht="15.75">
      <c r="A53" s="380"/>
    </row>
    <row r="54" ht="57.75" customHeight="1">
      <c r="A54" s="382" t="s">
        <v>384</v>
      </c>
    </row>
    <row r="55" ht="15.75">
      <c r="A55" s="1"/>
    </row>
    <row r="56" ht="15.75">
      <c r="A56" s="1"/>
    </row>
    <row r="57" ht="44.25" customHeight="1">
      <c r="A57" s="382" t="s">
        <v>385</v>
      </c>
    </row>
    <row r="58" ht="15.75">
      <c r="A58" s="1"/>
    </row>
    <row r="59" ht="15.75">
      <c r="A59" s="1"/>
    </row>
    <row r="60" ht="60" customHeight="1">
      <c r="A60" s="382" t="s">
        <v>386</v>
      </c>
    </row>
    <row r="61" ht="15.75">
      <c r="A61" s="380"/>
    </row>
    <row r="62" ht="15.75">
      <c r="A62" s="380"/>
    </row>
    <row r="63" ht="57.75" customHeight="1">
      <c r="A63" s="382" t="s">
        <v>387</v>
      </c>
    </row>
    <row r="64" ht="15.75">
      <c r="A64" s="1"/>
    </row>
    <row r="65" ht="15.75">
      <c r="A65" s="1"/>
    </row>
    <row r="66" ht="60" customHeight="1">
      <c r="A66" s="382" t="s">
        <v>388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0" t="s">
        <v>307</v>
      </c>
      <c r="B1" s="770"/>
      <c r="C1" s="770"/>
      <c r="D1" s="770"/>
      <c r="E1" s="770"/>
      <c r="F1" s="770"/>
      <c r="G1" s="770"/>
    </row>
    <row r="2" spans="1:7" ht="16.5" customHeight="1">
      <c r="A2" s="770"/>
      <c r="B2" s="770"/>
      <c r="C2" s="770"/>
      <c r="D2" s="770"/>
      <c r="E2" s="770"/>
      <c r="F2" s="770"/>
      <c r="G2" s="770"/>
    </row>
    <row r="3" spans="1:7" ht="16.5" customHeight="1">
      <c r="A3" s="771"/>
      <c r="B3" s="771"/>
      <c r="C3" s="771"/>
      <c r="D3" s="771"/>
      <c r="E3" s="771"/>
      <c r="F3" s="771"/>
      <c r="G3" s="771"/>
    </row>
    <row r="4" spans="1:7" ht="16.5" customHeight="1">
      <c r="A4" s="772" t="str">
        <f>CONCATENATE("AN ORDINANCE ATTESTING TO AN INCREASE IN TAX REVENUES FOR BUDGET YEAR ",(inputPrYr!$C$5)," FOR THE ",(inputPrYr!$D$2))</f>
        <v>AN ORDINANCE ATTESTING TO AN INCREASE IN TAX REVENUES FOR BUDGET YEAR 2012 FOR THE City of Lewis</v>
      </c>
      <c r="B4" s="772"/>
      <c r="C4" s="772"/>
      <c r="D4" s="772"/>
      <c r="E4" s="772"/>
      <c r="F4" s="772"/>
      <c r="G4" s="772"/>
    </row>
    <row r="5" spans="1:7" ht="16.5" customHeight="1">
      <c r="A5" s="772"/>
      <c r="B5" s="772"/>
      <c r="C5" s="772"/>
      <c r="D5" s="772"/>
      <c r="E5" s="772"/>
      <c r="F5" s="772"/>
      <c r="G5" s="772"/>
    </row>
    <row r="6" spans="1:7" ht="16.5" customHeight="1">
      <c r="A6" s="770"/>
      <c r="B6" s="770"/>
      <c r="C6" s="770"/>
      <c r="D6" s="770"/>
      <c r="E6" s="770"/>
      <c r="F6" s="770"/>
      <c r="G6" s="770"/>
    </row>
    <row r="7" spans="1:14" ht="16.5" customHeight="1">
      <c r="A7" s="772" t="str">
        <f>CONCATENATE("WHEREAS, the  ",(inputPrYr!$D$2)," must continue to provide services to protect the health, safety, and welfare of the citizens of this community; and")</f>
        <v>WHEREAS, the  City of Lewis must continue to provide services to protect the health, safety, and welfare of the citizens of this community; and</v>
      </c>
      <c r="B7" s="772"/>
      <c r="C7" s="772"/>
      <c r="D7" s="772"/>
      <c r="E7" s="772"/>
      <c r="F7" s="772"/>
      <c r="G7" s="772"/>
      <c r="H7" s="27"/>
      <c r="I7" s="27"/>
      <c r="J7" s="27"/>
      <c r="K7" s="27"/>
      <c r="L7" s="27"/>
      <c r="M7" s="27"/>
      <c r="N7" s="27"/>
    </row>
    <row r="8" spans="1:14" ht="16.5" customHeight="1">
      <c r="A8" s="772"/>
      <c r="B8" s="772"/>
      <c r="C8" s="772"/>
      <c r="D8" s="772"/>
      <c r="E8" s="772"/>
      <c r="F8" s="772"/>
      <c r="G8" s="772"/>
      <c r="H8" s="27"/>
      <c r="I8" s="27"/>
      <c r="J8" s="27"/>
      <c r="K8" s="27"/>
      <c r="L8" s="27"/>
      <c r="M8" s="27"/>
      <c r="N8" s="27"/>
    </row>
    <row r="9" spans="1:7" ht="16.5" customHeight="1">
      <c r="A9" s="39"/>
      <c r="B9" s="39"/>
      <c r="C9" s="39"/>
      <c r="D9" s="39"/>
      <c r="E9" s="39"/>
      <c r="F9" s="39"/>
      <c r="G9" s="39"/>
    </row>
    <row r="10" spans="1:7" ht="16.5" customHeight="1">
      <c r="A10" s="772" t="s">
        <v>308</v>
      </c>
      <c r="B10" s="772"/>
      <c r="C10" s="772"/>
      <c r="D10" s="772"/>
      <c r="E10" s="772"/>
      <c r="F10" s="772"/>
      <c r="G10" s="772"/>
    </row>
    <row r="11" spans="1:7" ht="16.5" customHeight="1">
      <c r="A11" s="772"/>
      <c r="B11" s="772"/>
      <c r="C11" s="772"/>
      <c r="D11" s="772"/>
      <c r="E11" s="772"/>
      <c r="F11" s="772"/>
      <c r="G11" s="772"/>
    </row>
    <row r="12" spans="1:7" ht="16.5" customHeight="1">
      <c r="A12" s="39"/>
      <c r="B12" s="39"/>
      <c r="C12" s="39"/>
      <c r="D12" s="39"/>
      <c r="E12" s="39"/>
      <c r="F12" s="39"/>
      <c r="G12" s="39"/>
    </row>
    <row r="13" spans="1:14" ht="16.5" customHeight="1">
      <c r="A13" s="772" t="str">
        <f>CONCATENATE("NOW THEREFORE, be it ordained by the Governing Body of the ",(inputPrYr!$D$2),":")</f>
        <v>NOW THEREFORE, be it ordained by the Governing Body of the City of Lewis:</v>
      </c>
      <c r="B13" s="772"/>
      <c r="C13" s="772"/>
      <c r="D13" s="772"/>
      <c r="E13" s="772"/>
      <c r="F13" s="772"/>
      <c r="G13" s="772"/>
      <c r="H13" s="27"/>
      <c r="I13" s="27"/>
      <c r="J13" s="27"/>
      <c r="K13" s="27"/>
      <c r="L13" s="27"/>
      <c r="M13" s="27"/>
      <c r="N13" s="27"/>
    </row>
    <row r="14" spans="1:14" ht="16.5" customHeight="1">
      <c r="A14" s="772"/>
      <c r="B14" s="772"/>
      <c r="C14" s="772"/>
      <c r="D14" s="772"/>
      <c r="E14" s="772"/>
      <c r="F14" s="772"/>
      <c r="G14" s="772"/>
      <c r="H14" s="27"/>
      <c r="I14" s="27"/>
      <c r="J14" s="27"/>
      <c r="K14" s="27"/>
      <c r="L14" s="27"/>
      <c r="M14" s="27"/>
      <c r="N14" s="27"/>
    </row>
    <row r="15" spans="1:14" ht="16.5" customHeight="1">
      <c r="A15" s="77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Lewis  has scheduled a public hearing and has prepared the proposed budget necessary to fund city services from January 1, 2012 until December 31, 2012.</v>
      </c>
      <c r="B15" s="772"/>
      <c r="C15" s="772"/>
      <c r="D15" s="772"/>
      <c r="E15" s="772"/>
      <c r="F15" s="772"/>
      <c r="G15" s="772"/>
      <c r="H15" s="27"/>
      <c r="I15" s="27"/>
      <c r="J15" s="27"/>
      <c r="K15" s="27"/>
      <c r="L15" s="27"/>
      <c r="M15" s="27"/>
      <c r="N15" s="27"/>
    </row>
    <row r="16" spans="1:14" ht="16.5" customHeight="1">
      <c r="A16" s="772"/>
      <c r="B16" s="772"/>
      <c r="C16" s="772"/>
      <c r="D16" s="772"/>
      <c r="E16" s="772"/>
      <c r="F16" s="772"/>
      <c r="G16" s="772"/>
      <c r="H16" s="27"/>
      <c r="I16" s="27"/>
      <c r="J16" s="27"/>
      <c r="K16" s="27"/>
      <c r="L16" s="27"/>
      <c r="M16" s="27"/>
      <c r="N16" s="27"/>
    </row>
    <row r="17" spans="1:14" ht="16.5" customHeight="1">
      <c r="A17" s="772"/>
      <c r="B17" s="772"/>
      <c r="C17" s="772"/>
      <c r="D17" s="772"/>
      <c r="E17" s="772"/>
      <c r="F17" s="772"/>
      <c r="G17" s="772"/>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2" t="s">
        <v>309</v>
      </c>
      <c r="B24" s="772"/>
      <c r="C24" s="772"/>
      <c r="D24" s="772"/>
      <c r="E24" s="772"/>
      <c r="F24" s="772"/>
      <c r="G24" s="772"/>
    </row>
    <row r="25" spans="1:7" ht="16.5" customHeight="1">
      <c r="A25" s="772"/>
      <c r="B25" s="772"/>
      <c r="C25" s="772"/>
      <c r="D25" s="772"/>
      <c r="E25" s="772"/>
      <c r="F25" s="772"/>
      <c r="G25" s="772"/>
    </row>
    <row r="26" spans="1:7" ht="16.5" customHeight="1">
      <c r="A26" s="40"/>
      <c r="B26" s="40"/>
      <c r="C26" s="40"/>
      <c r="D26" s="40"/>
      <c r="E26" s="40"/>
      <c r="F26" s="40"/>
      <c r="G26" s="40"/>
    </row>
    <row r="27" spans="1:7" ht="16.5" customHeight="1">
      <c r="A27" s="772" t="str">
        <f>CONCATENATE("Passed and approved by the Governing Body on this ______ day of __________, ",(inputPrYr!$C$5-1),".")</f>
        <v>Passed and approved by the Governing Body on this ______ day of __________, 2011.</v>
      </c>
      <c r="B27" s="772"/>
      <c r="C27" s="772"/>
      <c r="D27" s="772"/>
      <c r="E27" s="772"/>
      <c r="F27" s="772"/>
      <c r="G27" s="772"/>
    </row>
    <row r="28" spans="1:7" ht="16.5" customHeight="1">
      <c r="A28" s="772"/>
      <c r="B28" s="772"/>
      <c r="C28" s="772"/>
      <c r="D28" s="772"/>
      <c r="E28" s="772"/>
      <c r="F28" s="772"/>
      <c r="G28" s="772"/>
    </row>
    <row r="29" spans="1:7" ht="16.5" customHeight="1">
      <c r="A29" s="42"/>
      <c r="B29" s="1"/>
      <c r="C29" s="1"/>
      <c r="D29" s="1"/>
      <c r="E29" s="1"/>
      <c r="F29" s="1"/>
      <c r="G29" s="1"/>
    </row>
    <row r="30" spans="1:7" ht="16.5" customHeight="1">
      <c r="A30" s="773" t="s">
        <v>310</v>
      </c>
      <c r="B30" s="773"/>
      <c r="C30" s="773"/>
      <c r="D30" s="773"/>
      <c r="E30" s="773"/>
      <c r="F30" s="773"/>
      <c r="G30" s="773"/>
    </row>
    <row r="31" spans="1:7" ht="16.5" customHeight="1">
      <c r="A31" s="773" t="s">
        <v>311</v>
      </c>
      <c r="B31" s="773"/>
      <c r="C31" s="773"/>
      <c r="D31" s="773"/>
      <c r="E31" s="773"/>
      <c r="F31" s="773"/>
      <c r="G31" s="773"/>
    </row>
    <row r="32" spans="1:7" ht="16.5" customHeight="1">
      <c r="A32" s="42" t="s">
        <v>312</v>
      </c>
      <c r="B32" s="1"/>
      <c r="C32" s="1"/>
      <c r="D32" s="1"/>
      <c r="E32" s="1"/>
      <c r="F32" s="1"/>
      <c r="G32" s="1"/>
    </row>
    <row r="33" spans="1:7" ht="16.5" customHeight="1">
      <c r="A33" s="1"/>
      <c r="B33" s="42" t="s">
        <v>313</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314</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481</v>
      </c>
      <c r="B3" s="412"/>
      <c r="C3" s="412"/>
      <c r="D3" s="412"/>
      <c r="E3" s="412"/>
      <c r="F3" s="412"/>
      <c r="G3" s="412"/>
      <c r="H3" s="412"/>
      <c r="I3" s="412"/>
      <c r="J3" s="412"/>
      <c r="K3" s="412"/>
      <c r="L3" s="412"/>
    </row>
    <row r="5" ht="15">
      <c r="A5" s="411" t="s">
        <v>482</v>
      </c>
    </row>
    <row r="6" ht="15">
      <c r="A6" s="411" t="str">
        <f>CONCATENATE(inputPrYr!C5-2," 'total expenditures' exceed your ",inputPrYr!C5-2," 'budget authority.'")</f>
        <v>2010 'total expenditures' exceed your 2010 'budget authority.'</v>
      </c>
    </row>
    <row r="7" ht="15">
      <c r="A7" s="411"/>
    </row>
    <row r="8" ht="15">
      <c r="A8" s="411" t="s">
        <v>483</v>
      </c>
    </row>
    <row r="9" ht="15">
      <c r="A9" s="411" t="s">
        <v>484</v>
      </c>
    </row>
    <row r="10" ht="15">
      <c r="A10" s="411" t="s">
        <v>485</v>
      </c>
    </row>
    <row r="11" ht="15">
      <c r="A11" s="411"/>
    </row>
    <row r="12" ht="15">
      <c r="A12" s="411"/>
    </row>
    <row r="13" ht="15">
      <c r="A13" s="410" t="s">
        <v>486</v>
      </c>
    </row>
    <row r="15" ht="15">
      <c r="A15" s="411" t="s">
        <v>487</v>
      </c>
    </row>
    <row r="16" ht="15">
      <c r="A16" s="411" t="str">
        <f>CONCATENATE("(i.e. an audit has not been completed, or the ",inputPrYr!C5," adopted")</f>
        <v>(i.e. an audit has not been completed, or the 2012 adopted</v>
      </c>
    </row>
    <row r="17" ht="15">
      <c r="A17" s="411" t="s">
        <v>488</v>
      </c>
    </row>
    <row r="18" ht="15">
      <c r="A18" s="411" t="s">
        <v>489</v>
      </c>
    </row>
    <row r="19" ht="15">
      <c r="A19" s="411" t="s">
        <v>490</v>
      </c>
    </row>
    <row r="21" ht="15">
      <c r="A21" s="410" t="s">
        <v>491</v>
      </c>
    </row>
    <row r="22" ht="15">
      <c r="A22" s="410"/>
    </row>
    <row r="23" ht="15">
      <c r="A23" s="411" t="s">
        <v>492</v>
      </c>
    </row>
    <row r="24" ht="15">
      <c r="A24" s="411" t="s">
        <v>493</v>
      </c>
    </row>
    <row r="25" ht="15">
      <c r="A25" s="411" t="str">
        <f>CONCATENATE("particular fund.  If your ",inputPrYr!C5-2," budget was amended, did you")</f>
        <v>particular fund.  If your 2010 budget was amended, did you</v>
      </c>
    </row>
    <row r="26" ht="15">
      <c r="A26" s="411" t="s">
        <v>494</v>
      </c>
    </row>
    <row r="27" ht="15">
      <c r="A27" s="411"/>
    </row>
    <row r="28" ht="15">
      <c r="A28" s="411" t="str">
        <f>CONCATENATE("Next, look to see if any of your ",inputPrYr!C5-2," expenditures can be")</f>
        <v>Next, look to see if any of your 2010 expenditures can be</v>
      </c>
    </row>
    <row r="29" ht="15">
      <c r="A29" s="411" t="s">
        <v>495</v>
      </c>
    </row>
    <row r="30" ht="15">
      <c r="A30" s="411" t="s">
        <v>496</v>
      </c>
    </row>
    <row r="31" ht="15">
      <c r="A31" s="411" t="s">
        <v>497</v>
      </c>
    </row>
    <row r="32" ht="15">
      <c r="A32" s="411"/>
    </row>
    <row r="33" ht="15">
      <c r="A33" s="411" t="str">
        <f>CONCATENATE("Additionally, do your ",inputPrYr!C5-2," receipts contain a reimbursement")</f>
        <v>Additionally, do your 2010 receipts contain a reimbursement</v>
      </c>
    </row>
    <row r="34" ht="15">
      <c r="A34" s="411" t="s">
        <v>498</v>
      </c>
    </row>
    <row r="35" ht="15">
      <c r="A35" s="411" t="s">
        <v>499</v>
      </c>
    </row>
    <row r="36" ht="15">
      <c r="A36" s="411"/>
    </row>
    <row r="37" ht="15">
      <c r="A37" s="411" t="s">
        <v>500</v>
      </c>
    </row>
    <row r="38" ht="15">
      <c r="A38" s="411" t="s">
        <v>501</v>
      </c>
    </row>
    <row r="39" ht="15">
      <c r="A39" s="411" t="s">
        <v>502</v>
      </c>
    </row>
    <row r="40" ht="15">
      <c r="A40" s="411" t="s">
        <v>503</v>
      </c>
    </row>
    <row r="41" ht="15">
      <c r="A41" s="411" t="s">
        <v>504</v>
      </c>
    </row>
    <row r="42" ht="15">
      <c r="A42" s="411" t="s">
        <v>505</v>
      </c>
    </row>
    <row r="43" ht="15">
      <c r="A43" s="411" t="s">
        <v>506</v>
      </c>
    </row>
    <row r="44" ht="15">
      <c r="A44" s="411" t="s">
        <v>507</v>
      </c>
    </row>
    <row r="45" ht="15">
      <c r="A45" s="411"/>
    </row>
    <row r="46" ht="15">
      <c r="A46" s="411" t="s">
        <v>508</v>
      </c>
    </row>
    <row r="47" ht="15">
      <c r="A47" s="411" t="s">
        <v>509</v>
      </c>
    </row>
    <row r="48" ht="15">
      <c r="A48" s="411" t="s">
        <v>510</v>
      </c>
    </row>
    <row r="49" ht="15">
      <c r="A49" s="411"/>
    </row>
    <row r="50" ht="15">
      <c r="A50" s="411" t="s">
        <v>511</v>
      </c>
    </row>
    <row r="51" ht="15">
      <c r="A51" s="411" t="s">
        <v>512</v>
      </c>
    </row>
    <row r="52" ht="15">
      <c r="A52" s="411" t="s">
        <v>513</v>
      </c>
    </row>
    <row r="53" ht="15">
      <c r="A53" s="411"/>
    </row>
    <row r="54" ht="15">
      <c r="A54" s="410" t="s">
        <v>514</v>
      </c>
    </row>
    <row r="55" ht="15">
      <c r="A55" s="411"/>
    </row>
    <row r="56" ht="15">
      <c r="A56" s="411" t="s">
        <v>515</v>
      </c>
    </row>
    <row r="57" ht="15">
      <c r="A57" s="411" t="s">
        <v>516</v>
      </c>
    </row>
    <row r="58" ht="15">
      <c r="A58" s="411" t="s">
        <v>517</v>
      </c>
    </row>
    <row r="59" ht="15">
      <c r="A59" s="411" t="s">
        <v>518</v>
      </c>
    </row>
    <row r="60" ht="15">
      <c r="A60" s="411" t="s">
        <v>519</v>
      </c>
    </row>
    <row r="61" ht="15">
      <c r="A61" s="411" t="s">
        <v>520</v>
      </c>
    </row>
    <row r="62" ht="15">
      <c r="A62" s="411" t="s">
        <v>521</v>
      </c>
    </row>
    <row r="63" ht="15">
      <c r="A63" s="411" t="s">
        <v>522</v>
      </c>
    </row>
    <row r="64" ht="15">
      <c r="A64" s="411" t="s">
        <v>523</v>
      </c>
    </row>
    <row r="65" ht="15">
      <c r="A65" s="411" t="s">
        <v>524</v>
      </c>
    </row>
    <row r="66" ht="15">
      <c r="A66" s="411" t="s">
        <v>525</v>
      </c>
    </row>
    <row r="67" ht="15">
      <c r="A67" s="411" t="s">
        <v>526</v>
      </c>
    </row>
    <row r="68" ht="15">
      <c r="A68" s="411" t="s">
        <v>527</v>
      </c>
    </row>
    <row r="69" ht="15">
      <c r="A69" s="411"/>
    </row>
    <row r="70" ht="15">
      <c r="A70" s="411" t="s">
        <v>528</v>
      </c>
    </row>
    <row r="71" ht="15">
      <c r="A71" s="411" t="s">
        <v>529</v>
      </c>
    </row>
    <row r="72" ht="15">
      <c r="A72" s="411" t="s">
        <v>530</v>
      </c>
    </row>
    <row r="73" ht="15">
      <c r="A73" s="411"/>
    </row>
    <row r="74" ht="15">
      <c r="A74" s="410" t="str">
        <f>CONCATENATE("What if the ",inputPrYr!C5-2," financial records have been closed?")</f>
        <v>What if the 2010 financial records have been closed?</v>
      </c>
    </row>
    <row r="76" ht="15">
      <c r="A76" s="411" t="s">
        <v>531</v>
      </c>
    </row>
    <row r="77" ht="15">
      <c r="A77" s="411" t="str">
        <f>CONCATENATE("(i.e. an audit for ",inputPrYr!C5-2," has been completed, or the ",inputPrYr!C5)</f>
        <v>(i.e. an audit for 2010 has been completed, or the 2012</v>
      </c>
    </row>
    <row r="78" ht="15">
      <c r="A78" s="411" t="s">
        <v>532</v>
      </c>
    </row>
    <row r="79" ht="15">
      <c r="A79" s="411" t="s">
        <v>533</v>
      </c>
    </row>
    <row r="80" ht="15">
      <c r="A80" s="411"/>
    </row>
    <row r="81" ht="15">
      <c r="A81" s="411" t="s">
        <v>534</v>
      </c>
    </row>
    <row r="82" ht="15">
      <c r="A82" s="411" t="s">
        <v>535</v>
      </c>
    </row>
    <row r="83" ht="15">
      <c r="A83" s="411" t="s">
        <v>536</v>
      </c>
    </row>
    <row r="84" ht="15">
      <c r="A84" s="411"/>
    </row>
    <row r="85" ht="15">
      <c r="A85" s="411" t="s">
        <v>480</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425</v>
      </c>
      <c r="B3" s="412"/>
      <c r="C3" s="412"/>
      <c r="D3" s="412"/>
      <c r="E3" s="412"/>
      <c r="F3" s="412"/>
      <c r="G3" s="412"/>
      <c r="H3" s="413"/>
      <c r="I3" s="413"/>
      <c r="J3" s="413"/>
    </row>
    <row r="5" ht="15">
      <c r="A5" s="411" t="s">
        <v>426</v>
      </c>
    </row>
    <row r="6" ht="15">
      <c r="A6" t="str">
        <f>CONCATENATE(inputPrYr!C5-2," expenditures show that you finished the year with a ")</f>
        <v>2010 expenditures show that you finished the year with a </v>
      </c>
    </row>
    <row r="7" ht="15">
      <c r="A7" t="s">
        <v>427</v>
      </c>
    </row>
    <row r="9" ht="15">
      <c r="A9" t="s">
        <v>428</v>
      </c>
    </row>
    <row r="10" ht="15">
      <c r="A10" t="s">
        <v>429</v>
      </c>
    </row>
    <row r="11" ht="15">
      <c r="A11" t="s">
        <v>430</v>
      </c>
    </row>
    <row r="13" ht="15">
      <c r="A13" s="410" t="s">
        <v>431</v>
      </c>
    </row>
    <row r="14" ht="15">
      <c r="A14" s="410"/>
    </row>
    <row r="15" ht="15">
      <c r="A15" s="411" t="s">
        <v>432</v>
      </c>
    </row>
    <row r="16" ht="15">
      <c r="A16" s="411" t="s">
        <v>433</v>
      </c>
    </row>
    <row r="17" ht="15">
      <c r="A17" s="411" t="s">
        <v>434</v>
      </c>
    </row>
    <row r="18" ht="15">
      <c r="A18" s="411"/>
    </row>
    <row r="19" ht="15">
      <c r="A19" s="410" t="s">
        <v>435</v>
      </c>
    </row>
    <row r="20" ht="15">
      <c r="A20" s="410"/>
    </row>
    <row r="21" ht="15">
      <c r="A21" s="411" t="s">
        <v>436</v>
      </c>
    </row>
    <row r="22" ht="15">
      <c r="A22" s="411" t="s">
        <v>437</v>
      </c>
    </row>
    <row r="23" ht="15">
      <c r="A23" s="411" t="s">
        <v>438</v>
      </c>
    </row>
    <row r="24" ht="15">
      <c r="A24" s="411"/>
    </row>
    <row r="25" ht="15">
      <c r="A25" s="410" t="s">
        <v>439</v>
      </c>
    </row>
    <row r="26" ht="15">
      <c r="A26" s="410"/>
    </row>
    <row r="27" ht="15">
      <c r="A27" s="411" t="s">
        <v>440</v>
      </c>
    </row>
    <row r="28" ht="15">
      <c r="A28" s="411" t="s">
        <v>441</v>
      </c>
    </row>
    <row r="29" ht="15">
      <c r="A29" s="411" t="s">
        <v>442</v>
      </c>
    </row>
    <row r="30" ht="15">
      <c r="A30" s="411"/>
    </row>
    <row r="31" ht="15">
      <c r="A31" s="410" t="s">
        <v>443</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444</v>
      </c>
      <c r="B35" s="411"/>
      <c r="C35" s="411"/>
      <c r="D35" s="411"/>
      <c r="E35" s="411"/>
      <c r="F35" s="411"/>
      <c r="G35" s="411"/>
      <c r="H35" s="411"/>
    </row>
    <row r="36" spans="1:8" ht="15">
      <c r="A36" s="411" t="s">
        <v>445</v>
      </c>
      <c r="B36" s="411"/>
      <c r="C36" s="411"/>
      <c r="D36" s="411"/>
      <c r="E36" s="411"/>
      <c r="F36" s="411"/>
      <c r="G36" s="411"/>
      <c r="H36" s="411"/>
    </row>
    <row r="37" spans="1:8" ht="15">
      <c r="A37" s="411" t="s">
        <v>446</v>
      </c>
      <c r="B37" s="411"/>
      <c r="C37" s="411"/>
      <c r="D37" s="411"/>
      <c r="E37" s="411"/>
      <c r="F37" s="411"/>
      <c r="G37" s="411"/>
      <c r="H37" s="411"/>
    </row>
    <row r="38" spans="1:8" ht="15">
      <c r="A38" s="411" t="s">
        <v>447</v>
      </c>
      <c r="B38" s="411"/>
      <c r="C38" s="411"/>
      <c r="D38" s="411"/>
      <c r="E38" s="411"/>
      <c r="F38" s="411"/>
      <c r="G38" s="411"/>
      <c r="H38" s="411"/>
    </row>
    <row r="39" spans="1:8" ht="15">
      <c r="A39" s="411" t="s">
        <v>448</v>
      </c>
      <c r="B39" s="411"/>
      <c r="C39" s="411"/>
      <c r="D39" s="411"/>
      <c r="E39" s="411"/>
      <c r="F39" s="411"/>
      <c r="G39" s="411"/>
      <c r="H39" s="411"/>
    </row>
    <row r="40" spans="1:8" ht="15">
      <c r="A40" s="411"/>
      <c r="B40" s="411"/>
      <c r="C40" s="411"/>
      <c r="D40" s="411"/>
      <c r="E40" s="411"/>
      <c r="F40" s="411"/>
      <c r="G40" s="411"/>
      <c r="H40" s="411"/>
    </row>
    <row r="41" spans="1:8" ht="15">
      <c r="A41" s="411" t="s">
        <v>449</v>
      </c>
      <c r="B41" s="411"/>
      <c r="C41" s="411"/>
      <c r="D41" s="411"/>
      <c r="E41" s="411"/>
      <c r="F41" s="411"/>
      <c r="G41" s="411"/>
      <c r="H41" s="411"/>
    </row>
    <row r="42" spans="1:8" ht="15">
      <c r="A42" s="411" t="s">
        <v>450</v>
      </c>
      <c r="B42" s="411"/>
      <c r="C42" s="411"/>
      <c r="D42" s="411"/>
      <c r="E42" s="411"/>
      <c r="F42" s="411"/>
      <c r="G42" s="411"/>
      <c r="H42" s="411"/>
    </row>
    <row r="43" spans="1:8" ht="15">
      <c r="A43" s="411" t="s">
        <v>451</v>
      </c>
      <c r="B43" s="411"/>
      <c r="C43" s="411"/>
      <c r="D43" s="411"/>
      <c r="E43" s="411"/>
      <c r="F43" s="411"/>
      <c r="G43" s="411"/>
      <c r="H43" s="411"/>
    </row>
    <row r="44" spans="1:8" ht="15">
      <c r="A44" s="411" t="s">
        <v>452</v>
      </c>
      <c r="B44" s="411"/>
      <c r="C44" s="411"/>
      <c r="D44" s="411"/>
      <c r="E44" s="411"/>
      <c r="F44" s="411"/>
      <c r="G44" s="411"/>
      <c r="H44" s="411"/>
    </row>
    <row r="45" spans="1:8" ht="15">
      <c r="A45" s="411"/>
      <c r="B45" s="411"/>
      <c r="C45" s="411"/>
      <c r="D45" s="411"/>
      <c r="E45" s="411"/>
      <c r="F45" s="411"/>
      <c r="G45" s="411"/>
      <c r="H45" s="411"/>
    </row>
    <row r="46" spans="1:8" ht="15">
      <c r="A46" s="411" t="s">
        <v>453</v>
      </c>
      <c r="B46" s="411"/>
      <c r="C46" s="411"/>
      <c r="D46" s="411"/>
      <c r="E46" s="411"/>
      <c r="F46" s="411"/>
      <c r="G46" s="411"/>
      <c r="H46" s="411"/>
    </row>
    <row r="47" spans="1:8" ht="15">
      <c r="A47" s="411" t="s">
        <v>454</v>
      </c>
      <c r="B47" s="411"/>
      <c r="C47" s="411"/>
      <c r="D47" s="411"/>
      <c r="E47" s="411"/>
      <c r="F47" s="411"/>
      <c r="G47" s="411"/>
      <c r="H47" s="411"/>
    </row>
    <row r="48" spans="1:8" ht="15">
      <c r="A48" s="411" t="s">
        <v>455</v>
      </c>
      <c r="B48" s="411"/>
      <c r="C48" s="411"/>
      <c r="D48" s="411"/>
      <c r="E48" s="411"/>
      <c r="F48" s="411"/>
      <c r="G48" s="411"/>
      <c r="H48" s="411"/>
    </row>
    <row r="49" spans="1:8" ht="15">
      <c r="A49" s="411" t="s">
        <v>456</v>
      </c>
      <c r="B49" s="411"/>
      <c r="C49" s="411"/>
      <c r="D49" s="411"/>
      <c r="E49" s="411"/>
      <c r="F49" s="411"/>
      <c r="G49" s="411"/>
      <c r="H49" s="411"/>
    </row>
    <row r="50" spans="1:8" ht="15">
      <c r="A50" s="411" t="s">
        <v>457</v>
      </c>
      <c r="B50" s="411"/>
      <c r="C50" s="411"/>
      <c r="D50" s="411"/>
      <c r="E50" s="411"/>
      <c r="F50" s="411"/>
      <c r="G50" s="411"/>
      <c r="H50" s="411"/>
    </row>
    <row r="51" spans="1:8" ht="15">
      <c r="A51" s="411"/>
      <c r="B51" s="411"/>
      <c r="C51" s="411"/>
      <c r="D51" s="411"/>
      <c r="E51" s="411"/>
      <c r="F51" s="411"/>
      <c r="G51" s="411"/>
      <c r="H51" s="411"/>
    </row>
    <row r="52" spans="1:8" ht="15">
      <c r="A52" s="410" t="s">
        <v>458</v>
      </c>
      <c r="B52" s="410"/>
      <c r="C52" s="410"/>
      <c r="D52" s="410"/>
      <c r="E52" s="410"/>
      <c r="F52" s="410"/>
      <c r="G52" s="410"/>
      <c r="H52" s="411"/>
    </row>
    <row r="53" spans="1:8" ht="15">
      <c r="A53" s="410" t="s">
        <v>459</v>
      </c>
      <c r="B53" s="410"/>
      <c r="C53" s="410"/>
      <c r="D53" s="410"/>
      <c r="E53" s="410"/>
      <c r="F53" s="410"/>
      <c r="G53" s="410"/>
      <c r="H53" s="411"/>
    </row>
    <row r="54" spans="1:8" ht="15">
      <c r="A54" s="411"/>
      <c r="B54" s="411"/>
      <c r="C54" s="411"/>
      <c r="D54" s="411"/>
      <c r="E54" s="411"/>
      <c r="F54" s="411"/>
      <c r="G54" s="411"/>
      <c r="H54" s="411"/>
    </row>
    <row r="55" spans="1:8" ht="15">
      <c r="A55" s="411" t="s">
        <v>460</v>
      </c>
      <c r="B55" s="411"/>
      <c r="C55" s="411"/>
      <c r="D55" s="411"/>
      <c r="E55" s="411"/>
      <c r="F55" s="411"/>
      <c r="G55" s="411"/>
      <c r="H55" s="411"/>
    </row>
    <row r="56" spans="1:8" ht="15">
      <c r="A56" s="411" t="s">
        <v>461</v>
      </c>
      <c r="B56" s="411"/>
      <c r="C56" s="411"/>
      <c r="D56" s="411"/>
      <c r="E56" s="411"/>
      <c r="F56" s="411"/>
      <c r="G56" s="411"/>
      <c r="H56" s="411"/>
    </row>
    <row r="57" spans="1:8" ht="15">
      <c r="A57" s="411" t="s">
        <v>462</v>
      </c>
      <c r="B57" s="411"/>
      <c r="C57" s="411"/>
      <c r="D57" s="411"/>
      <c r="E57" s="411"/>
      <c r="F57" s="411"/>
      <c r="G57" s="411"/>
      <c r="H57" s="411"/>
    </row>
    <row r="58" spans="1:8" ht="15">
      <c r="A58" s="411" t="s">
        <v>463</v>
      </c>
      <c r="B58" s="411"/>
      <c r="C58" s="411"/>
      <c r="D58" s="411"/>
      <c r="E58" s="411"/>
      <c r="F58" s="411"/>
      <c r="G58" s="411"/>
      <c r="H58" s="411"/>
    </row>
    <row r="59" spans="1:8" ht="15">
      <c r="A59" s="411"/>
      <c r="B59" s="411"/>
      <c r="C59" s="411"/>
      <c r="D59" s="411"/>
      <c r="E59" s="411"/>
      <c r="F59" s="411"/>
      <c r="G59" s="411"/>
      <c r="H59" s="411"/>
    </row>
    <row r="60" spans="1:8" ht="15">
      <c r="A60" s="411" t="s">
        <v>464</v>
      </c>
      <c r="B60" s="411"/>
      <c r="C60" s="411"/>
      <c r="D60" s="411"/>
      <c r="E60" s="411"/>
      <c r="F60" s="411"/>
      <c r="G60" s="411"/>
      <c r="H60" s="411"/>
    </row>
    <row r="61" spans="1:8" ht="15">
      <c r="A61" s="411" t="s">
        <v>465</v>
      </c>
      <c r="B61" s="411"/>
      <c r="C61" s="411"/>
      <c r="D61" s="411"/>
      <c r="E61" s="411"/>
      <c r="F61" s="411"/>
      <c r="G61" s="411"/>
      <c r="H61" s="411"/>
    </row>
    <row r="62" spans="1:8" ht="15">
      <c r="A62" s="411" t="s">
        <v>466</v>
      </c>
      <c r="B62" s="411"/>
      <c r="C62" s="411"/>
      <c r="D62" s="411"/>
      <c r="E62" s="411"/>
      <c r="F62" s="411"/>
      <c r="G62" s="411"/>
      <c r="H62" s="411"/>
    </row>
    <row r="63" spans="1:8" ht="15">
      <c r="A63" s="411" t="s">
        <v>467</v>
      </c>
      <c r="B63" s="411"/>
      <c r="C63" s="411"/>
      <c r="D63" s="411"/>
      <c r="E63" s="411"/>
      <c r="F63" s="411"/>
      <c r="G63" s="411"/>
      <c r="H63" s="411"/>
    </row>
    <row r="64" spans="1:8" ht="15">
      <c r="A64" s="411" t="s">
        <v>468</v>
      </c>
      <c r="B64" s="411"/>
      <c r="C64" s="411"/>
      <c r="D64" s="411"/>
      <c r="E64" s="411"/>
      <c r="F64" s="411"/>
      <c r="G64" s="411"/>
      <c r="H64" s="411"/>
    </row>
    <row r="65" spans="1:8" ht="15">
      <c r="A65" s="411" t="s">
        <v>469</v>
      </c>
      <c r="B65" s="411"/>
      <c r="C65" s="411"/>
      <c r="D65" s="411"/>
      <c r="E65" s="411"/>
      <c r="F65" s="411"/>
      <c r="G65" s="411"/>
      <c r="H65" s="411"/>
    </row>
    <row r="66" spans="1:8" ht="15">
      <c r="A66" s="411"/>
      <c r="B66" s="411"/>
      <c r="C66" s="411"/>
      <c r="D66" s="411"/>
      <c r="E66" s="411"/>
      <c r="F66" s="411"/>
      <c r="G66" s="411"/>
      <c r="H66" s="411"/>
    </row>
    <row r="67" spans="1:8" ht="15">
      <c r="A67" s="411" t="s">
        <v>470</v>
      </c>
      <c r="B67" s="411"/>
      <c r="C67" s="411"/>
      <c r="D67" s="411"/>
      <c r="E67" s="411"/>
      <c r="F67" s="411"/>
      <c r="G67" s="411"/>
      <c r="H67" s="411"/>
    </row>
    <row r="68" spans="1:8" ht="15">
      <c r="A68" s="411" t="s">
        <v>471</v>
      </c>
      <c r="B68" s="411"/>
      <c r="C68" s="411"/>
      <c r="D68" s="411"/>
      <c r="E68" s="411"/>
      <c r="F68" s="411"/>
      <c r="G68" s="411"/>
      <c r="H68" s="411"/>
    </row>
    <row r="69" spans="1:8" ht="15">
      <c r="A69" s="411" t="s">
        <v>472</v>
      </c>
      <c r="B69" s="411"/>
      <c r="C69" s="411"/>
      <c r="D69" s="411"/>
      <c r="E69" s="411"/>
      <c r="F69" s="411"/>
      <c r="G69" s="411"/>
      <c r="H69" s="411"/>
    </row>
    <row r="70" spans="1:8" ht="15">
      <c r="A70" s="411" t="s">
        <v>473</v>
      </c>
      <c r="B70" s="411"/>
      <c r="C70" s="411"/>
      <c r="D70" s="411"/>
      <c r="E70" s="411"/>
      <c r="F70" s="411"/>
      <c r="G70" s="411"/>
      <c r="H70" s="411"/>
    </row>
    <row r="71" spans="1:8" ht="15">
      <c r="A71" s="411" t="s">
        <v>474</v>
      </c>
      <c r="B71" s="411"/>
      <c r="C71" s="411"/>
      <c r="D71" s="411"/>
      <c r="E71" s="411"/>
      <c r="F71" s="411"/>
      <c r="G71" s="411"/>
      <c r="H71" s="411"/>
    </row>
    <row r="72" spans="1:8" ht="15">
      <c r="A72" s="411" t="s">
        <v>475</v>
      </c>
      <c r="B72" s="411"/>
      <c r="C72" s="411"/>
      <c r="D72" s="411"/>
      <c r="E72" s="411"/>
      <c r="F72" s="411"/>
      <c r="G72" s="411"/>
      <c r="H72" s="411"/>
    </row>
    <row r="73" spans="1:8" ht="15">
      <c r="A73" s="411" t="s">
        <v>476</v>
      </c>
      <c r="B73" s="411"/>
      <c r="C73" s="411"/>
      <c r="D73" s="411"/>
      <c r="E73" s="411"/>
      <c r="F73" s="411"/>
      <c r="G73" s="411"/>
      <c r="H73" s="411"/>
    </row>
    <row r="74" spans="1:8" ht="15">
      <c r="A74" s="411"/>
      <c r="B74" s="411"/>
      <c r="C74" s="411"/>
      <c r="D74" s="411"/>
      <c r="E74" s="411"/>
      <c r="F74" s="411"/>
      <c r="G74" s="411"/>
      <c r="H74" s="411"/>
    </row>
    <row r="75" spans="1:8" ht="15">
      <c r="A75" s="411" t="s">
        <v>477</v>
      </c>
      <c r="B75" s="411"/>
      <c r="C75" s="411"/>
      <c r="D75" s="411"/>
      <c r="E75" s="411"/>
      <c r="F75" s="411"/>
      <c r="G75" s="411"/>
      <c r="H75" s="411"/>
    </row>
    <row r="76" spans="1:8" ht="15">
      <c r="A76" s="411" t="s">
        <v>478</v>
      </c>
      <c r="B76" s="411"/>
      <c r="C76" s="411"/>
      <c r="D76" s="411"/>
      <c r="E76" s="411"/>
      <c r="F76" s="411"/>
      <c r="G76" s="411"/>
      <c r="H76" s="411"/>
    </row>
    <row r="77" spans="1:8" ht="15">
      <c r="A77" s="411" t="s">
        <v>479</v>
      </c>
      <c r="B77" s="411"/>
      <c r="C77" s="411"/>
      <c r="D77" s="411"/>
      <c r="E77" s="411"/>
      <c r="F77" s="411"/>
      <c r="G77" s="411"/>
      <c r="H77" s="411"/>
    </row>
    <row r="78" spans="1:8" ht="15">
      <c r="A78" s="411"/>
      <c r="B78" s="411"/>
      <c r="C78" s="411"/>
      <c r="D78" s="411"/>
      <c r="E78" s="411"/>
      <c r="F78" s="411"/>
      <c r="G78" s="411"/>
      <c r="H78" s="411"/>
    </row>
    <row r="79" ht="15">
      <c r="A79" s="411" t="s">
        <v>480</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537</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482</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538</v>
      </c>
      <c r="I7" s="412"/>
      <c r="J7" s="412"/>
      <c r="K7" s="412"/>
      <c r="L7" s="412"/>
    </row>
    <row r="8" spans="1:12" ht="15">
      <c r="A8" s="411"/>
      <c r="I8" s="412"/>
      <c r="J8" s="412"/>
      <c r="K8" s="412"/>
      <c r="L8" s="412"/>
    </row>
    <row r="9" spans="1:12" ht="15">
      <c r="A9" s="411" t="s">
        <v>539</v>
      </c>
      <c r="I9" s="412"/>
      <c r="J9" s="412"/>
      <c r="K9" s="412"/>
      <c r="L9" s="412"/>
    </row>
    <row r="10" spans="1:12" ht="15">
      <c r="A10" s="411" t="s">
        <v>540</v>
      </c>
      <c r="I10" s="412"/>
      <c r="J10" s="412"/>
      <c r="K10" s="412"/>
      <c r="L10" s="412"/>
    </row>
    <row r="11" spans="1:12" ht="15">
      <c r="A11" s="411" t="s">
        <v>541</v>
      </c>
      <c r="I11" s="412"/>
      <c r="J11" s="412"/>
      <c r="K11" s="412"/>
      <c r="L11" s="412"/>
    </row>
    <row r="12" spans="1:12" ht="15">
      <c r="A12" s="411" t="s">
        <v>542</v>
      </c>
      <c r="I12" s="412"/>
      <c r="J12" s="412"/>
      <c r="K12" s="412"/>
      <c r="L12" s="412"/>
    </row>
    <row r="13" spans="1:12" ht="15">
      <c r="A13" s="411" t="s">
        <v>543</v>
      </c>
      <c r="I13" s="412"/>
      <c r="J13" s="412"/>
      <c r="K13" s="412"/>
      <c r="L13" s="412"/>
    </row>
    <row r="14" spans="1:12" ht="15">
      <c r="A14" s="412"/>
      <c r="B14" s="412"/>
      <c r="C14" s="412"/>
      <c r="D14" s="412"/>
      <c r="E14" s="412"/>
      <c r="F14" s="412"/>
      <c r="G14" s="412"/>
      <c r="H14" s="412"/>
      <c r="I14" s="412"/>
      <c r="J14" s="412"/>
      <c r="K14" s="412"/>
      <c r="L14" s="412"/>
    </row>
    <row r="15" ht="15">
      <c r="A15" s="410" t="s">
        <v>544</v>
      </c>
    </row>
    <row r="16" ht="15">
      <c r="A16" s="410" t="s">
        <v>545</v>
      </c>
    </row>
    <row r="17" ht="15">
      <c r="A17" s="410"/>
    </row>
    <row r="18" spans="1:7" ht="15">
      <c r="A18" s="411" t="s">
        <v>546</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547</v>
      </c>
      <c r="B20" s="411"/>
      <c r="C20" s="411"/>
      <c r="D20" s="411"/>
      <c r="E20" s="411"/>
      <c r="F20" s="411"/>
      <c r="G20" s="411"/>
    </row>
    <row r="21" spans="1:7" ht="15">
      <c r="A21" s="411" t="s">
        <v>548</v>
      </c>
      <c r="B21" s="411"/>
      <c r="C21" s="411"/>
      <c r="D21" s="411"/>
      <c r="E21" s="411"/>
      <c r="F21" s="411"/>
      <c r="G21" s="411"/>
    </row>
    <row r="22" ht="15">
      <c r="A22" s="411"/>
    </row>
    <row r="23" ht="15">
      <c r="A23" s="410" t="s">
        <v>549</v>
      </c>
    </row>
    <row r="24" ht="15">
      <c r="A24" s="410"/>
    </row>
    <row r="25" ht="15">
      <c r="A25" s="411" t="s">
        <v>550</v>
      </c>
    </row>
    <row r="26" spans="1:6" ht="15">
      <c r="A26" s="411" t="s">
        <v>551</v>
      </c>
      <c r="B26" s="411"/>
      <c r="C26" s="411"/>
      <c r="D26" s="411"/>
      <c r="E26" s="411"/>
      <c r="F26" s="411"/>
    </row>
    <row r="27" spans="1:6" ht="15">
      <c r="A27" s="411" t="s">
        <v>552</v>
      </c>
      <c r="B27" s="411"/>
      <c r="C27" s="411"/>
      <c r="D27" s="411"/>
      <c r="E27" s="411"/>
      <c r="F27" s="411"/>
    </row>
    <row r="28" spans="1:6" ht="15">
      <c r="A28" s="411" t="s">
        <v>553</v>
      </c>
      <c r="B28" s="411"/>
      <c r="C28" s="411"/>
      <c r="D28" s="411"/>
      <c r="E28" s="411"/>
      <c r="F28" s="411"/>
    </row>
    <row r="29" spans="1:6" ht="15">
      <c r="A29" s="411"/>
      <c r="B29" s="411"/>
      <c r="C29" s="411"/>
      <c r="D29" s="411"/>
      <c r="E29" s="411"/>
      <c r="F29" s="411"/>
    </row>
    <row r="30" spans="1:7" ht="15">
      <c r="A30" s="410" t="s">
        <v>554</v>
      </c>
      <c r="B30" s="410"/>
      <c r="C30" s="410"/>
      <c r="D30" s="410"/>
      <c r="E30" s="410"/>
      <c r="F30" s="410"/>
      <c r="G30" s="410"/>
    </row>
    <row r="31" spans="1:7" ht="15">
      <c r="A31" s="410" t="s">
        <v>555</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556</v>
      </c>
      <c r="B34" s="411"/>
      <c r="C34" s="411"/>
      <c r="D34" s="411"/>
      <c r="E34" s="411"/>
      <c r="F34" s="411"/>
    </row>
    <row r="35" spans="1:6" ht="15">
      <c r="A35" s="415" t="s">
        <v>496</v>
      </c>
      <c r="B35" s="411"/>
      <c r="C35" s="411"/>
      <c r="D35" s="411"/>
      <c r="E35" s="411"/>
      <c r="F35" s="411"/>
    </row>
    <row r="36" spans="1:6" ht="15">
      <c r="A36" s="415" t="s">
        <v>497</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498</v>
      </c>
      <c r="B39" s="411"/>
      <c r="C39" s="411"/>
      <c r="D39" s="411"/>
      <c r="E39" s="411"/>
      <c r="F39" s="411"/>
    </row>
    <row r="40" spans="1:6" ht="15">
      <c r="A40" s="415" t="s">
        <v>499</v>
      </c>
      <c r="B40" s="411"/>
      <c r="C40" s="411"/>
      <c r="D40" s="411"/>
      <c r="E40" s="411"/>
      <c r="F40" s="411"/>
    </row>
    <row r="41" spans="1:6" ht="15">
      <c r="A41" s="415"/>
      <c r="B41" s="411"/>
      <c r="C41" s="411"/>
      <c r="D41" s="411"/>
      <c r="E41" s="411"/>
      <c r="F41" s="411"/>
    </row>
    <row r="42" spans="1:6" ht="15">
      <c r="A42" s="415" t="s">
        <v>500</v>
      </c>
      <c r="B42" s="411"/>
      <c r="C42" s="411"/>
      <c r="D42" s="411"/>
      <c r="E42" s="411"/>
      <c r="F42" s="411"/>
    </row>
    <row r="43" spans="1:6" ht="15">
      <c r="A43" s="415" t="s">
        <v>501</v>
      </c>
      <c r="B43" s="411"/>
      <c r="C43" s="411"/>
      <c r="D43" s="411"/>
      <c r="E43" s="411"/>
      <c r="F43" s="411"/>
    </row>
    <row r="44" spans="1:6" ht="15">
      <c r="A44" s="415" t="s">
        <v>502</v>
      </c>
      <c r="B44" s="411"/>
      <c r="C44" s="411"/>
      <c r="D44" s="411"/>
      <c r="E44" s="411"/>
      <c r="F44" s="411"/>
    </row>
    <row r="45" spans="1:6" ht="15">
      <c r="A45" s="415" t="s">
        <v>557</v>
      </c>
      <c r="B45" s="411"/>
      <c r="C45" s="411"/>
      <c r="D45" s="411"/>
      <c r="E45" s="411"/>
      <c r="F45" s="411"/>
    </row>
    <row r="46" spans="1:6" ht="15">
      <c r="A46" s="415" t="s">
        <v>504</v>
      </c>
      <c r="B46" s="411"/>
      <c r="C46" s="411"/>
      <c r="D46" s="411"/>
      <c r="E46" s="411"/>
      <c r="F46" s="411"/>
    </row>
    <row r="47" spans="1:6" ht="15">
      <c r="A47" s="415" t="s">
        <v>558</v>
      </c>
      <c r="B47" s="411"/>
      <c r="C47" s="411"/>
      <c r="D47" s="411"/>
      <c r="E47" s="411"/>
      <c r="F47" s="411"/>
    </row>
    <row r="48" spans="1:6" ht="15">
      <c r="A48" s="415" t="s">
        <v>559</v>
      </c>
      <c r="B48" s="411"/>
      <c r="C48" s="411"/>
      <c r="D48" s="411"/>
      <c r="E48" s="411"/>
      <c r="F48" s="411"/>
    </row>
    <row r="49" spans="1:6" ht="15">
      <c r="A49" s="415" t="s">
        <v>507</v>
      </c>
      <c r="B49" s="411"/>
      <c r="C49" s="411"/>
      <c r="D49" s="411"/>
      <c r="E49" s="411"/>
      <c r="F49" s="411"/>
    </row>
    <row r="50" spans="1:6" ht="15">
      <c r="A50" s="415"/>
      <c r="B50" s="411"/>
      <c r="C50" s="411"/>
      <c r="D50" s="411"/>
      <c r="E50" s="411"/>
      <c r="F50" s="411"/>
    </row>
    <row r="51" spans="1:6" ht="15">
      <c r="A51" s="415" t="s">
        <v>508</v>
      </c>
      <c r="B51" s="411"/>
      <c r="C51" s="411"/>
      <c r="D51" s="411"/>
      <c r="E51" s="411"/>
      <c r="F51" s="411"/>
    </row>
    <row r="52" spans="1:6" ht="15">
      <c r="A52" s="415" t="s">
        <v>509</v>
      </c>
      <c r="B52" s="411"/>
      <c r="C52" s="411"/>
      <c r="D52" s="411"/>
      <c r="E52" s="411"/>
      <c r="F52" s="411"/>
    </row>
    <row r="53" spans="1:6" ht="15">
      <c r="A53" s="415" t="s">
        <v>510</v>
      </c>
      <c r="B53" s="411"/>
      <c r="C53" s="411"/>
      <c r="D53" s="411"/>
      <c r="E53" s="411"/>
      <c r="F53" s="411"/>
    </row>
    <row r="54" spans="1:6" ht="15">
      <c r="A54" s="415"/>
      <c r="B54" s="411"/>
      <c r="C54" s="411"/>
      <c r="D54" s="411"/>
      <c r="E54" s="411"/>
      <c r="F54" s="411"/>
    </row>
    <row r="55" spans="1:6" ht="15">
      <c r="A55" s="415" t="s">
        <v>560</v>
      </c>
      <c r="B55" s="411"/>
      <c r="C55" s="411"/>
      <c r="D55" s="411"/>
      <c r="E55" s="411"/>
      <c r="F55" s="411"/>
    </row>
    <row r="56" spans="1:6" ht="15">
      <c r="A56" s="415" t="s">
        <v>561</v>
      </c>
      <c r="B56" s="411"/>
      <c r="C56" s="411"/>
      <c r="D56" s="411"/>
      <c r="E56" s="411"/>
      <c r="F56" s="411"/>
    </row>
    <row r="57" spans="1:6" ht="15">
      <c r="A57" s="415" t="s">
        <v>562</v>
      </c>
      <c r="B57" s="411"/>
      <c r="C57" s="411"/>
      <c r="D57" s="411"/>
      <c r="E57" s="411"/>
      <c r="F57" s="411"/>
    </row>
    <row r="58" spans="1:6" ht="15">
      <c r="A58" s="415" t="s">
        <v>563</v>
      </c>
      <c r="B58" s="411"/>
      <c r="C58" s="411"/>
      <c r="D58" s="411"/>
      <c r="E58" s="411"/>
      <c r="F58" s="411"/>
    </row>
    <row r="59" spans="1:6" ht="15">
      <c r="A59" s="415" t="s">
        <v>564</v>
      </c>
      <c r="B59" s="411"/>
      <c r="C59" s="411"/>
      <c r="D59" s="411"/>
      <c r="E59" s="411"/>
      <c r="F59" s="411"/>
    </row>
    <row r="60" spans="1:6" ht="15">
      <c r="A60" s="415"/>
      <c r="B60" s="411"/>
      <c r="C60" s="411"/>
      <c r="D60" s="411"/>
      <c r="E60" s="411"/>
      <c r="F60" s="411"/>
    </row>
    <row r="61" spans="1:6" ht="15">
      <c r="A61" s="416" t="s">
        <v>565</v>
      </c>
      <c r="B61" s="411"/>
      <c r="C61" s="411"/>
      <c r="D61" s="411"/>
      <c r="E61" s="411"/>
      <c r="F61" s="411"/>
    </row>
    <row r="62" spans="1:6" ht="15">
      <c r="A62" s="416" t="s">
        <v>566</v>
      </c>
      <c r="B62" s="411"/>
      <c r="C62" s="411"/>
      <c r="D62" s="411"/>
      <c r="E62" s="411"/>
      <c r="F62" s="411"/>
    </row>
    <row r="63" spans="1:6" ht="15">
      <c r="A63" s="416" t="s">
        <v>567</v>
      </c>
      <c r="B63" s="411"/>
      <c r="C63" s="411"/>
      <c r="D63" s="411"/>
      <c r="E63" s="411"/>
      <c r="F63" s="411"/>
    </row>
    <row r="64" ht="15">
      <c r="A64" s="416" t="s">
        <v>568</v>
      </c>
    </row>
    <row r="65" ht="15">
      <c r="A65" s="416" t="s">
        <v>569</v>
      </c>
    </row>
    <row r="66" ht="15">
      <c r="A66" s="416" t="s">
        <v>570</v>
      </c>
    </row>
    <row r="68" ht="15">
      <c r="A68" s="411" t="s">
        <v>571</v>
      </c>
    </row>
    <row r="69" ht="15">
      <c r="A69" s="411" t="s">
        <v>572</v>
      </c>
    </row>
    <row r="70" ht="15">
      <c r="A70" s="411" t="s">
        <v>573</v>
      </c>
    </row>
    <row r="71" ht="15">
      <c r="A71" s="411" t="s">
        <v>574</v>
      </c>
    </row>
    <row r="72" ht="15">
      <c r="A72" s="411" t="s">
        <v>575</v>
      </c>
    </row>
    <row r="73" ht="15">
      <c r="A73" s="411" t="s">
        <v>576</v>
      </c>
    </row>
    <row r="75" ht="15">
      <c r="A75" s="411" t="s">
        <v>480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577</v>
      </c>
      <c r="B3" s="412"/>
      <c r="C3" s="412"/>
      <c r="D3" s="412"/>
      <c r="E3" s="412"/>
      <c r="F3" s="412"/>
      <c r="G3" s="412"/>
    </row>
    <row r="4" spans="1:7" ht="15">
      <c r="A4" s="412"/>
      <c r="B4" s="412"/>
      <c r="C4" s="412"/>
      <c r="D4" s="412"/>
      <c r="E4" s="412"/>
      <c r="F4" s="412"/>
      <c r="G4" s="412"/>
    </row>
    <row r="5" ht="15">
      <c r="A5" s="411" t="s">
        <v>426</v>
      </c>
    </row>
    <row r="6" ht="15">
      <c r="A6" s="411" t="str">
        <f>CONCATENATE(inputPrYr!C5," estimated expenditures show that at the end of this year")</f>
        <v>2012 estimated expenditures show that at the end of this year</v>
      </c>
    </row>
    <row r="7" ht="15">
      <c r="A7" s="411" t="s">
        <v>578</v>
      </c>
    </row>
    <row r="8" ht="15">
      <c r="A8" s="411" t="s">
        <v>579</v>
      </c>
    </row>
    <row r="10" ht="15">
      <c r="A10" t="s">
        <v>428</v>
      </c>
    </row>
    <row r="11" ht="15">
      <c r="A11" t="s">
        <v>429</v>
      </c>
    </row>
    <row r="12" ht="15">
      <c r="A12" t="s">
        <v>430</v>
      </c>
    </row>
    <row r="13" spans="1:7" ht="15">
      <c r="A13" s="412"/>
      <c r="B13" s="412"/>
      <c r="C13" s="412"/>
      <c r="D13" s="412"/>
      <c r="E13" s="412"/>
      <c r="F13" s="412"/>
      <c r="G13" s="412"/>
    </row>
    <row r="14" ht="15">
      <c r="A14" s="410" t="s">
        <v>580</v>
      </c>
    </row>
    <row r="15" ht="15">
      <c r="A15" s="411"/>
    </row>
    <row r="16" ht="15">
      <c r="A16" s="411" t="s">
        <v>581</v>
      </c>
    </row>
    <row r="17" ht="15">
      <c r="A17" s="411" t="s">
        <v>582</v>
      </c>
    </row>
    <row r="18" ht="15">
      <c r="A18" s="411" t="s">
        <v>583</v>
      </c>
    </row>
    <row r="19" ht="15">
      <c r="A19" s="411"/>
    </row>
    <row r="20" ht="15">
      <c r="A20" s="411" t="s">
        <v>584</v>
      </c>
    </row>
    <row r="21" ht="15">
      <c r="A21" s="411" t="s">
        <v>585</v>
      </c>
    </row>
    <row r="22" ht="15">
      <c r="A22" s="411" t="s">
        <v>586</v>
      </c>
    </row>
    <row r="23" ht="15">
      <c r="A23" s="411" t="s">
        <v>587</v>
      </c>
    </row>
    <row r="24" ht="15">
      <c r="A24" s="411"/>
    </row>
    <row r="25" ht="15">
      <c r="A25" s="410" t="s">
        <v>549</v>
      </c>
    </row>
    <row r="26" ht="15">
      <c r="A26" s="410"/>
    </row>
    <row r="27" ht="15">
      <c r="A27" s="411" t="s">
        <v>550</v>
      </c>
    </row>
    <row r="28" spans="1:6" ht="15">
      <c r="A28" s="411" t="s">
        <v>551</v>
      </c>
      <c r="B28" s="411"/>
      <c r="C28" s="411"/>
      <c r="D28" s="411"/>
      <c r="E28" s="411"/>
      <c r="F28" s="411"/>
    </row>
    <row r="29" spans="1:6" ht="15">
      <c r="A29" s="411" t="s">
        <v>552</v>
      </c>
      <c r="B29" s="411"/>
      <c r="C29" s="411"/>
      <c r="D29" s="411"/>
      <c r="E29" s="411"/>
      <c r="F29" s="411"/>
    </row>
    <row r="30" spans="1:6" ht="15">
      <c r="A30" s="411" t="s">
        <v>553</v>
      </c>
      <c r="B30" s="411"/>
      <c r="C30" s="411"/>
      <c r="D30" s="411"/>
      <c r="E30" s="411"/>
      <c r="F30" s="411"/>
    </row>
    <row r="31" ht="15">
      <c r="A31" s="411"/>
    </row>
    <row r="32" spans="1:7" ht="15">
      <c r="A32" s="410" t="s">
        <v>554</v>
      </c>
      <c r="B32" s="410"/>
      <c r="C32" s="410"/>
      <c r="D32" s="410"/>
      <c r="E32" s="410"/>
      <c r="F32" s="410"/>
      <c r="G32" s="410"/>
    </row>
    <row r="33" spans="1:7" ht="15">
      <c r="A33" s="410" t="s">
        <v>555</v>
      </c>
      <c r="B33" s="410"/>
      <c r="C33" s="410"/>
      <c r="D33" s="410"/>
      <c r="E33" s="410"/>
      <c r="F33" s="410"/>
      <c r="G33" s="410"/>
    </row>
    <row r="34" spans="1:7" ht="15">
      <c r="A34" s="410"/>
      <c r="B34" s="410"/>
      <c r="C34" s="410"/>
      <c r="D34" s="410"/>
      <c r="E34" s="410"/>
      <c r="F34" s="410"/>
      <c r="G34" s="410"/>
    </row>
    <row r="35" spans="1:7" ht="15">
      <c r="A35" s="411" t="s">
        <v>588</v>
      </c>
      <c r="B35" s="411"/>
      <c r="C35" s="411"/>
      <c r="D35" s="411"/>
      <c r="E35" s="411"/>
      <c r="F35" s="411"/>
      <c r="G35" s="411"/>
    </row>
    <row r="36" spans="1:7" ht="15">
      <c r="A36" s="411" t="s">
        <v>589</v>
      </c>
      <c r="B36" s="411"/>
      <c r="C36" s="411"/>
      <c r="D36" s="411"/>
      <c r="E36" s="411"/>
      <c r="F36" s="411"/>
      <c r="G36" s="411"/>
    </row>
    <row r="37" spans="1:7" ht="15">
      <c r="A37" s="411" t="s">
        <v>590</v>
      </c>
      <c r="B37" s="411"/>
      <c r="C37" s="411"/>
      <c r="D37" s="411"/>
      <c r="E37" s="411"/>
      <c r="F37" s="411"/>
      <c r="G37" s="411"/>
    </row>
    <row r="38" spans="1:7" ht="15">
      <c r="A38" s="411" t="s">
        <v>591</v>
      </c>
      <c r="B38" s="411"/>
      <c r="C38" s="411"/>
      <c r="D38" s="411"/>
      <c r="E38" s="411"/>
      <c r="F38" s="411"/>
      <c r="G38" s="411"/>
    </row>
    <row r="39" spans="1:7" ht="15">
      <c r="A39" s="411" t="s">
        <v>592</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556</v>
      </c>
      <c r="B42" s="411"/>
      <c r="C42" s="411"/>
      <c r="D42" s="411"/>
      <c r="E42" s="411"/>
      <c r="F42" s="411"/>
    </row>
    <row r="43" spans="1:6" ht="15">
      <c r="A43" s="415" t="s">
        <v>496</v>
      </c>
      <c r="B43" s="411"/>
      <c r="C43" s="411"/>
      <c r="D43" s="411"/>
      <c r="E43" s="411"/>
      <c r="F43" s="411"/>
    </row>
    <row r="44" spans="1:6" ht="15">
      <c r="A44" s="415" t="s">
        <v>497</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498</v>
      </c>
      <c r="B47" s="411"/>
      <c r="C47" s="411"/>
      <c r="D47" s="411"/>
      <c r="E47" s="411"/>
      <c r="F47" s="411"/>
    </row>
    <row r="48" spans="1:6" ht="15">
      <c r="A48" s="415" t="s">
        <v>499</v>
      </c>
      <c r="B48" s="411"/>
      <c r="C48" s="411"/>
      <c r="D48" s="411"/>
      <c r="E48" s="411"/>
      <c r="F48" s="411"/>
    </row>
    <row r="49" spans="1:7" ht="15">
      <c r="A49" s="411"/>
      <c r="B49" s="411"/>
      <c r="C49" s="411"/>
      <c r="D49" s="411"/>
      <c r="E49" s="411"/>
      <c r="F49" s="411"/>
      <c r="G49" s="411"/>
    </row>
    <row r="50" spans="1:7" ht="15">
      <c r="A50" s="411" t="s">
        <v>453</v>
      </c>
      <c r="B50" s="411"/>
      <c r="C50" s="411"/>
      <c r="D50" s="411"/>
      <c r="E50" s="411"/>
      <c r="F50" s="411"/>
      <c r="G50" s="411"/>
    </row>
    <row r="51" spans="1:7" ht="15">
      <c r="A51" s="411" t="s">
        <v>454</v>
      </c>
      <c r="B51" s="411"/>
      <c r="C51" s="411"/>
      <c r="D51" s="411"/>
      <c r="E51" s="411"/>
      <c r="F51" s="411"/>
      <c r="G51" s="411"/>
    </row>
    <row r="52" spans="1:7" ht="15">
      <c r="A52" s="411" t="s">
        <v>455</v>
      </c>
      <c r="B52" s="411"/>
      <c r="C52" s="411"/>
      <c r="D52" s="411"/>
      <c r="E52" s="411"/>
      <c r="F52" s="411"/>
      <c r="G52" s="411"/>
    </row>
    <row r="53" spans="1:7" ht="15">
      <c r="A53" s="411" t="s">
        <v>456</v>
      </c>
      <c r="B53" s="411"/>
      <c r="C53" s="411"/>
      <c r="D53" s="411"/>
      <c r="E53" s="411"/>
      <c r="F53" s="411"/>
      <c r="G53" s="411"/>
    </row>
    <row r="54" spans="1:7" ht="15">
      <c r="A54" s="411" t="s">
        <v>457</v>
      </c>
      <c r="B54" s="411"/>
      <c r="C54" s="411"/>
      <c r="D54" s="411"/>
      <c r="E54" s="411"/>
      <c r="F54" s="411"/>
      <c r="G54" s="411"/>
    </row>
    <row r="55" spans="1:7" ht="15">
      <c r="A55" s="411"/>
      <c r="B55" s="411"/>
      <c r="C55" s="411"/>
      <c r="D55" s="411"/>
      <c r="E55" s="411"/>
      <c r="F55" s="411"/>
      <c r="G55" s="411"/>
    </row>
    <row r="56" spans="1:6" ht="15">
      <c r="A56" s="415" t="s">
        <v>508</v>
      </c>
      <c r="B56" s="411"/>
      <c r="C56" s="411"/>
      <c r="D56" s="411"/>
      <c r="E56" s="411"/>
      <c r="F56" s="411"/>
    </row>
    <row r="57" spans="1:6" ht="15">
      <c r="A57" s="415" t="s">
        <v>509</v>
      </c>
      <c r="B57" s="411"/>
      <c r="C57" s="411"/>
      <c r="D57" s="411"/>
      <c r="E57" s="411"/>
      <c r="F57" s="411"/>
    </row>
    <row r="58" spans="1:6" ht="15">
      <c r="A58" s="415" t="s">
        <v>510</v>
      </c>
      <c r="B58" s="411"/>
      <c r="C58" s="411"/>
      <c r="D58" s="411"/>
      <c r="E58" s="411"/>
      <c r="F58" s="411"/>
    </row>
    <row r="59" spans="1:6" ht="15">
      <c r="A59" s="415"/>
      <c r="B59" s="411"/>
      <c r="C59" s="411"/>
      <c r="D59" s="411"/>
      <c r="E59" s="411"/>
      <c r="F59" s="411"/>
    </row>
    <row r="60" spans="1:7" ht="15">
      <c r="A60" s="411" t="s">
        <v>593</v>
      </c>
      <c r="B60" s="411"/>
      <c r="C60" s="411"/>
      <c r="D60" s="411"/>
      <c r="E60" s="411"/>
      <c r="F60" s="411"/>
      <c r="G60" s="411"/>
    </row>
    <row r="61" spans="1:7" ht="15">
      <c r="A61" s="411" t="s">
        <v>594</v>
      </c>
      <c r="B61" s="411"/>
      <c r="C61" s="411"/>
      <c r="D61" s="411"/>
      <c r="E61" s="411"/>
      <c r="F61" s="411"/>
      <c r="G61" s="411"/>
    </row>
    <row r="62" spans="1:7" ht="15">
      <c r="A62" s="411" t="s">
        <v>595</v>
      </c>
      <c r="B62" s="411"/>
      <c r="C62" s="411"/>
      <c r="D62" s="411"/>
      <c r="E62" s="411"/>
      <c r="F62" s="411"/>
      <c r="G62" s="411"/>
    </row>
    <row r="63" spans="1:7" ht="15">
      <c r="A63" s="411" t="s">
        <v>596</v>
      </c>
      <c r="B63" s="411"/>
      <c r="C63" s="411"/>
      <c r="D63" s="411"/>
      <c r="E63" s="411"/>
      <c r="F63" s="411"/>
      <c r="G63" s="411"/>
    </row>
    <row r="64" spans="1:7" ht="15">
      <c r="A64" s="411" t="s">
        <v>597</v>
      </c>
      <c r="B64" s="411"/>
      <c r="C64" s="411"/>
      <c r="D64" s="411"/>
      <c r="E64" s="411"/>
      <c r="F64" s="411"/>
      <c r="G64" s="411"/>
    </row>
    <row r="66" spans="1:6" ht="15">
      <c r="A66" s="415" t="s">
        <v>560</v>
      </c>
      <c r="B66" s="411"/>
      <c r="C66" s="411"/>
      <c r="D66" s="411"/>
      <c r="E66" s="411"/>
      <c r="F66" s="411"/>
    </row>
    <row r="67" spans="1:6" ht="15">
      <c r="A67" s="415" t="s">
        <v>561</v>
      </c>
      <c r="B67" s="411"/>
      <c r="C67" s="411"/>
      <c r="D67" s="411"/>
      <c r="E67" s="411"/>
      <c r="F67" s="411"/>
    </row>
    <row r="68" spans="1:6" ht="15">
      <c r="A68" s="415" t="s">
        <v>562</v>
      </c>
      <c r="B68" s="411"/>
      <c r="C68" s="411"/>
      <c r="D68" s="411"/>
      <c r="E68" s="411"/>
      <c r="F68" s="411"/>
    </row>
    <row r="69" spans="1:6" ht="15">
      <c r="A69" s="415" t="s">
        <v>563</v>
      </c>
      <c r="B69" s="411"/>
      <c r="C69" s="411"/>
      <c r="D69" s="411"/>
      <c r="E69" s="411"/>
      <c r="F69" s="411"/>
    </row>
    <row r="70" spans="1:6" ht="15">
      <c r="A70" s="415" t="s">
        <v>564</v>
      </c>
      <c r="B70" s="411"/>
      <c r="C70" s="411"/>
      <c r="D70" s="411"/>
      <c r="E70" s="411"/>
      <c r="F70" s="411"/>
    </row>
    <row r="71" ht="15">
      <c r="A71" s="411"/>
    </row>
    <row r="72" ht="15">
      <c r="A72" s="411" t="s">
        <v>480</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37">
      <selection activeCell="B57" sqref="B57"/>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City of Lewis</v>
      </c>
      <c r="B1" s="145"/>
      <c r="C1" s="145"/>
      <c r="D1" s="145"/>
      <c r="E1" s="146">
        <f>inputPrYr!C5</f>
        <v>2012</v>
      </c>
    </row>
    <row r="2" spans="1:5" ht="15">
      <c r="A2" s="145"/>
      <c r="B2" s="145"/>
      <c r="C2" s="145"/>
      <c r="D2" s="145"/>
      <c r="E2" s="145"/>
    </row>
    <row r="3" spans="1:5" ht="15.75">
      <c r="A3" s="698" t="s">
        <v>23</v>
      </c>
      <c r="B3" s="699"/>
      <c r="C3" s="699"/>
      <c r="D3" s="699"/>
      <c r="E3" s="699"/>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1683991</v>
      </c>
    </row>
    <row r="8" spans="1:5" ht="15.75">
      <c r="A8" s="147" t="str">
        <f>CONCATENATE("New Improvements for ",E1-1,"")</f>
        <v>New Improvements for 2011</v>
      </c>
      <c r="B8" s="132"/>
      <c r="C8" s="132"/>
      <c r="D8" s="132"/>
      <c r="E8" s="148">
        <v>2966</v>
      </c>
    </row>
    <row r="9" spans="1:5" ht="15.75">
      <c r="A9" s="147" t="str">
        <f>CONCATENATE("Personal Property excluding oil, gas, and mobile homes  - ",E1-1,"")</f>
        <v>Personal Property excluding oil, gas, and mobile homes  - 2011</v>
      </c>
      <c r="B9" s="132"/>
      <c r="C9" s="132"/>
      <c r="D9" s="132"/>
      <c r="E9" s="148">
        <v>325409</v>
      </c>
    </row>
    <row r="10" spans="1:5" ht="15.75">
      <c r="A10" s="149" t="s">
        <v>294</v>
      </c>
      <c r="B10" s="132"/>
      <c r="C10" s="132"/>
      <c r="D10" s="132"/>
      <c r="E10" s="125"/>
    </row>
    <row r="11" spans="1:5" ht="15.75">
      <c r="A11" s="147" t="s">
        <v>284</v>
      </c>
      <c r="B11" s="132"/>
      <c r="C11" s="132"/>
      <c r="D11" s="132"/>
      <c r="E11" s="148">
        <v>0</v>
      </c>
    </row>
    <row r="12" spans="1:5" ht="15.75">
      <c r="A12" s="147" t="s">
        <v>285</v>
      </c>
      <c r="B12" s="132"/>
      <c r="C12" s="132"/>
      <c r="D12" s="132"/>
      <c r="E12" s="148">
        <v>0</v>
      </c>
    </row>
    <row r="13" spans="1:5" ht="15.75">
      <c r="A13" s="147" t="s">
        <v>286</v>
      </c>
      <c r="B13" s="132"/>
      <c r="C13" s="132"/>
      <c r="D13" s="132"/>
      <c r="E13" s="148">
        <v>0</v>
      </c>
    </row>
    <row r="14" spans="1:5" ht="15.75">
      <c r="A14" s="147" t="str">
        <f>CONCATENATE("Property that has changed in use for ",E1-1,"")</f>
        <v>Property that has changed in use for 2011</v>
      </c>
      <c r="B14" s="132"/>
      <c r="C14" s="132"/>
      <c r="D14" s="132"/>
      <c r="E14" s="148">
        <v>2437</v>
      </c>
    </row>
    <row r="15" spans="1:5" ht="15.75">
      <c r="A15" s="147" t="str">
        <f>CONCATENATE("Personal Property  excluding oil, gas, and mobile homes- ",E1-2,"")</f>
        <v>Personal Property  excluding oil, gas, and mobile homes- 2010</v>
      </c>
      <c r="B15" s="132"/>
      <c r="C15" s="132"/>
      <c r="D15" s="132"/>
      <c r="E15" s="148">
        <v>315537</v>
      </c>
    </row>
    <row r="16" spans="1:5" ht="15.75">
      <c r="A16" s="147" t="str">
        <f>CONCATENATE("Gross earnings (intangible) tax estimate for ",E1,"")</f>
        <v>Gross earnings (intangible) tax estimate for 2012</v>
      </c>
      <c r="B16" s="132"/>
      <c r="C16" s="132"/>
      <c r="D16" s="133"/>
      <c r="E16" s="104">
        <v>0</v>
      </c>
    </row>
    <row r="17" spans="1:5" ht="15.75">
      <c r="A17" s="147" t="s">
        <v>48</v>
      </c>
      <c r="B17" s="132"/>
      <c r="C17" s="132"/>
      <c r="D17" s="132"/>
      <c r="E17" s="140">
        <v>7597</v>
      </c>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02" t="s">
        <v>158</v>
      </c>
      <c r="B20" s="703"/>
      <c r="C20" s="145"/>
      <c r="D20" s="150" t="s">
        <v>207</v>
      </c>
      <c r="E20" s="118"/>
    </row>
    <row r="21" spans="1:5" ht="15.75">
      <c r="A21" s="108" t="str">
        <f>inputPrYr!B17</f>
        <v>General</v>
      </c>
      <c r="B21" s="109"/>
      <c r="C21" s="113"/>
      <c r="D21" s="151">
        <v>31.283</v>
      </c>
      <c r="E21" s="118"/>
    </row>
    <row r="22" spans="1:5" ht="15.75">
      <c r="A22" s="108" t="str">
        <f>inputPrYr!B18</f>
        <v>Debt Service</v>
      </c>
      <c r="B22" s="132"/>
      <c r="C22" s="113"/>
      <c r="D22" s="152">
        <v>21.801</v>
      </c>
      <c r="E22" s="118"/>
    </row>
    <row r="23" spans="1:5" ht="15.75">
      <c r="A23" s="147" t="str">
        <f>inputPrYr!B20</f>
        <v>Employee Benefits</v>
      </c>
      <c r="B23" s="132"/>
      <c r="C23" s="113"/>
      <c r="D23" s="152">
        <v>16.538</v>
      </c>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69.622</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1679029</v>
      </c>
    </row>
    <row r="31" spans="1:5" ht="15">
      <c r="A31" s="155"/>
      <c r="B31" s="155"/>
      <c r="C31" s="155"/>
      <c r="D31" s="155"/>
      <c r="E31" s="155"/>
    </row>
    <row r="32" spans="1:5" ht="15.75">
      <c r="A32" s="158" t="s">
        <v>295</v>
      </c>
      <c r="B32" s="94"/>
      <c r="C32" s="94"/>
      <c r="D32" s="159"/>
      <c r="E32" s="105"/>
    </row>
    <row r="33" spans="1:5" ht="15.75">
      <c r="A33" s="108" t="s">
        <v>144</v>
      </c>
      <c r="B33" s="109"/>
      <c r="C33" s="109"/>
      <c r="D33" s="160"/>
      <c r="E33" s="104">
        <v>30318</v>
      </c>
    </row>
    <row r="34" spans="1:5" ht="15.75">
      <c r="A34" s="147" t="s">
        <v>145</v>
      </c>
      <c r="B34" s="132"/>
      <c r="C34" s="132"/>
      <c r="D34" s="161"/>
      <c r="E34" s="104">
        <v>402</v>
      </c>
    </row>
    <row r="35" spans="1:5" ht="15.75">
      <c r="A35" s="147" t="s">
        <v>236</v>
      </c>
      <c r="B35" s="132"/>
      <c r="C35" s="132"/>
      <c r="D35" s="161"/>
      <c r="E35" s="104">
        <v>415</v>
      </c>
    </row>
    <row r="36" spans="1:5" ht="15.75">
      <c r="A36" s="147" t="s">
        <v>127</v>
      </c>
      <c r="B36" s="132"/>
      <c r="C36" s="132"/>
      <c r="D36" s="161"/>
      <c r="E36" s="104"/>
    </row>
    <row r="37" spans="1:5" ht="15.75">
      <c r="A37" s="147" t="s">
        <v>130</v>
      </c>
      <c r="B37" s="132"/>
      <c r="C37" s="132"/>
      <c r="D37" s="161"/>
      <c r="E37" s="104"/>
    </row>
    <row r="38" spans="1:5" ht="15.75">
      <c r="A38" s="108" t="s">
        <v>128</v>
      </c>
      <c r="B38" s="109"/>
      <c r="C38" s="109"/>
      <c r="D38" s="160"/>
      <c r="E38" s="104"/>
    </row>
    <row r="39" spans="1:5" ht="15.75">
      <c r="A39" s="81" t="s">
        <v>273</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7">
        <v>1.378</v>
      </c>
    </row>
    <row r="42" spans="1:5" ht="15.75">
      <c r="A42" s="116" t="s">
        <v>9</v>
      </c>
      <c r="B42" s="116"/>
      <c r="C42" s="113"/>
      <c r="D42" s="113"/>
      <c r="E42" s="448"/>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v>12090</v>
      </c>
    </row>
    <row r="47" spans="1:5" ht="15.75">
      <c r="A47" s="171" t="str">
        <f>CONCATENATE("",E1," County Transfers for Gas***")</f>
        <v>2012 County Transfers for Gas***</v>
      </c>
      <c r="B47" s="172"/>
      <c r="C47" s="172"/>
      <c r="D47" s="173"/>
      <c r="E47" s="140"/>
    </row>
    <row r="48" spans="1:5" ht="15.75">
      <c r="A48" s="171" t="str">
        <f>CONCATENATE("Adjusted ",E1-1," State Distribution for Kansas Gas Tax")</f>
        <v>Adjusted 2011 State Distribution for Kansas Gas Tax</v>
      </c>
      <c r="B48" s="172"/>
      <c r="C48" s="172"/>
      <c r="D48" s="173"/>
      <c r="E48" s="140">
        <v>11870</v>
      </c>
    </row>
    <row r="49" spans="1:5" ht="15.75">
      <c r="A49" s="171" t="str">
        <f>CONCATENATE("Adjusted ",E1-1," County Transfers for Gas***")</f>
        <v>Adjusted 2011 County Transfers for Gas***</v>
      </c>
      <c r="B49" s="172"/>
      <c r="C49" s="172"/>
      <c r="D49" s="173"/>
      <c r="E49" s="140"/>
    </row>
    <row r="50" spans="1:5" ht="18" customHeight="1">
      <c r="A50" s="704" t="s">
        <v>16</v>
      </c>
      <c r="B50" s="705"/>
      <c r="C50" s="705"/>
      <c r="D50" s="705"/>
      <c r="E50" s="705"/>
    </row>
    <row r="51" spans="1:5" ht="15">
      <c r="A51" s="174" t="s">
        <v>17</v>
      </c>
      <c r="B51" s="174"/>
      <c r="C51" s="174"/>
      <c r="D51" s="174"/>
      <c r="E51" s="174"/>
    </row>
    <row r="52" spans="1:5" ht="15">
      <c r="A52" s="145"/>
      <c r="B52" s="145"/>
      <c r="C52" s="145"/>
      <c r="D52" s="145"/>
      <c r="E52" s="145"/>
    </row>
    <row r="53" spans="1:5" ht="15.75">
      <c r="A53" s="706" t="str">
        <f>CONCATENATE("From the ",E1-2," Budget Certificate Page")</f>
        <v>From the 2010 Budget Certificate Page</v>
      </c>
      <c r="B53" s="707"/>
      <c r="C53" s="145"/>
      <c r="D53" s="145"/>
      <c r="E53" s="145"/>
    </row>
    <row r="54" spans="1:5" ht="15.75">
      <c r="A54" s="175"/>
      <c r="B54" s="175" t="str">
        <f>CONCATENATE("",E1-2," Expenditure Amounts")</f>
        <v>2010 Expenditure Amounts</v>
      </c>
      <c r="C54" s="700" t="str">
        <f>CONCATENATE("Note: If the ",E1-2," budget was amended, then the")</f>
        <v>Note: If the 2010 budget was amended, then the</v>
      </c>
      <c r="D54" s="701"/>
      <c r="E54" s="701"/>
    </row>
    <row r="55" spans="1:5" ht="15.75">
      <c r="A55" s="176" t="s">
        <v>57</v>
      </c>
      <c r="B55" s="176" t="s">
        <v>56</v>
      </c>
      <c r="C55" s="177" t="s">
        <v>54</v>
      </c>
      <c r="D55" s="178"/>
      <c r="E55" s="178"/>
    </row>
    <row r="56" spans="1:5" ht="15.75">
      <c r="A56" s="179" t="str">
        <f>inputPrYr!B17</f>
        <v>General</v>
      </c>
      <c r="B56" s="140">
        <v>241140</v>
      </c>
      <c r="C56" s="177" t="s">
        <v>55</v>
      </c>
      <c r="D56" s="178"/>
      <c r="E56" s="178"/>
    </row>
    <row r="57" spans="1:5" ht="15.75">
      <c r="A57" s="179" t="str">
        <f>inputPrYr!B18</f>
        <v>Debt Service</v>
      </c>
      <c r="B57" s="140">
        <v>0</v>
      </c>
      <c r="C57" s="177"/>
      <c r="D57" s="178"/>
      <c r="E57" s="178"/>
    </row>
    <row r="58" spans="1:5" ht="15.75">
      <c r="A58" s="179" t="str">
        <f>inputPrYr!B20</f>
        <v>Employee Benefits</v>
      </c>
      <c r="B58" s="140">
        <v>46620</v>
      </c>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12960</v>
      </c>
      <c r="C63" s="145"/>
      <c r="D63" s="145"/>
      <c r="E63" s="145"/>
    </row>
    <row r="64" spans="1:5" ht="15.75">
      <c r="A64" s="179" t="str">
        <f>inputPrYr!B29</f>
        <v>Utility</v>
      </c>
      <c r="B64" s="140">
        <v>166700</v>
      </c>
      <c r="C64" s="145"/>
      <c r="D64" s="145"/>
      <c r="E64" s="145"/>
    </row>
    <row r="65" spans="1:5" ht="15.75">
      <c r="A65" s="179">
        <f>inputPrYr!B30</f>
        <v>0</v>
      </c>
      <c r="B65" s="140"/>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598</v>
      </c>
      <c r="B3" s="412"/>
      <c r="C3" s="412"/>
      <c r="D3" s="412"/>
      <c r="E3" s="412"/>
      <c r="F3" s="412"/>
      <c r="G3" s="412"/>
    </row>
    <row r="4" spans="1:7" ht="15">
      <c r="A4" s="412" t="s">
        <v>599</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482</v>
      </c>
    </row>
    <row r="8" ht="15">
      <c r="A8" s="411" t="str">
        <f>CONCATENATE("estimated ",inputPrYr!C5," 'total expenditures' exceed your ",inputPrYr!C5,"")</f>
        <v>estimated 2012 'total expenditures' exceed your 2012</v>
      </c>
    </row>
    <row r="9" ht="15">
      <c r="A9" s="414" t="s">
        <v>600</v>
      </c>
    </row>
    <row r="10" ht="15">
      <c r="A10" s="411"/>
    </row>
    <row r="11" ht="15">
      <c r="A11" s="411" t="s">
        <v>601</v>
      </c>
    </row>
    <row r="12" ht="15">
      <c r="A12" s="411" t="s">
        <v>602</v>
      </c>
    </row>
    <row r="13" ht="15">
      <c r="A13" s="411" t="s">
        <v>603</v>
      </c>
    </row>
    <row r="14" ht="15">
      <c r="A14" s="411"/>
    </row>
    <row r="15" ht="15">
      <c r="A15" s="410" t="s">
        <v>604</v>
      </c>
    </row>
    <row r="16" spans="1:7" ht="15">
      <c r="A16" s="412"/>
      <c r="B16" s="412"/>
      <c r="C16" s="412"/>
      <c r="D16" s="412"/>
      <c r="E16" s="412"/>
      <c r="F16" s="412"/>
      <c r="G16" s="412"/>
    </row>
    <row r="17" spans="1:8" ht="15">
      <c r="A17" s="417" t="s">
        <v>605</v>
      </c>
      <c r="B17" s="399"/>
      <c r="C17" s="399"/>
      <c r="D17" s="399"/>
      <c r="E17" s="399"/>
      <c r="F17" s="399"/>
      <c r="G17" s="399"/>
      <c r="H17" s="399"/>
    </row>
    <row r="18" spans="1:7" ht="15">
      <c r="A18" s="411" t="s">
        <v>606</v>
      </c>
      <c r="B18" s="418"/>
      <c r="C18" s="418"/>
      <c r="D18" s="418"/>
      <c r="E18" s="418"/>
      <c r="F18" s="418"/>
      <c r="G18" s="418"/>
    </row>
    <row r="19" ht="15">
      <c r="A19" s="411" t="s">
        <v>607</v>
      </c>
    </row>
    <row r="20" ht="15">
      <c r="A20" s="411" t="s">
        <v>608</v>
      </c>
    </row>
    <row r="22" ht="15">
      <c r="A22" s="410" t="s">
        <v>609</v>
      </c>
    </row>
    <row r="24" ht="15">
      <c r="A24" s="411" t="s">
        <v>610</v>
      </c>
    </row>
    <row r="25" ht="15">
      <c r="A25" s="411" t="s">
        <v>611</v>
      </c>
    </row>
    <row r="26" ht="15">
      <c r="A26" s="411" t="s">
        <v>612</v>
      </c>
    </row>
    <row r="28" ht="15">
      <c r="A28" s="410" t="s">
        <v>613</v>
      </c>
    </row>
    <row r="30" ht="15">
      <c r="A30" t="s">
        <v>614</v>
      </c>
    </row>
    <row r="31" ht="15">
      <c r="A31" t="s">
        <v>615</v>
      </c>
    </row>
    <row r="32" ht="15">
      <c r="A32" t="s">
        <v>616</v>
      </c>
    </row>
    <row r="33" ht="15">
      <c r="A33" s="411" t="s">
        <v>617</v>
      </c>
    </row>
    <row r="35" ht="15">
      <c r="A35" t="s">
        <v>618</v>
      </c>
    </row>
    <row r="36" ht="15">
      <c r="A36" t="s">
        <v>619</v>
      </c>
    </row>
    <row r="37" ht="15">
      <c r="A37" t="s">
        <v>620</v>
      </c>
    </row>
    <row r="38" ht="15">
      <c r="A38" t="s">
        <v>621</v>
      </c>
    </row>
    <row r="40" ht="15">
      <c r="A40" t="s">
        <v>622</v>
      </c>
    </row>
    <row r="41" ht="15">
      <c r="A41" t="s">
        <v>623</v>
      </c>
    </row>
    <row r="42" ht="15">
      <c r="A42" t="s">
        <v>624</v>
      </c>
    </row>
    <row r="43" ht="15">
      <c r="A43" t="s">
        <v>625</v>
      </c>
    </row>
    <row r="44" ht="15">
      <c r="A44" t="s">
        <v>626</v>
      </c>
    </row>
    <row r="45" ht="15">
      <c r="A45" t="s">
        <v>627</v>
      </c>
    </row>
    <row r="47" ht="15">
      <c r="A47" t="s">
        <v>628</v>
      </c>
    </row>
    <row r="48" ht="15">
      <c r="A48" t="s">
        <v>629</v>
      </c>
    </row>
    <row r="49" ht="15">
      <c r="A49" s="411" t="s">
        <v>630</v>
      </c>
    </row>
    <row r="50" ht="15">
      <c r="A50" s="411" t="s">
        <v>631</v>
      </c>
    </row>
    <row r="52" ht="15">
      <c r="A52" t="s">
        <v>480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19">
      <selection activeCell="F137" sqref="F137"/>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83" t="s">
        <v>699</v>
      </c>
      <c r="C6" s="792"/>
      <c r="D6" s="792"/>
      <c r="E6" s="792"/>
      <c r="F6" s="792"/>
      <c r="G6" s="792"/>
      <c r="H6" s="792"/>
      <c r="I6" s="792"/>
      <c r="J6" s="792"/>
      <c r="K6" s="792"/>
      <c r="L6" s="621"/>
    </row>
    <row r="7" spans="1:12" ht="40.5" customHeight="1">
      <c r="A7" s="620"/>
      <c r="B7" s="799" t="s">
        <v>700</v>
      </c>
      <c r="C7" s="800"/>
      <c r="D7" s="800"/>
      <c r="E7" s="800"/>
      <c r="F7" s="800"/>
      <c r="G7" s="800"/>
      <c r="H7" s="800"/>
      <c r="I7" s="800"/>
      <c r="J7" s="800"/>
      <c r="K7" s="800"/>
      <c r="L7" s="620"/>
    </row>
    <row r="8" spans="1:12" ht="14.25">
      <c r="A8" s="620"/>
      <c r="B8" s="793" t="s">
        <v>701</v>
      </c>
      <c r="C8" s="793"/>
      <c r="D8" s="793"/>
      <c r="E8" s="793"/>
      <c r="F8" s="793"/>
      <c r="G8" s="793"/>
      <c r="H8" s="793"/>
      <c r="I8" s="793"/>
      <c r="J8" s="793"/>
      <c r="K8" s="793"/>
      <c r="L8" s="620"/>
    </row>
    <row r="9" spans="1:12" ht="14.25">
      <c r="A9" s="620"/>
      <c r="L9" s="620"/>
    </row>
    <row r="10" spans="1:12" ht="14.25">
      <c r="A10" s="620"/>
      <c r="B10" s="793" t="s">
        <v>702</v>
      </c>
      <c r="C10" s="793"/>
      <c r="D10" s="793"/>
      <c r="E10" s="793"/>
      <c r="F10" s="793"/>
      <c r="G10" s="793"/>
      <c r="H10" s="793"/>
      <c r="I10" s="793"/>
      <c r="J10" s="793"/>
      <c r="K10" s="793"/>
      <c r="L10" s="620"/>
    </row>
    <row r="11" spans="1:12" ht="14.25">
      <c r="A11" s="620"/>
      <c r="B11" s="655"/>
      <c r="C11" s="655"/>
      <c r="D11" s="655"/>
      <c r="E11" s="655"/>
      <c r="F11" s="655"/>
      <c r="G11" s="655"/>
      <c r="H11" s="655"/>
      <c r="I11" s="655"/>
      <c r="J11" s="655"/>
      <c r="K11" s="655"/>
      <c r="L11" s="620"/>
    </row>
    <row r="12" spans="1:12" ht="32.25" customHeight="1">
      <c r="A12" s="620"/>
      <c r="B12" s="784" t="s">
        <v>703</v>
      </c>
      <c r="C12" s="784"/>
      <c r="D12" s="784"/>
      <c r="E12" s="784"/>
      <c r="F12" s="784"/>
      <c r="G12" s="784"/>
      <c r="H12" s="784"/>
      <c r="I12" s="784"/>
      <c r="J12" s="784"/>
      <c r="K12" s="784"/>
      <c r="L12" s="620"/>
    </row>
    <row r="13" spans="1:12" ht="14.25">
      <c r="A13" s="620"/>
      <c r="L13" s="620"/>
    </row>
    <row r="14" spans="1:12" ht="14.25">
      <c r="A14" s="620"/>
      <c r="B14" s="561" t="s">
        <v>704</v>
      </c>
      <c r="L14" s="620"/>
    </row>
    <row r="15" spans="1:12" ht="14.25">
      <c r="A15" s="620"/>
      <c r="L15" s="620"/>
    </row>
    <row r="16" spans="1:12" ht="14.25">
      <c r="A16" s="620"/>
      <c r="B16" s="567" t="s">
        <v>705</v>
      </c>
      <c r="L16" s="620"/>
    </row>
    <row r="17" spans="1:12" ht="14.25">
      <c r="A17" s="620"/>
      <c r="B17" s="567" t="s">
        <v>706</v>
      </c>
      <c r="L17" s="620"/>
    </row>
    <row r="18" spans="1:12" ht="14.25">
      <c r="A18" s="620"/>
      <c r="L18" s="620"/>
    </row>
    <row r="19" spans="1:12" ht="14.25">
      <c r="A19" s="620"/>
      <c r="B19" s="561" t="s">
        <v>753</v>
      </c>
      <c r="L19" s="620"/>
    </row>
    <row r="20" spans="1:12" ht="14.25">
      <c r="A20" s="620"/>
      <c r="B20" s="561"/>
      <c r="L20" s="620"/>
    </row>
    <row r="21" spans="1:12" ht="14.25">
      <c r="A21" s="620"/>
      <c r="B21" s="567" t="s">
        <v>707</v>
      </c>
      <c r="L21" s="620"/>
    </row>
    <row r="22" spans="1:12" ht="14.25">
      <c r="A22" s="620"/>
      <c r="L22" s="620"/>
    </row>
    <row r="23" spans="1:12" ht="14.25">
      <c r="A23" s="620"/>
      <c r="B23" s="567" t="s">
        <v>708</v>
      </c>
      <c r="E23" s="567" t="s">
        <v>709</v>
      </c>
      <c r="F23" s="779">
        <v>133685008</v>
      </c>
      <c r="G23" s="779"/>
      <c r="L23" s="620"/>
    </row>
    <row r="24" spans="1:12" ht="14.25">
      <c r="A24" s="620"/>
      <c r="L24" s="620"/>
    </row>
    <row r="25" spans="1:12" ht="14.25">
      <c r="A25" s="620"/>
      <c r="C25" s="801">
        <f>F23</f>
        <v>133685008</v>
      </c>
      <c r="D25" s="801"/>
      <c r="E25" s="567" t="s">
        <v>710</v>
      </c>
      <c r="F25" s="568">
        <v>1000</v>
      </c>
      <c r="G25" s="568" t="s">
        <v>709</v>
      </c>
      <c r="H25" s="656">
        <f>F23/F25</f>
        <v>133685.008</v>
      </c>
      <c r="L25" s="620"/>
    </row>
    <row r="26" spans="1:12" ht="15" thickBot="1">
      <c r="A26" s="620"/>
      <c r="L26" s="620"/>
    </row>
    <row r="27" spans="1:12" ht="14.25">
      <c r="A27" s="620"/>
      <c r="B27" s="562" t="s">
        <v>704</v>
      </c>
      <c r="C27" s="569"/>
      <c r="D27" s="569"/>
      <c r="E27" s="569"/>
      <c r="F27" s="569"/>
      <c r="G27" s="569"/>
      <c r="H27" s="569"/>
      <c r="I27" s="569"/>
      <c r="J27" s="569"/>
      <c r="K27" s="570"/>
      <c r="L27" s="620"/>
    </row>
    <row r="28" spans="1:12" ht="14.25">
      <c r="A28" s="620"/>
      <c r="B28" s="571">
        <f>F23</f>
        <v>133685008</v>
      </c>
      <c r="C28" s="572" t="s">
        <v>711</v>
      </c>
      <c r="D28" s="572"/>
      <c r="E28" s="572" t="s">
        <v>710</v>
      </c>
      <c r="F28" s="660">
        <v>1000</v>
      </c>
      <c r="G28" s="660" t="s">
        <v>709</v>
      </c>
      <c r="H28" s="573">
        <f>B28/F28</f>
        <v>133685.008</v>
      </c>
      <c r="I28" s="572" t="s">
        <v>712</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780" t="s">
        <v>700</v>
      </c>
      <c r="C30" s="780"/>
      <c r="D30" s="780"/>
      <c r="E30" s="780"/>
      <c r="F30" s="780"/>
      <c r="G30" s="780"/>
      <c r="H30" s="780"/>
      <c r="I30" s="780"/>
      <c r="J30" s="780"/>
      <c r="K30" s="780"/>
      <c r="L30" s="620"/>
    </row>
    <row r="31" spans="1:12" ht="14.25">
      <c r="A31" s="620"/>
      <c r="B31" s="793" t="s">
        <v>713</v>
      </c>
      <c r="C31" s="793"/>
      <c r="D31" s="793"/>
      <c r="E31" s="793"/>
      <c r="F31" s="793"/>
      <c r="G31" s="793"/>
      <c r="H31" s="793"/>
      <c r="I31" s="793"/>
      <c r="J31" s="793"/>
      <c r="K31" s="793"/>
      <c r="L31" s="620"/>
    </row>
    <row r="32" spans="1:12" ht="14.25">
      <c r="A32" s="620"/>
      <c r="L32" s="620"/>
    </row>
    <row r="33" spans="1:12" ht="14.25">
      <c r="A33" s="620"/>
      <c r="B33" s="793" t="s">
        <v>714</v>
      </c>
      <c r="C33" s="793"/>
      <c r="D33" s="793"/>
      <c r="E33" s="793"/>
      <c r="F33" s="793"/>
      <c r="G33" s="793"/>
      <c r="H33" s="793"/>
      <c r="I33" s="793"/>
      <c r="J33" s="793"/>
      <c r="K33" s="793"/>
      <c r="L33" s="620"/>
    </row>
    <row r="34" spans="1:12" ht="14.25">
      <c r="A34" s="620"/>
      <c r="L34" s="620"/>
    </row>
    <row r="35" spans="1:12" ht="89.25" customHeight="1">
      <c r="A35" s="620"/>
      <c r="B35" s="784" t="s">
        <v>715</v>
      </c>
      <c r="C35" s="782"/>
      <c r="D35" s="782"/>
      <c r="E35" s="782"/>
      <c r="F35" s="782"/>
      <c r="G35" s="782"/>
      <c r="H35" s="782"/>
      <c r="I35" s="782"/>
      <c r="J35" s="782"/>
      <c r="K35" s="782"/>
      <c r="L35" s="620"/>
    </row>
    <row r="36" spans="1:12" ht="14.25">
      <c r="A36" s="620"/>
      <c r="L36" s="620"/>
    </row>
    <row r="37" spans="1:12" ht="14.25">
      <c r="A37" s="620"/>
      <c r="B37" s="561" t="s">
        <v>716</v>
      </c>
      <c r="L37" s="620"/>
    </row>
    <row r="38" spans="1:12" ht="14.25">
      <c r="A38" s="620"/>
      <c r="L38" s="620"/>
    </row>
    <row r="39" spans="1:12" ht="14.25">
      <c r="A39" s="620"/>
      <c r="B39" s="567" t="s">
        <v>754</v>
      </c>
      <c r="L39" s="620"/>
    </row>
    <row r="40" spans="1:12" ht="14.25">
      <c r="A40" s="620"/>
      <c r="L40" s="620"/>
    </row>
    <row r="41" spans="1:12" ht="14.25">
      <c r="A41" s="620"/>
      <c r="C41" s="794">
        <v>3120000</v>
      </c>
      <c r="D41" s="794"/>
      <c r="E41" s="567" t="s">
        <v>710</v>
      </c>
      <c r="F41" s="568">
        <v>1000</v>
      </c>
      <c r="G41" s="568" t="s">
        <v>709</v>
      </c>
      <c r="H41" s="578">
        <f>C41/F41</f>
        <v>3120</v>
      </c>
      <c r="L41" s="620"/>
    </row>
    <row r="42" spans="1:12" ht="14.25">
      <c r="A42" s="620"/>
      <c r="L42" s="620"/>
    </row>
    <row r="43" spans="1:12" ht="14.25">
      <c r="A43" s="620"/>
      <c r="B43" s="567" t="s">
        <v>755</v>
      </c>
      <c r="L43" s="620"/>
    </row>
    <row r="44" spans="1:12" ht="14.25">
      <c r="A44" s="620"/>
      <c r="L44" s="620"/>
    </row>
    <row r="45" spans="1:12" ht="14.25">
      <c r="A45" s="620"/>
      <c r="B45" s="567" t="s">
        <v>717</v>
      </c>
      <c r="L45" s="620"/>
    </row>
    <row r="46" spans="1:12" ht="15" thickBot="1">
      <c r="A46" s="620"/>
      <c r="L46" s="620"/>
    </row>
    <row r="47" spans="1:12" ht="14.25">
      <c r="A47" s="620"/>
      <c r="B47" s="579" t="s">
        <v>704</v>
      </c>
      <c r="C47" s="569"/>
      <c r="D47" s="569"/>
      <c r="E47" s="569"/>
      <c r="F47" s="569"/>
      <c r="G47" s="569"/>
      <c r="H47" s="569"/>
      <c r="I47" s="569"/>
      <c r="J47" s="569"/>
      <c r="K47" s="570"/>
      <c r="L47" s="620"/>
    </row>
    <row r="48" spans="1:12" ht="14.25">
      <c r="A48" s="620"/>
      <c r="B48" s="779">
        <v>133685008</v>
      </c>
      <c r="C48" s="779"/>
      <c r="D48" s="572" t="s">
        <v>718</v>
      </c>
      <c r="E48" s="572" t="s">
        <v>710</v>
      </c>
      <c r="F48" s="660">
        <v>1000</v>
      </c>
      <c r="G48" s="660" t="s">
        <v>709</v>
      </c>
      <c r="H48" s="573">
        <f>B48/F48</f>
        <v>133685.008</v>
      </c>
      <c r="I48" s="572" t="s">
        <v>719</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720</v>
      </c>
      <c r="D50" s="572"/>
      <c r="E50" s="572" t="s">
        <v>710</v>
      </c>
      <c r="F50" s="573">
        <f>H48</f>
        <v>133685.008</v>
      </c>
      <c r="G50" s="795" t="s">
        <v>721</v>
      </c>
      <c r="H50" s="796"/>
      <c r="I50" s="660" t="s">
        <v>709</v>
      </c>
      <c r="J50" s="582">
        <f>B50/F50</f>
        <v>52.8690023342034</v>
      </c>
      <c r="K50" s="574"/>
      <c r="L50" s="620"/>
    </row>
    <row r="51" spans="1:15" ht="15" thickBot="1">
      <c r="A51" s="620"/>
      <c r="B51" s="575"/>
      <c r="C51" s="576"/>
      <c r="D51" s="576"/>
      <c r="E51" s="576"/>
      <c r="F51" s="576"/>
      <c r="G51" s="576"/>
      <c r="H51" s="576"/>
      <c r="I51" s="797" t="s">
        <v>722</v>
      </c>
      <c r="J51" s="797"/>
      <c r="K51" s="798"/>
      <c r="L51" s="620"/>
      <c r="O51" s="676"/>
    </row>
    <row r="52" spans="1:12" ht="40.5" customHeight="1">
      <c r="A52" s="620"/>
      <c r="B52" s="780" t="s">
        <v>700</v>
      </c>
      <c r="C52" s="780"/>
      <c r="D52" s="780"/>
      <c r="E52" s="780"/>
      <c r="F52" s="780"/>
      <c r="G52" s="780"/>
      <c r="H52" s="780"/>
      <c r="I52" s="780"/>
      <c r="J52" s="780"/>
      <c r="K52" s="780"/>
      <c r="L52" s="620"/>
    </row>
    <row r="53" spans="1:12" ht="14.25">
      <c r="A53" s="620"/>
      <c r="B53" s="793" t="s">
        <v>723</v>
      </c>
      <c r="C53" s="793"/>
      <c r="D53" s="793"/>
      <c r="E53" s="793"/>
      <c r="F53" s="793"/>
      <c r="G53" s="793"/>
      <c r="H53" s="793"/>
      <c r="I53" s="793"/>
      <c r="J53" s="793"/>
      <c r="K53" s="793"/>
      <c r="L53" s="620"/>
    </row>
    <row r="54" spans="1:12" ht="14.25">
      <c r="A54" s="620"/>
      <c r="B54" s="655"/>
      <c r="C54" s="655"/>
      <c r="D54" s="655"/>
      <c r="E54" s="655"/>
      <c r="F54" s="655"/>
      <c r="G54" s="655"/>
      <c r="H54" s="655"/>
      <c r="I54" s="655"/>
      <c r="J54" s="655"/>
      <c r="K54" s="655"/>
      <c r="L54" s="620"/>
    </row>
    <row r="55" spans="1:12" ht="14.25">
      <c r="A55" s="620"/>
      <c r="B55" s="783" t="s">
        <v>724</v>
      </c>
      <c r="C55" s="783"/>
      <c r="D55" s="783"/>
      <c r="E55" s="783"/>
      <c r="F55" s="783"/>
      <c r="G55" s="783"/>
      <c r="H55" s="783"/>
      <c r="I55" s="783"/>
      <c r="J55" s="783"/>
      <c r="K55" s="783"/>
      <c r="L55" s="620"/>
    </row>
    <row r="56" spans="1:12" ht="15" customHeight="1">
      <c r="A56" s="620"/>
      <c r="L56" s="620"/>
    </row>
    <row r="57" spans="1:24" ht="74.25" customHeight="1">
      <c r="A57" s="620"/>
      <c r="B57" s="784" t="s">
        <v>725</v>
      </c>
      <c r="C57" s="782"/>
      <c r="D57" s="782"/>
      <c r="E57" s="782"/>
      <c r="F57" s="782"/>
      <c r="G57" s="782"/>
      <c r="H57" s="782"/>
      <c r="I57" s="782"/>
      <c r="J57" s="782"/>
      <c r="K57" s="782"/>
      <c r="L57" s="620"/>
      <c r="M57" s="563"/>
      <c r="N57" s="583"/>
      <c r="O57" s="583"/>
      <c r="P57" s="583"/>
      <c r="Q57" s="583"/>
      <c r="R57" s="583"/>
      <c r="S57" s="583"/>
      <c r="T57" s="583"/>
      <c r="U57" s="583"/>
      <c r="V57" s="583"/>
      <c r="W57" s="583"/>
      <c r="X57" s="583"/>
    </row>
    <row r="58" spans="1:24" ht="15" customHeight="1">
      <c r="A58" s="620"/>
      <c r="B58" s="784"/>
      <c r="C58" s="782"/>
      <c r="D58" s="782"/>
      <c r="E58" s="782"/>
      <c r="F58" s="782"/>
      <c r="G58" s="782"/>
      <c r="H58" s="782"/>
      <c r="I58" s="782"/>
      <c r="J58" s="782"/>
      <c r="K58" s="782"/>
      <c r="L58" s="620"/>
      <c r="M58" s="563"/>
      <c r="N58" s="583"/>
      <c r="O58" s="583"/>
      <c r="P58" s="583"/>
      <c r="Q58" s="583"/>
      <c r="R58" s="583"/>
      <c r="S58" s="583"/>
      <c r="T58" s="583"/>
      <c r="U58" s="583"/>
      <c r="V58" s="583"/>
      <c r="W58" s="583"/>
      <c r="X58" s="583"/>
    </row>
    <row r="59" spans="1:24" ht="14.25">
      <c r="A59" s="620"/>
      <c r="B59" s="561" t="s">
        <v>716</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756</v>
      </c>
      <c r="L61" s="620"/>
      <c r="M61" s="583"/>
      <c r="N61" s="583"/>
      <c r="O61" s="583"/>
      <c r="P61" s="583"/>
      <c r="Q61" s="583"/>
      <c r="R61" s="583"/>
      <c r="S61" s="583"/>
      <c r="T61" s="583"/>
      <c r="U61" s="583"/>
      <c r="V61" s="583"/>
      <c r="W61" s="583"/>
      <c r="X61" s="583"/>
    </row>
    <row r="62" spans="1:24" ht="14.25">
      <c r="A62" s="620"/>
      <c r="B62" s="567" t="s">
        <v>726</v>
      </c>
      <c r="L62" s="620"/>
      <c r="M62" s="583"/>
      <c r="N62" s="583"/>
      <c r="O62" s="583"/>
      <c r="P62" s="583"/>
      <c r="Q62" s="583"/>
      <c r="R62" s="583"/>
      <c r="S62" s="583"/>
      <c r="T62" s="583"/>
      <c r="U62" s="583"/>
      <c r="V62" s="583"/>
      <c r="W62" s="583"/>
      <c r="X62" s="583"/>
    </row>
    <row r="63" spans="1:24" ht="14.25">
      <c r="A63" s="620"/>
      <c r="B63" s="567" t="s">
        <v>727</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757</v>
      </c>
      <c r="L65" s="620"/>
      <c r="M65" s="583"/>
      <c r="N65" s="583"/>
      <c r="O65" s="583"/>
      <c r="P65" s="583"/>
      <c r="Q65" s="583"/>
      <c r="R65" s="583"/>
      <c r="S65" s="583"/>
      <c r="T65" s="583"/>
      <c r="U65" s="583"/>
      <c r="V65" s="583"/>
      <c r="W65" s="583"/>
      <c r="X65" s="583"/>
    </row>
    <row r="66" spans="1:24" ht="14.25">
      <c r="A66" s="620"/>
      <c r="B66" s="567" t="s">
        <v>728</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758</v>
      </c>
      <c r="L68" s="620"/>
      <c r="M68" s="564"/>
      <c r="N68" s="584"/>
      <c r="O68" s="584"/>
      <c r="P68" s="584"/>
      <c r="Q68" s="584"/>
      <c r="R68" s="584"/>
      <c r="S68" s="584"/>
      <c r="T68" s="584"/>
      <c r="U68" s="584"/>
      <c r="V68" s="584"/>
      <c r="W68" s="584"/>
      <c r="X68" s="583"/>
    </row>
    <row r="69" spans="1:24" ht="14.25">
      <c r="A69" s="620"/>
      <c r="B69" s="567" t="s">
        <v>729</v>
      </c>
      <c r="L69" s="620"/>
      <c r="M69" s="583"/>
      <c r="N69" s="583"/>
      <c r="O69" s="583"/>
      <c r="P69" s="583"/>
      <c r="Q69" s="583"/>
      <c r="R69" s="583"/>
      <c r="S69" s="583"/>
      <c r="T69" s="583"/>
      <c r="U69" s="583"/>
      <c r="V69" s="583"/>
      <c r="W69" s="583"/>
      <c r="X69" s="583"/>
    </row>
    <row r="70" spans="1:24" ht="14.25">
      <c r="A70" s="620"/>
      <c r="B70" s="567" t="s">
        <v>730</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704</v>
      </c>
      <c r="C72" s="569"/>
      <c r="D72" s="569"/>
      <c r="E72" s="569"/>
      <c r="F72" s="569"/>
      <c r="G72" s="569"/>
      <c r="H72" s="569"/>
      <c r="I72" s="569"/>
      <c r="J72" s="569"/>
      <c r="K72" s="570"/>
      <c r="L72" s="622"/>
    </row>
    <row r="73" spans="1:12" ht="14.25">
      <c r="A73" s="620"/>
      <c r="B73" s="580"/>
      <c r="C73" s="572" t="s">
        <v>711</v>
      </c>
      <c r="D73" s="572"/>
      <c r="E73" s="572"/>
      <c r="F73" s="572"/>
      <c r="G73" s="572"/>
      <c r="H73" s="572"/>
      <c r="I73" s="572"/>
      <c r="J73" s="572"/>
      <c r="K73" s="574"/>
      <c r="L73" s="622"/>
    </row>
    <row r="74" spans="1:12" ht="14.25">
      <c r="A74" s="620"/>
      <c r="B74" s="580" t="s">
        <v>731</v>
      </c>
      <c r="C74" s="779">
        <v>133685008</v>
      </c>
      <c r="D74" s="779"/>
      <c r="E74" s="660" t="s">
        <v>710</v>
      </c>
      <c r="F74" s="660">
        <v>1000</v>
      </c>
      <c r="G74" s="660" t="s">
        <v>709</v>
      </c>
      <c r="H74" s="661">
        <f>C74/F74</f>
        <v>133685.008</v>
      </c>
      <c r="I74" s="572" t="s">
        <v>732</v>
      </c>
      <c r="J74" s="572"/>
      <c r="K74" s="574"/>
      <c r="L74" s="622"/>
    </row>
    <row r="75" spans="1:12" ht="14.25">
      <c r="A75" s="620"/>
      <c r="B75" s="580"/>
      <c r="C75" s="572"/>
      <c r="D75" s="572"/>
      <c r="E75" s="660"/>
      <c r="F75" s="572"/>
      <c r="G75" s="572"/>
      <c r="H75" s="572"/>
      <c r="I75" s="572"/>
      <c r="J75" s="572"/>
      <c r="K75" s="574"/>
      <c r="L75" s="622"/>
    </row>
    <row r="76" spans="1:12" ht="14.25">
      <c r="A76" s="620"/>
      <c r="B76" s="580"/>
      <c r="C76" s="572" t="s">
        <v>733</v>
      </c>
      <c r="D76" s="572"/>
      <c r="E76" s="660"/>
      <c r="F76" s="572" t="s">
        <v>732</v>
      </c>
      <c r="G76" s="572"/>
      <c r="H76" s="572"/>
      <c r="I76" s="572"/>
      <c r="J76" s="572"/>
      <c r="K76" s="574"/>
      <c r="L76" s="622"/>
    </row>
    <row r="77" spans="1:12" ht="14.25">
      <c r="A77" s="620"/>
      <c r="B77" s="580" t="s">
        <v>736</v>
      </c>
      <c r="C77" s="779">
        <v>5000</v>
      </c>
      <c r="D77" s="779"/>
      <c r="E77" s="660" t="s">
        <v>710</v>
      </c>
      <c r="F77" s="661">
        <f>H74</f>
        <v>133685.008</v>
      </c>
      <c r="G77" s="660" t="s">
        <v>709</v>
      </c>
      <c r="H77" s="582">
        <f>C77/F77</f>
        <v>0.03740135169083432</v>
      </c>
      <c r="I77" s="572" t="s">
        <v>734</v>
      </c>
      <c r="J77" s="572"/>
      <c r="K77" s="574"/>
      <c r="L77" s="622"/>
    </row>
    <row r="78" spans="1:12" ht="14.25">
      <c r="A78" s="620"/>
      <c r="B78" s="580"/>
      <c r="C78" s="572"/>
      <c r="D78" s="572"/>
      <c r="E78" s="660"/>
      <c r="F78" s="572"/>
      <c r="G78" s="572"/>
      <c r="H78" s="572"/>
      <c r="I78" s="572"/>
      <c r="J78" s="572"/>
      <c r="K78" s="574"/>
      <c r="L78" s="622"/>
    </row>
    <row r="79" spans="1:12" ht="14.25">
      <c r="A79" s="620"/>
      <c r="B79" s="585"/>
      <c r="C79" s="586" t="s">
        <v>735</v>
      </c>
      <c r="D79" s="586"/>
      <c r="E79" s="662"/>
      <c r="F79" s="586"/>
      <c r="G79" s="586"/>
      <c r="H79" s="586"/>
      <c r="I79" s="586"/>
      <c r="J79" s="586"/>
      <c r="K79" s="587"/>
      <c r="L79" s="622"/>
    </row>
    <row r="80" spans="1:12" ht="14.25">
      <c r="A80" s="620"/>
      <c r="B80" s="580" t="s">
        <v>839</v>
      </c>
      <c r="C80" s="779">
        <v>100000</v>
      </c>
      <c r="D80" s="779"/>
      <c r="E80" s="660" t="s">
        <v>160</v>
      </c>
      <c r="F80" s="660">
        <v>0.115</v>
      </c>
      <c r="G80" s="660" t="s">
        <v>709</v>
      </c>
      <c r="H80" s="661">
        <f>C80*F80</f>
        <v>11500</v>
      </c>
      <c r="I80" s="572" t="s">
        <v>737</v>
      </c>
      <c r="J80" s="572"/>
      <c r="K80" s="574"/>
      <c r="L80" s="622"/>
    </row>
    <row r="81" spans="1:12" ht="14.25">
      <c r="A81" s="620"/>
      <c r="B81" s="580"/>
      <c r="C81" s="572"/>
      <c r="D81" s="572"/>
      <c r="E81" s="660"/>
      <c r="F81" s="572"/>
      <c r="G81" s="572"/>
      <c r="H81" s="572"/>
      <c r="I81" s="572"/>
      <c r="J81" s="572"/>
      <c r="K81" s="574"/>
      <c r="L81" s="622"/>
    </row>
    <row r="82" spans="1:12" ht="14.25">
      <c r="A82" s="620"/>
      <c r="B82" s="585"/>
      <c r="C82" s="586" t="s">
        <v>738</v>
      </c>
      <c r="D82" s="586"/>
      <c r="E82" s="662"/>
      <c r="F82" s="586" t="s">
        <v>734</v>
      </c>
      <c r="G82" s="586"/>
      <c r="H82" s="586"/>
      <c r="I82" s="586"/>
      <c r="J82" s="586" t="s">
        <v>739</v>
      </c>
      <c r="K82" s="587"/>
      <c r="L82" s="622"/>
    </row>
    <row r="83" spans="1:12" ht="14.25">
      <c r="A83" s="620"/>
      <c r="B83" s="580" t="s">
        <v>840</v>
      </c>
      <c r="C83" s="777">
        <f>H80</f>
        <v>11500</v>
      </c>
      <c r="D83" s="777"/>
      <c r="E83" s="660" t="s">
        <v>160</v>
      </c>
      <c r="F83" s="582">
        <f>H77</f>
        <v>0.03740135169083432</v>
      </c>
      <c r="G83" s="660" t="s">
        <v>710</v>
      </c>
      <c r="H83" s="660">
        <v>1000</v>
      </c>
      <c r="I83" s="660" t="s">
        <v>709</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780" t="s">
        <v>700</v>
      </c>
      <c r="C85" s="780"/>
      <c r="D85" s="780"/>
      <c r="E85" s="780"/>
      <c r="F85" s="780"/>
      <c r="G85" s="780"/>
      <c r="H85" s="780"/>
      <c r="I85" s="780"/>
      <c r="J85" s="780"/>
      <c r="K85" s="780"/>
      <c r="L85" s="620"/>
    </row>
    <row r="86" spans="1:12" ht="14.25">
      <c r="A86" s="620"/>
      <c r="B86" s="783" t="s">
        <v>740</v>
      </c>
      <c r="C86" s="783"/>
      <c r="D86" s="783"/>
      <c r="E86" s="783"/>
      <c r="F86" s="783"/>
      <c r="G86" s="783"/>
      <c r="H86" s="783"/>
      <c r="I86" s="783"/>
      <c r="J86" s="783"/>
      <c r="K86" s="783"/>
      <c r="L86" s="620"/>
    </row>
    <row r="87" spans="1:12" ht="14.25">
      <c r="A87" s="620"/>
      <c r="B87" s="593"/>
      <c r="C87" s="593"/>
      <c r="D87" s="593"/>
      <c r="E87" s="593"/>
      <c r="F87" s="593"/>
      <c r="G87" s="593"/>
      <c r="H87" s="593"/>
      <c r="I87" s="593"/>
      <c r="J87" s="593"/>
      <c r="K87" s="593"/>
      <c r="L87" s="620"/>
    </row>
    <row r="88" spans="1:12" ht="14.25">
      <c r="A88" s="620"/>
      <c r="B88" s="783" t="s">
        <v>741</v>
      </c>
      <c r="C88" s="783"/>
      <c r="D88" s="783"/>
      <c r="E88" s="783"/>
      <c r="F88" s="783"/>
      <c r="G88" s="783"/>
      <c r="H88" s="783"/>
      <c r="I88" s="783"/>
      <c r="J88" s="783"/>
      <c r="K88" s="783"/>
      <c r="L88" s="620"/>
    </row>
    <row r="89" spans="1:12" ht="14.25">
      <c r="A89" s="620"/>
      <c r="B89" s="654"/>
      <c r="C89" s="654"/>
      <c r="D89" s="654"/>
      <c r="E89" s="654"/>
      <c r="F89" s="654"/>
      <c r="G89" s="654"/>
      <c r="H89" s="654"/>
      <c r="I89" s="654"/>
      <c r="J89" s="654"/>
      <c r="K89" s="654"/>
      <c r="L89" s="620"/>
    </row>
    <row r="90" spans="1:12" ht="45" customHeight="1">
      <c r="A90" s="620"/>
      <c r="B90" s="784" t="s">
        <v>742</v>
      </c>
      <c r="C90" s="784"/>
      <c r="D90" s="784"/>
      <c r="E90" s="784"/>
      <c r="F90" s="784"/>
      <c r="G90" s="784"/>
      <c r="H90" s="784"/>
      <c r="I90" s="784"/>
      <c r="J90" s="784"/>
      <c r="K90" s="784"/>
      <c r="L90" s="620"/>
    </row>
    <row r="91" spans="1:12" ht="15" customHeight="1" thickBot="1">
      <c r="A91" s="620"/>
      <c r="L91" s="620"/>
    </row>
    <row r="92" spans="1:12" ht="15" customHeight="1">
      <c r="A92" s="620"/>
      <c r="B92" s="565" t="s">
        <v>704</v>
      </c>
      <c r="C92" s="594"/>
      <c r="D92" s="594"/>
      <c r="E92" s="594"/>
      <c r="F92" s="594"/>
      <c r="G92" s="594"/>
      <c r="H92" s="594"/>
      <c r="I92" s="594"/>
      <c r="J92" s="594"/>
      <c r="K92" s="595"/>
      <c r="L92" s="620"/>
    </row>
    <row r="93" spans="1:12" ht="15" customHeight="1">
      <c r="A93" s="620"/>
      <c r="B93" s="596"/>
      <c r="C93" s="658" t="s">
        <v>711</v>
      </c>
      <c r="D93" s="658"/>
      <c r="E93" s="658"/>
      <c r="F93" s="658"/>
      <c r="G93" s="658"/>
      <c r="H93" s="658"/>
      <c r="I93" s="658"/>
      <c r="J93" s="658"/>
      <c r="K93" s="597"/>
      <c r="L93" s="620"/>
    </row>
    <row r="94" spans="1:12" ht="15" customHeight="1">
      <c r="A94" s="620"/>
      <c r="B94" s="596" t="s">
        <v>731</v>
      </c>
      <c r="C94" s="779">
        <v>133685008</v>
      </c>
      <c r="D94" s="779"/>
      <c r="E94" s="660" t="s">
        <v>710</v>
      </c>
      <c r="F94" s="660">
        <v>1000</v>
      </c>
      <c r="G94" s="660" t="s">
        <v>709</v>
      </c>
      <c r="H94" s="661">
        <f>C94/F94</f>
        <v>133685.008</v>
      </c>
      <c r="I94" s="658" t="s">
        <v>732</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733</v>
      </c>
      <c r="D96" s="658"/>
      <c r="E96" s="660"/>
      <c r="F96" s="658" t="s">
        <v>732</v>
      </c>
      <c r="G96" s="658"/>
      <c r="H96" s="658"/>
      <c r="I96" s="658"/>
      <c r="J96" s="658"/>
      <c r="K96" s="597"/>
      <c r="L96" s="620"/>
    </row>
    <row r="97" spans="1:12" ht="15" customHeight="1">
      <c r="A97" s="620"/>
      <c r="B97" s="596" t="s">
        <v>736</v>
      </c>
      <c r="C97" s="779">
        <v>50000</v>
      </c>
      <c r="D97" s="779"/>
      <c r="E97" s="660" t="s">
        <v>710</v>
      </c>
      <c r="F97" s="661">
        <f>H94</f>
        <v>133685.008</v>
      </c>
      <c r="G97" s="660" t="s">
        <v>709</v>
      </c>
      <c r="H97" s="582">
        <f>C97/F97</f>
        <v>0.3740135169083432</v>
      </c>
      <c r="I97" s="658" t="s">
        <v>734</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743</v>
      </c>
      <c r="D99" s="599"/>
      <c r="E99" s="662"/>
      <c r="F99" s="599"/>
      <c r="G99" s="599"/>
      <c r="H99" s="599"/>
      <c r="I99" s="599"/>
      <c r="J99" s="599"/>
      <c r="K99" s="600"/>
      <c r="L99" s="620"/>
    </row>
    <row r="100" spans="1:12" ht="15" customHeight="1">
      <c r="A100" s="620"/>
      <c r="B100" s="596" t="s">
        <v>839</v>
      </c>
      <c r="C100" s="779">
        <v>2500000</v>
      </c>
      <c r="D100" s="779"/>
      <c r="E100" s="660" t="s">
        <v>160</v>
      </c>
      <c r="F100" s="601">
        <v>0.3</v>
      </c>
      <c r="G100" s="660" t="s">
        <v>709</v>
      </c>
      <c r="H100" s="661">
        <f>C100*F100</f>
        <v>750000</v>
      </c>
      <c r="I100" s="658" t="s">
        <v>737</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738</v>
      </c>
      <c r="D102" s="599"/>
      <c r="E102" s="662"/>
      <c r="F102" s="599" t="s">
        <v>734</v>
      </c>
      <c r="G102" s="599"/>
      <c r="H102" s="599"/>
      <c r="I102" s="599"/>
      <c r="J102" s="599" t="s">
        <v>739</v>
      </c>
      <c r="K102" s="600"/>
      <c r="L102" s="620"/>
    </row>
    <row r="103" spans="1:12" ht="15" customHeight="1">
      <c r="A103" s="620"/>
      <c r="B103" s="596" t="s">
        <v>840</v>
      </c>
      <c r="C103" s="777">
        <f>H100</f>
        <v>750000</v>
      </c>
      <c r="D103" s="777"/>
      <c r="E103" s="660" t="s">
        <v>160</v>
      </c>
      <c r="F103" s="582">
        <f>H97</f>
        <v>0.3740135169083432</v>
      </c>
      <c r="G103" s="660" t="s">
        <v>710</v>
      </c>
      <c r="H103" s="660">
        <v>1000</v>
      </c>
      <c r="I103" s="660" t="s">
        <v>709</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80" t="s">
        <v>700</v>
      </c>
      <c r="C105" s="787"/>
      <c r="D105" s="787"/>
      <c r="E105" s="787"/>
      <c r="F105" s="787"/>
      <c r="G105" s="787"/>
      <c r="H105" s="787"/>
      <c r="I105" s="787"/>
      <c r="J105" s="787"/>
      <c r="K105" s="787"/>
      <c r="L105" s="620"/>
    </row>
    <row r="106" spans="1:12" ht="15" customHeight="1">
      <c r="A106" s="620"/>
      <c r="B106" s="791" t="s">
        <v>744</v>
      </c>
      <c r="C106" s="792"/>
      <c r="D106" s="792"/>
      <c r="E106" s="792"/>
      <c r="F106" s="792"/>
      <c r="G106" s="792"/>
      <c r="H106" s="792"/>
      <c r="I106" s="792"/>
      <c r="J106" s="792"/>
      <c r="K106" s="792"/>
      <c r="L106" s="620"/>
    </row>
    <row r="107" spans="1:12" ht="15" customHeight="1">
      <c r="A107" s="620"/>
      <c r="B107" s="658"/>
      <c r="C107" s="603"/>
      <c r="D107" s="603"/>
      <c r="E107" s="660"/>
      <c r="F107" s="582"/>
      <c r="G107" s="660"/>
      <c r="H107" s="660"/>
      <c r="I107" s="660"/>
      <c r="J107" s="588"/>
      <c r="K107" s="658"/>
      <c r="L107" s="620"/>
    </row>
    <row r="108" spans="1:12" ht="15" customHeight="1">
      <c r="A108" s="620"/>
      <c r="B108" s="791" t="s">
        <v>745</v>
      </c>
      <c r="C108" s="803"/>
      <c r="D108" s="803"/>
      <c r="E108" s="803"/>
      <c r="F108" s="803"/>
      <c r="G108" s="803"/>
      <c r="H108" s="803"/>
      <c r="I108" s="803"/>
      <c r="J108" s="803"/>
      <c r="K108" s="803"/>
      <c r="L108" s="620"/>
    </row>
    <row r="109" spans="1:12" ht="15" customHeight="1">
      <c r="A109" s="620"/>
      <c r="B109" s="658"/>
      <c r="C109" s="603"/>
      <c r="D109" s="603"/>
      <c r="E109" s="660"/>
      <c r="F109" s="582"/>
      <c r="G109" s="660"/>
      <c r="H109" s="660"/>
      <c r="I109" s="660"/>
      <c r="J109" s="588"/>
      <c r="K109" s="658"/>
      <c r="L109" s="620"/>
    </row>
    <row r="110" spans="1:12" ht="59.25" customHeight="1">
      <c r="A110" s="620"/>
      <c r="B110" s="781" t="s">
        <v>746</v>
      </c>
      <c r="C110" s="782"/>
      <c r="D110" s="782"/>
      <c r="E110" s="782"/>
      <c r="F110" s="782"/>
      <c r="G110" s="782"/>
      <c r="H110" s="782"/>
      <c r="I110" s="782"/>
      <c r="J110" s="782"/>
      <c r="K110" s="782"/>
      <c r="L110" s="620"/>
    </row>
    <row r="111" spans="1:12" ht="15" thickBot="1">
      <c r="A111" s="620"/>
      <c r="B111" s="655"/>
      <c r="C111" s="655"/>
      <c r="D111" s="655"/>
      <c r="E111" s="655"/>
      <c r="F111" s="655"/>
      <c r="G111" s="655"/>
      <c r="H111" s="655"/>
      <c r="I111" s="655"/>
      <c r="J111" s="655"/>
      <c r="K111" s="655"/>
      <c r="L111" s="623"/>
    </row>
    <row r="112" spans="1:12" ht="14.25">
      <c r="A112" s="620"/>
      <c r="B112" s="562" t="s">
        <v>704</v>
      </c>
      <c r="C112" s="569"/>
      <c r="D112" s="569"/>
      <c r="E112" s="569"/>
      <c r="F112" s="569"/>
      <c r="G112" s="569"/>
      <c r="H112" s="569"/>
      <c r="I112" s="569"/>
      <c r="J112" s="569"/>
      <c r="K112" s="570"/>
      <c r="L112" s="620"/>
    </row>
    <row r="113" spans="1:12" ht="14.25">
      <c r="A113" s="620"/>
      <c r="B113" s="580"/>
      <c r="C113" s="572" t="s">
        <v>711</v>
      </c>
      <c r="D113" s="572"/>
      <c r="E113" s="572"/>
      <c r="F113" s="572"/>
      <c r="G113" s="572"/>
      <c r="H113" s="572"/>
      <c r="I113" s="572"/>
      <c r="J113" s="572"/>
      <c r="K113" s="574"/>
      <c r="L113" s="620"/>
    </row>
    <row r="114" spans="1:12" ht="14.25">
      <c r="A114" s="620"/>
      <c r="B114" s="580" t="s">
        <v>731</v>
      </c>
      <c r="C114" s="779">
        <v>133685008</v>
      </c>
      <c r="D114" s="779"/>
      <c r="E114" s="660" t="s">
        <v>710</v>
      </c>
      <c r="F114" s="660">
        <v>1000</v>
      </c>
      <c r="G114" s="660" t="s">
        <v>709</v>
      </c>
      <c r="H114" s="661">
        <f>C114/F114</f>
        <v>133685.008</v>
      </c>
      <c r="I114" s="572" t="s">
        <v>732</v>
      </c>
      <c r="J114" s="572"/>
      <c r="K114" s="574"/>
      <c r="L114" s="620"/>
    </row>
    <row r="115" spans="1:12" ht="14.25">
      <c r="A115" s="620"/>
      <c r="B115" s="580"/>
      <c r="C115" s="572"/>
      <c r="D115" s="572"/>
      <c r="E115" s="660"/>
      <c r="F115" s="572"/>
      <c r="G115" s="572"/>
      <c r="H115" s="572"/>
      <c r="I115" s="572"/>
      <c r="J115" s="572"/>
      <c r="K115" s="574"/>
      <c r="L115" s="620"/>
    </row>
    <row r="116" spans="1:12" ht="14.25">
      <c r="A116" s="620"/>
      <c r="B116" s="580"/>
      <c r="C116" s="572" t="s">
        <v>733</v>
      </c>
      <c r="D116" s="572"/>
      <c r="E116" s="660"/>
      <c r="F116" s="572" t="s">
        <v>732</v>
      </c>
      <c r="G116" s="572"/>
      <c r="H116" s="572"/>
      <c r="I116" s="572"/>
      <c r="J116" s="572"/>
      <c r="K116" s="574"/>
      <c r="L116" s="620"/>
    </row>
    <row r="117" spans="1:12" ht="14.25">
      <c r="A117" s="620"/>
      <c r="B117" s="580" t="s">
        <v>736</v>
      </c>
      <c r="C117" s="779">
        <v>50000</v>
      </c>
      <c r="D117" s="779"/>
      <c r="E117" s="660" t="s">
        <v>710</v>
      </c>
      <c r="F117" s="661">
        <f>H114</f>
        <v>133685.008</v>
      </c>
      <c r="G117" s="660" t="s">
        <v>709</v>
      </c>
      <c r="H117" s="582">
        <f>C117/F117</f>
        <v>0.3740135169083432</v>
      </c>
      <c r="I117" s="572" t="s">
        <v>734</v>
      </c>
      <c r="J117" s="572"/>
      <c r="K117" s="574"/>
      <c r="L117" s="620"/>
    </row>
    <row r="118" spans="1:12" ht="14.25">
      <c r="A118" s="620"/>
      <c r="B118" s="580"/>
      <c r="C118" s="572"/>
      <c r="D118" s="572"/>
      <c r="E118" s="660"/>
      <c r="F118" s="572"/>
      <c r="G118" s="572"/>
      <c r="H118" s="572"/>
      <c r="I118" s="572"/>
      <c r="J118" s="572"/>
      <c r="K118" s="574"/>
      <c r="L118" s="620"/>
    </row>
    <row r="119" spans="1:12" ht="14.25">
      <c r="A119" s="620"/>
      <c r="B119" s="585"/>
      <c r="C119" s="586" t="s">
        <v>743</v>
      </c>
      <c r="D119" s="586"/>
      <c r="E119" s="662"/>
      <c r="F119" s="586"/>
      <c r="G119" s="586"/>
      <c r="H119" s="586"/>
      <c r="I119" s="586"/>
      <c r="J119" s="586"/>
      <c r="K119" s="587"/>
      <c r="L119" s="620"/>
    </row>
    <row r="120" spans="1:12" ht="14.25">
      <c r="A120" s="620"/>
      <c r="B120" s="580" t="s">
        <v>839</v>
      </c>
      <c r="C120" s="779">
        <v>2500000</v>
      </c>
      <c r="D120" s="779"/>
      <c r="E120" s="660" t="s">
        <v>160</v>
      </c>
      <c r="F120" s="601">
        <v>0.25</v>
      </c>
      <c r="G120" s="660" t="s">
        <v>709</v>
      </c>
      <c r="H120" s="661">
        <f>C120*F120</f>
        <v>625000</v>
      </c>
      <c r="I120" s="572" t="s">
        <v>737</v>
      </c>
      <c r="J120" s="572"/>
      <c r="K120" s="574"/>
      <c r="L120" s="620"/>
    </row>
    <row r="121" spans="1:12" ht="14.25">
      <c r="A121" s="620"/>
      <c r="B121" s="580"/>
      <c r="C121" s="572"/>
      <c r="D121" s="572"/>
      <c r="E121" s="660"/>
      <c r="F121" s="572"/>
      <c r="G121" s="572"/>
      <c r="H121" s="572"/>
      <c r="I121" s="572"/>
      <c r="J121" s="572"/>
      <c r="K121" s="574"/>
      <c r="L121" s="620"/>
    </row>
    <row r="122" spans="1:12" ht="14.25">
      <c r="A122" s="620"/>
      <c r="B122" s="585"/>
      <c r="C122" s="586" t="s">
        <v>738</v>
      </c>
      <c r="D122" s="586"/>
      <c r="E122" s="662"/>
      <c r="F122" s="586" t="s">
        <v>734</v>
      </c>
      <c r="G122" s="586"/>
      <c r="H122" s="586"/>
      <c r="I122" s="586"/>
      <c r="J122" s="586" t="s">
        <v>739</v>
      </c>
      <c r="K122" s="587"/>
      <c r="L122" s="620"/>
    </row>
    <row r="123" spans="1:12" ht="14.25">
      <c r="A123" s="620"/>
      <c r="B123" s="580" t="s">
        <v>840</v>
      </c>
      <c r="C123" s="777">
        <f>H120</f>
        <v>625000</v>
      </c>
      <c r="D123" s="777"/>
      <c r="E123" s="660" t="s">
        <v>160</v>
      </c>
      <c r="F123" s="582">
        <f>H117</f>
        <v>0.3740135169083432</v>
      </c>
      <c r="G123" s="660" t="s">
        <v>710</v>
      </c>
      <c r="H123" s="660">
        <v>1000</v>
      </c>
      <c r="I123" s="660" t="s">
        <v>709</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780" t="s">
        <v>700</v>
      </c>
      <c r="C125" s="780"/>
      <c r="D125" s="780"/>
      <c r="E125" s="780"/>
      <c r="F125" s="780"/>
      <c r="G125" s="780"/>
      <c r="H125" s="780"/>
      <c r="I125" s="780"/>
      <c r="J125" s="780"/>
      <c r="K125" s="780"/>
      <c r="L125" s="623"/>
    </row>
    <row r="126" spans="1:12" ht="14.25">
      <c r="A126" s="620"/>
      <c r="B126" s="783" t="s">
        <v>747</v>
      </c>
      <c r="C126" s="783"/>
      <c r="D126" s="783"/>
      <c r="E126" s="783"/>
      <c r="F126" s="783"/>
      <c r="G126" s="783"/>
      <c r="H126" s="783"/>
      <c r="I126" s="783"/>
      <c r="J126" s="783"/>
      <c r="K126" s="783"/>
      <c r="L126" s="623"/>
    </row>
    <row r="127" spans="1:12" ht="14.25">
      <c r="A127" s="620"/>
      <c r="B127" s="655"/>
      <c r="C127" s="655"/>
      <c r="D127" s="655"/>
      <c r="E127" s="655"/>
      <c r="F127" s="655"/>
      <c r="G127" s="655"/>
      <c r="H127" s="655"/>
      <c r="I127" s="655"/>
      <c r="J127" s="655"/>
      <c r="K127" s="655"/>
      <c r="L127" s="623"/>
    </row>
    <row r="128" spans="1:12" ht="14.25">
      <c r="A128" s="620"/>
      <c r="B128" s="783" t="s">
        <v>748</v>
      </c>
      <c r="C128" s="783"/>
      <c r="D128" s="783"/>
      <c r="E128" s="783"/>
      <c r="F128" s="783"/>
      <c r="G128" s="783"/>
      <c r="H128" s="783"/>
      <c r="I128" s="783"/>
      <c r="J128" s="783"/>
      <c r="K128" s="783"/>
      <c r="L128" s="623"/>
    </row>
    <row r="129" spans="1:12" ht="14.25">
      <c r="A129" s="620"/>
      <c r="B129" s="654"/>
      <c r="C129" s="654"/>
      <c r="D129" s="654"/>
      <c r="E129" s="654"/>
      <c r="F129" s="654"/>
      <c r="G129" s="654"/>
      <c r="H129" s="654"/>
      <c r="I129" s="654"/>
      <c r="J129" s="654"/>
      <c r="K129" s="654"/>
      <c r="L129" s="623"/>
    </row>
    <row r="130" spans="1:12" ht="74.25" customHeight="1">
      <c r="A130" s="620"/>
      <c r="B130" s="784" t="s">
        <v>841</v>
      </c>
      <c r="C130" s="784"/>
      <c r="D130" s="784"/>
      <c r="E130" s="784"/>
      <c r="F130" s="784"/>
      <c r="G130" s="784"/>
      <c r="H130" s="784"/>
      <c r="I130" s="784"/>
      <c r="J130" s="784"/>
      <c r="K130" s="784"/>
      <c r="L130" s="623"/>
    </row>
    <row r="131" spans="1:12" ht="15" thickBot="1">
      <c r="A131" s="620"/>
      <c r="L131" s="620"/>
    </row>
    <row r="132" spans="1:12" ht="14.25">
      <c r="A132" s="620"/>
      <c r="B132" s="562" t="s">
        <v>704</v>
      </c>
      <c r="C132" s="569"/>
      <c r="D132" s="569"/>
      <c r="E132" s="569"/>
      <c r="F132" s="569"/>
      <c r="G132" s="569"/>
      <c r="H132" s="569"/>
      <c r="I132" s="569"/>
      <c r="J132" s="569"/>
      <c r="K132" s="570"/>
      <c r="L132" s="620"/>
    </row>
    <row r="133" spans="1:12" ht="14.25">
      <c r="A133" s="620"/>
      <c r="B133" s="580"/>
      <c r="C133" s="778" t="s">
        <v>749</v>
      </c>
      <c r="D133" s="778"/>
      <c r="E133" s="572"/>
      <c r="F133" s="660" t="s">
        <v>750</v>
      </c>
      <c r="G133" s="572"/>
      <c r="H133" s="778" t="s">
        <v>737</v>
      </c>
      <c r="I133" s="778"/>
      <c r="J133" s="572"/>
      <c r="K133" s="574"/>
      <c r="L133" s="620"/>
    </row>
    <row r="134" spans="1:12" ht="14.25">
      <c r="A134" s="620"/>
      <c r="B134" s="580" t="s">
        <v>731</v>
      </c>
      <c r="C134" s="779">
        <v>100000</v>
      </c>
      <c r="D134" s="779"/>
      <c r="E134" s="660" t="s">
        <v>160</v>
      </c>
      <c r="F134" s="660">
        <v>0.115</v>
      </c>
      <c r="G134" s="660" t="s">
        <v>709</v>
      </c>
      <c r="H134" s="775">
        <f>C134*F134</f>
        <v>11500</v>
      </c>
      <c r="I134" s="775"/>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802" t="s">
        <v>737</v>
      </c>
      <c r="D136" s="802"/>
      <c r="E136" s="586"/>
      <c r="F136" s="662" t="s">
        <v>751</v>
      </c>
      <c r="G136" s="662"/>
      <c r="H136" s="586"/>
      <c r="I136" s="586"/>
      <c r="J136" s="586" t="s">
        <v>752</v>
      </c>
      <c r="K136" s="587"/>
      <c r="L136" s="620"/>
    </row>
    <row r="137" spans="1:12" ht="14.25">
      <c r="A137" s="620"/>
      <c r="B137" s="580" t="s">
        <v>736</v>
      </c>
      <c r="C137" s="775">
        <f>H134</f>
        <v>11500</v>
      </c>
      <c r="D137" s="775"/>
      <c r="E137" s="660" t="s">
        <v>160</v>
      </c>
      <c r="F137" s="604">
        <v>52.869</v>
      </c>
      <c r="G137" s="660" t="s">
        <v>710</v>
      </c>
      <c r="H137" s="660">
        <v>1000</v>
      </c>
      <c r="I137" s="660" t="s">
        <v>709</v>
      </c>
      <c r="J137" s="605">
        <f>C137*F137/H137</f>
        <v>607.9935</v>
      </c>
      <c r="K137" s="574"/>
      <c r="L137" s="620"/>
    </row>
    <row r="138" spans="1:12" ht="15" thickBot="1">
      <c r="A138" s="620"/>
      <c r="B138" s="575"/>
      <c r="C138" s="677"/>
      <c r="D138" s="677"/>
      <c r="E138" s="590"/>
      <c r="F138" s="678"/>
      <c r="G138" s="590"/>
      <c r="H138" s="590"/>
      <c r="I138" s="590"/>
      <c r="J138" s="679"/>
      <c r="K138" s="577"/>
      <c r="L138" s="620"/>
    </row>
    <row r="139" spans="1:12" ht="40.5" customHeight="1">
      <c r="A139" s="620"/>
      <c r="B139" s="664" t="s">
        <v>700</v>
      </c>
      <c r="C139" s="665"/>
      <c r="D139" s="665"/>
      <c r="E139" s="666"/>
      <c r="F139" s="667"/>
      <c r="G139" s="666"/>
      <c r="H139" s="666"/>
      <c r="I139" s="666"/>
      <c r="J139" s="668"/>
      <c r="K139" s="669"/>
      <c r="L139" s="620"/>
    </row>
    <row r="140" spans="1:12" ht="14.25">
      <c r="A140" s="620"/>
      <c r="B140" s="670" t="s">
        <v>842</v>
      </c>
      <c r="C140" s="671"/>
      <c r="D140" s="671"/>
      <c r="E140" s="672"/>
      <c r="F140" s="673"/>
      <c r="G140" s="672"/>
      <c r="H140" s="672"/>
      <c r="I140" s="672"/>
      <c r="J140" s="674"/>
      <c r="K140" s="675"/>
      <c r="L140" s="620"/>
    </row>
    <row r="141" spans="1:12" ht="14.25">
      <c r="A141" s="620"/>
      <c r="B141" s="580"/>
      <c r="C141" s="661"/>
      <c r="D141" s="661"/>
      <c r="E141" s="660"/>
      <c r="F141" s="680"/>
      <c r="G141" s="660"/>
      <c r="H141" s="660"/>
      <c r="I141" s="660"/>
      <c r="J141" s="605"/>
      <c r="K141" s="574"/>
      <c r="L141" s="620"/>
    </row>
    <row r="142" spans="1:12" ht="14.25">
      <c r="A142" s="620"/>
      <c r="B142" s="670" t="s">
        <v>843</v>
      </c>
      <c r="C142" s="671"/>
      <c r="D142" s="671"/>
      <c r="E142" s="672"/>
      <c r="F142" s="673"/>
      <c r="G142" s="672"/>
      <c r="H142" s="672"/>
      <c r="I142" s="672"/>
      <c r="J142" s="674"/>
      <c r="K142" s="675"/>
      <c r="L142" s="620"/>
    </row>
    <row r="143" spans="1:12" ht="14.25">
      <c r="A143" s="620"/>
      <c r="B143" s="580"/>
      <c r="C143" s="661"/>
      <c r="D143" s="661"/>
      <c r="E143" s="660"/>
      <c r="F143" s="680"/>
      <c r="G143" s="660"/>
      <c r="H143" s="660"/>
      <c r="I143" s="660"/>
      <c r="J143" s="605"/>
      <c r="K143" s="574"/>
      <c r="L143" s="620"/>
    </row>
    <row r="144" spans="1:12" ht="76.5" customHeight="1">
      <c r="A144" s="620"/>
      <c r="B144" s="788" t="s">
        <v>844</v>
      </c>
      <c r="C144" s="789"/>
      <c r="D144" s="789"/>
      <c r="E144" s="789"/>
      <c r="F144" s="789"/>
      <c r="G144" s="789"/>
      <c r="H144" s="789"/>
      <c r="I144" s="789"/>
      <c r="J144" s="789"/>
      <c r="K144" s="790"/>
      <c r="L144" s="620"/>
    </row>
    <row r="145" spans="1:12" ht="15" thickBot="1">
      <c r="A145" s="620"/>
      <c r="B145" s="580"/>
      <c r="C145" s="661"/>
      <c r="D145" s="661"/>
      <c r="E145" s="660"/>
      <c r="F145" s="680"/>
      <c r="G145" s="660"/>
      <c r="H145" s="660"/>
      <c r="I145" s="660"/>
      <c r="J145" s="605"/>
      <c r="K145" s="574"/>
      <c r="L145" s="620"/>
    </row>
    <row r="146" spans="1:12" ht="14.25">
      <c r="A146" s="620"/>
      <c r="B146" s="562" t="s">
        <v>704</v>
      </c>
      <c r="C146" s="681"/>
      <c r="D146" s="681"/>
      <c r="E146" s="682"/>
      <c r="F146" s="683"/>
      <c r="G146" s="682"/>
      <c r="H146" s="682"/>
      <c r="I146" s="682"/>
      <c r="J146" s="684"/>
      <c r="K146" s="570"/>
      <c r="L146" s="620"/>
    </row>
    <row r="147" spans="1:12" ht="14.25">
      <c r="A147" s="620"/>
      <c r="B147" s="580"/>
      <c r="C147" s="775" t="s">
        <v>845</v>
      </c>
      <c r="D147" s="775"/>
      <c r="E147" s="660"/>
      <c r="F147" s="680" t="s">
        <v>846</v>
      </c>
      <c r="G147" s="660"/>
      <c r="H147" s="660"/>
      <c r="I147" s="660"/>
      <c r="J147" s="785" t="s">
        <v>847</v>
      </c>
      <c r="K147" s="786"/>
      <c r="L147" s="620"/>
    </row>
    <row r="148" spans="1:12" ht="14.25">
      <c r="A148" s="620"/>
      <c r="B148" s="580"/>
      <c r="C148" s="774">
        <v>52.869</v>
      </c>
      <c r="D148" s="774"/>
      <c r="E148" s="660" t="s">
        <v>160</v>
      </c>
      <c r="F148" s="657">
        <v>133685008</v>
      </c>
      <c r="G148" s="685" t="s">
        <v>710</v>
      </c>
      <c r="H148" s="660">
        <v>1000</v>
      </c>
      <c r="I148" s="660" t="s">
        <v>709</v>
      </c>
      <c r="J148" s="775">
        <f>C148*(F148/1000)</f>
        <v>7067792.687952</v>
      </c>
      <c r="K148" s="776"/>
      <c r="L148" s="620"/>
    </row>
    <row r="149" spans="1:12" ht="15" thickBot="1">
      <c r="A149" s="620"/>
      <c r="B149" s="575"/>
      <c r="C149" s="677"/>
      <c r="D149" s="677"/>
      <c r="E149" s="590"/>
      <c r="F149" s="678"/>
      <c r="G149" s="590"/>
      <c r="H149" s="590"/>
      <c r="I149" s="590"/>
      <c r="J149" s="679"/>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773</v>
      </c>
    </row>
    <row r="3" ht="31.5">
      <c r="A3" s="625" t="s">
        <v>774</v>
      </c>
    </row>
    <row r="4" ht="15.75">
      <c r="A4" s="626" t="s">
        <v>775</v>
      </c>
    </row>
    <row r="7" ht="31.5">
      <c r="A7" s="625" t="s">
        <v>776</v>
      </c>
    </row>
    <row r="8" ht="15.75">
      <c r="A8" s="626" t="s">
        <v>777</v>
      </c>
    </row>
    <row r="11" ht="15.75">
      <c r="A11" s="1" t="s">
        <v>778</v>
      </c>
    </row>
    <row r="12" ht="15.75">
      <c r="A12" s="626" t="s">
        <v>779</v>
      </c>
    </row>
    <row r="15" ht="15.75">
      <c r="A15" s="1" t="s">
        <v>780</v>
      </c>
    </row>
    <row r="16" ht="15.75">
      <c r="A16" s="626" t="s">
        <v>781</v>
      </c>
    </row>
    <row r="19" ht="15.75">
      <c r="A19" s="1" t="s">
        <v>782</v>
      </c>
    </row>
    <row r="20" ht="15.75">
      <c r="A20" s="626" t="s">
        <v>783</v>
      </c>
    </row>
    <row r="23" ht="15.75">
      <c r="A23" s="1" t="s">
        <v>784</v>
      </c>
    </row>
    <row r="24" ht="15.75">
      <c r="A24" s="626" t="s">
        <v>785</v>
      </c>
    </row>
    <row r="27" ht="15.75">
      <c r="A27" s="1" t="s">
        <v>786</v>
      </c>
    </row>
    <row r="28" ht="15.75">
      <c r="A28" s="626" t="s">
        <v>787</v>
      </c>
    </row>
    <row r="31" ht="15.75">
      <c r="A31" s="1" t="s">
        <v>788</v>
      </c>
    </row>
    <row r="32" ht="15.75">
      <c r="A32" s="626" t="s">
        <v>789</v>
      </c>
    </row>
    <row r="35" ht="15.75">
      <c r="A35" s="1" t="s">
        <v>790</v>
      </c>
    </row>
    <row r="36" ht="15.75">
      <c r="A36" s="626" t="s">
        <v>791</v>
      </c>
    </row>
    <row r="39" ht="15.75">
      <c r="A39" s="1" t="s">
        <v>792</v>
      </c>
    </row>
    <row r="40" ht="15.75">
      <c r="A40" s="626" t="s">
        <v>793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7" customWidth="1"/>
    <col min="2" max="16384" width="8.8984375" style="67" customWidth="1"/>
  </cols>
  <sheetData>
    <row r="1" ht="15.75">
      <c r="A1" s="688" t="s">
        <v>865</v>
      </c>
    </row>
    <row r="2" ht="15.75">
      <c r="A2" s="67" t="s">
        <v>866</v>
      </c>
    </row>
    <row r="4" ht="15.75">
      <c r="A4" s="688" t="s">
        <v>862</v>
      </c>
    </row>
    <row r="5" ht="15.75">
      <c r="A5" s="67" t="s">
        <v>863</v>
      </c>
    </row>
    <row r="6" ht="15.75">
      <c r="A6" s="67" t="s">
        <v>864</v>
      </c>
    </row>
    <row r="8" ht="15.75">
      <c r="A8" s="688" t="s">
        <v>860</v>
      </c>
    </row>
    <row r="9" ht="15.75">
      <c r="A9" s="67" t="s">
        <v>861</v>
      </c>
    </row>
    <row r="11" ht="15.75">
      <c r="A11" s="688" t="s">
        <v>858</v>
      </c>
    </row>
    <row r="12" ht="15.75">
      <c r="A12" s="67" t="s">
        <v>859</v>
      </c>
    </row>
    <row r="14" ht="15.75">
      <c r="A14" s="688" t="s">
        <v>855</v>
      </c>
    </row>
    <row r="15" ht="15.75">
      <c r="A15" s="529" t="s">
        <v>856</v>
      </c>
    </row>
    <row r="16" ht="15.75">
      <c r="A16" s="529" t="s">
        <v>857</v>
      </c>
    </row>
    <row r="18" ht="15.75">
      <c r="A18" s="425" t="s">
        <v>851</v>
      </c>
    </row>
    <row r="19" ht="15.75">
      <c r="A19" s="67" t="s">
        <v>852</v>
      </c>
    </row>
    <row r="20" ht="15.75">
      <c r="A20" s="67" t="s">
        <v>853</v>
      </c>
    </row>
    <row r="21" ht="15.75">
      <c r="A21" s="67" t="s">
        <v>854</v>
      </c>
    </row>
    <row r="23" ht="15.75">
      <c r="A23" s="425" t="s">
        <v>687</v>
      </c>
    </row>
    <row r="24" ht="15.75">
      <c r="A24" s="529" t="s">
        <v>691</v>
      </c>
    </row>
    <row r="25" ht="15.75">
      <c r="A25" s="529" t="s">
        <v>692</v>
      </c>
    </row>
    <row r="26" ht="31.5">
      <c r="A26" s="528" t="s">
        <v>848</v>
      </c>
    </row>
    <row r="27" ht="15.75">
      <c r="A27" s="529" t="s">
        <v>806</v>
      </c>
    </row>
    <row r="28" ht="15.75">
      <c r="A28" s="529" t="s">
        <v>807</v>
      </c>
    </row>
    <row r="29" ht="15.75">
      <c r="A29" s="529" t="s">
        <v>808</v>
      </c>
    </row>
    <row r="30" ht="15.75">
      <c r="A30" s="529" t="s">
        <v>809</v>
      </c>
    </row>
    <row r="31" ht="15.75">
      <c r="A31" s="529" t="s">
        <v>810</v>
      </c>
    </row>
    <row r="32" ht="15.75">
      <c r="A32" s="529" t="s">
        <v>811</v>
      </c>
    </row>
    <row r="33" ht="15.75">
      <c r="A33" s="529" t="s">
        <v>812</v>
      </c>
    </row>
    <row r="34" ht="15.75">
      <c r="A34" s="529" t="s">
        <v>813</v>
      </c>
    </row>
    <row r="35" ht="15.75">
      <c r="A35" s="529" t="s">
        <v>814</v>
      </c>
    </row>
    <row r="36" ht="15.75">
      <c r="A36" s="529" t="s">
        <v>815</v>
      </c>
    </row>
    <row r="37" ht="15.75">
      <c r="A37" s="529" t="s">
        <v>816</v>
      </c>
    </row>
    <row r="38" ht="15.75">
      <c r="A38" s="529" t="s">
        <v>817</v>
      </c>
    </row>
    <row r="39" ht="15.75">
      <c r="A39" s="529" t="s">
        <v>818</v>
      </c>
    </row>
    <row r="40" ht="15.75">
      <c r="A40" s="529" t="s">
        <v>819</v>
      </c>
    </row>
    <row r="41" ht="15.75">
      <c r="A41" s="529" t="s">
        <v>820</v>
      </c>
    </row>
    <row r="42" ht="15.75">
      <c r="A42" s="529" t="s">
        <v>821</v>
      </c>
    </row>
    <row r="43" ht="15.75">
      <c r="A43" s="529" t="s">
        <v>822</v>
      </c>
    </row>
    <row r="44" ht="15.75">
      <c r="A44" s="529" t="s">
        <v>823</v>
      </c>
    </row>
    <row r="45" ht="15.75">
      <c r="A45" s="529" t="s">
        <v>824</v>
      </c>
    </row>
    <row r="46" ht="15.75">
      <c r="A46" s="529" t="s">
        <v>825</v>
      </c>
    </row>
    <row r="47" ht="15.75">
      <c r="A47" s="529" t="s">
        <v>826</v>
      </c>
    </row>
    <row r="48" ht="15.75">
      <c r="A48" s="529" t="s">
        <v>827</v>
      </c>
    </row>
    <row r="49" ht="15.75">
      <c r="A49" s="529" t="s">
        <v>828</v>
      </c>
    </row>
    <row r="50" ht="15.75">
      <c r="A50" s="529" t="s">
        <v>829</v>
      </c>
    </row>
    <row r="51" ht="15.75">
      <c r="A51" s="529" t="s">
        <v>830</v>
      </c>
    </row>
    <row r="53" ht="15.75">
      <c r="A53" s="425" t="s">
        <v>667</v>
      </c>
    </row>
    <row r="54" ht="15.75">
      <c r="A54" s="67" t="s">
        <v>668</v>
      </c>
    </row>
    <row r="55" ht="15.75">
      <c r="A55" s="67" t="s">
        <v>669</v>
      </c>
    </row>
    <row r="56" ht="15.75">
      <c r="A56" s="67" t="s">
        <v>670</v>
      </c>
    </row>
    <row r="58" ht="15.75">
      <c r="A58" s="425" t="s">
        <v>656</v>
      </c>
    </row>
    <row r="59" ht="15.75">
      <c r="A59" s="67" t="s">
        <v>657</v>
      </c>
    </row>
    <row r="60" ht="15.75">
      <c r="A60" s="67" t="s">
        <v>658</v>
      </c>
    </row>
    <row r="62" ht="15.75">
      <c r="A62" s="425" t="s">
        <v>649</v>
      </c>
    </row>
    <row r="63" ht="15.75">
      <c r="A63" s="424" t="s">
        <v>650</v>
      </c>
    </row>
    <row r="64" ht="15.75">
      <c r="A64" s="424" t="s">
        <v>651</v>
      </c>
    </row>
    <row r="65" ht="15.75">
      <c r="A65" s="424" t="s">
        <v>652</v>
      </c>
    </row>
    <row r="66" ht="15.75">
      <c r="A66" s="67" t="s">
        <v>654</v>
      </c>
    </row>
    <row r="68" ht="15.75">
      <c r="A68" s="355" t="s">
        <v>366</v>
      </c>
    </row>
    <row r="69" ht="15.75">
      <c r="A69" s="387" t="s">
        <v>389</v>
      </c>
    </row>
    <row r="70" ht="21.75" customHeight="1">
      <c r="A70" s="67" t="s">
        <v>390</v>
      </c>
    </row>
    <row r="71" ht="15.75">
      <c r="A71" s="67" t="s">
        <v>391</v>
      </c>
    </row>
    <row r="72" ht="31.5">
      <c r="A72" s="70" t="s">
        <v>392</v>
      </c>
    </row>
    <row r="73" ht="15.75">
      <c r="A73" s="67" t="s">
        <v>393</v>
      </c>
    </row>
    <row r="74" ht="15.75">
      <c r="A74" s="67" t="s">
        <v>394</v>
      </c>
    </row>
    <row r="75" ht="15.75">
      <c r="A75" s="67" t="s">
        <v>395</v>
      </c>
    </row>
    <row r="76" ht="15.75">
      <c r="A76" s="67" t="s">
        <v>396</v>
      </c>
    </row>
    <row r="77" ht="15.75">
      <c r="A77" s="67" t="s">
        <v>414</v>
      </c>
    </row>
    <row r="79" ht="15.75">
      <c r="A79" s="355" t="s">
        <v>354</v>
      </c>
    </row>
    <row r="80" ht="15.75">
      <c r="A80" s="67" t="s">
        <v>355</v>
      </c>
    </row>
    <row r="81" ht="15.75">
      <c r="A81" s="67" t="s">
        <v>356</v>
      </c>
    </row>
    <row r="82" ht="15.75">
      <c r="A82" s="67" t="s">
        <v>357</v>
      </c>
    </row>
    <row r="83" ht="15.75">
      <c r="A83" s="67" t="s">
        <v>358</v>
      </c>
    </row>
    <row r="85" ht="15.75">
      <c r="A85" s="355" t="s">
        <v>352</v>
      </c>
    </row>
    <row r="86" ht="15.75">
      <c r="A86" s="67" t="s">
        <v>353</v>
      </c>
    </row>
    <row r="88" ht="15.75">
      <c r="A88" s="355" t="s">
        <v>350</v>
      </c>
    </row>
    <row r="89" ht="15.75">
      <c r="A89" s="67" t="s">
        <v>351</v>
      </c>
    </row>
    <row r="91" ht="15.75">
      <c r="A91" s="355" t="s">
        <v>346</v>
      </c>
    </row>
    <row r="92" ht="15.75">
      <c r="A92" s="67" t="s">
        <v>347</v>
      </c>
    </row>
    <row r="93" ht="15.75">
      <c r="A93" s="67" t="s">
        <v>348</v>
      </c>
    </row>
    <row r="94" ht="15.75">
      <c r="A94" s="67" t="s">
        <v>349</v>
      </c>
    </row>
    <row r="96" ht="15.75">
      <c r="A96" s="355" t="s">
        <v>111</v>
      </c>
    </row>
    <row r="97" ht="15.75">
      <c r="A97" s="67" t="s">
        <v>115</v>
      </c>
    </row>
    <row r="98" ht="32.25" customHeight="1">
      <c r="A98" s="67" t="s">
        <v>112</v>
      </c>
    </row>
    <row r="99" ht="36" customHeight="1">
      <c r="A99" s="67" t="s">
        <v>116</v>
      </c>
    </row>
    <row r="100" ht="35.25" customHeight="1">
      <c r="A100" s="67" t="s">
        <v>113</v>
      </c>
    </row>
    <row r="101" ht="18" customHeight="1">
      <c r="A101" s="67" t="s">
        <v>120</v>
      </c>
    </row>
    <row r="102" ht="36" customHeight="1">
      <c r="A102" s="67" t="s">
        <v>121</v>
      </c>
    </row>
    <row r="103" ht="31.5">
      <c r="A103" s="70" t="s">
        <v>693</v>
      </c>
    </row>
    <row r="104" ht="33.75" customHeight="1">
      <c r="A104" s="70" t="s">
        <v>117</v>
      </c>
    </row>
    <row r="105" ht="18.75" customHeight="1">
      <c r="A105" s="70" t="s">
        <v>118</v>
      </c>
    </row>
    <row r="106" ht="17.25" customHeight="1">
      <c r="A106" s="70" t="s">
        <v>105</v>
      </c>
    </row>
    <row r="107" ht="17.25" customHeight="1">
      <c r="A107" s="70" t="s">
        <v>66</v>
      </c>
    </row>
    <row r="108" ht="15.75">
      <c r="A108" s="67" t="s">
        <v>65</v>
      </c>
    </row>
    <row r="109" ht="31.5">
      <c r="A109" s="70" t="s">
        <v>108</v>
      </c>
    </row>
    <row r="110" ht="15.75">
      <c r="A110" s="67" t="s">
        <v>64</v>
      </c>
    </row>
    <row r="111" ht="15.75">
      <c r="A111" s="67" t="s">
        <v>106</v>
      </c>
    </row>
    <row r="112" ht="15.75">
      <c r="A112" s="67" t="s">
        <v>104</v>
      </c>
    </row>
    <row r="113" ht="15.75">
      <c r="A113" s="67" t="s">
        <v>63</v>
      </c>
    </row>
    <row r="114" ht="31.5">
      <c r="A114" s="70" t="s">
        <v>61</v>
      </c>
    </row>
    <row r="115" ht="15.75">
      <c r="A115" s="67" t="s">
        <v>62</v>
      </c>
    </row>
    <row r="117" ht="15.75">
      <c r="A117" s="355" t="s">
        <v>100</v>
      </c>
    </row>
    <row r="118" ht="15.75">
      <c r="A118" s="67" t="s">
        <v>109</v>
      </c>
    </row>
    <row r="119" ht="15.75">
      <c r="A119" s="67" t="s">
        <v>101</v>
      </c>
    </row>
    <row r="120" ht="15.75">
      <c r="A120" s="67" t="s">
        <v>102</v>
      </c>
    </row>
    <row r="121" ht="15.75">
      <c r="A121" s="67" t="s">
        <v>694</v>
      </c>
    </row>
    <row r="122" ht="18" customHeight="1">
      <c r="A122" s="355" t="s">
        <v>97</v>
      </c>
    </row>
    <row r="123" ht="51" customHeight="1">
      <c r="A123" s="70" t="s">
        <v>98</v>
      </c>
    </row>
    <row r="124" ht="15.75">
      <c r="A124" s="67" t="s">
        <v>99</v>
      </c>
    </row>
    <row r="127" ht="15.75">
      <c r="A127" s="355" t="s">
        <v>341</v>
      </c>
    </row>
    <row r="128" ht="47.25">
      <c r="A128" s="70" t="s">
        <v>695</v>
      </c>
    </row>
    <row r="129" ht="15.75">
      <c r="A129" s="67" t="s">
        <v>122</v>
      </c>
    </row>
    <row r="130" ht="15.75">
      <c r="A130" s="67" t="s">
        <v>343</v>
      </c>
    </row>
    <row r="131" ht="15.75">
      <c r="A131" s="67" t="s">
        <v>42</v>
      </c>
    </row>
    <row r="132" ht="15.75">
      <c r="A132" s="67" t="s">
        <v>344</v>
      </c>
    </row>
    <row r="133" ht="15.75">
      <c r="A133" s="67" t="s">
        <v>345</v>
      </c>
    </row>
    <row r="134" ht="15.75">
      <c r="A134" s="67" t="s">
        <v>0</v>
      </c>
    </row>
    <row r="135" ht="15.75">
      <c r="A135" s="67" t="s">
        <v>1</v>
      </c>
    </row>
    <row r="136" ht="15.75">
      <c r="A136" s="67" t="s">
        <v>2</v>
      </c>
    </row>
    <row r="137" ht="31.5">
      <c r="A137" s="70" t="s">
        <v>11</v>
      </c>
    </row>
    <row r="138" ht="31.5">
      <c r="A138" s="70" t="s">
        <v>131</v>
      </c>
    </row>
    <row r="139" ht="15.75">
      <c r="A139" s="67" t="s">
        <v>6</v>
      </c>
    </row>
    <row r="140" ht="15.75">
      <c r="A140" s="67" t="s">
        <v>12</v>
      </c>
    </row>
    <row r="141" ht="15.75">
      <c r="A141" s="67" t="s">
        <v>43</v>
      </c>
    </row>
    <row r="142" ht="15.75">
      <c r="A142" s="67" t="s">
        <v>8</v>
      </c>
    </row>
    <row r="143" ht="15.75">
      <c r="A143" s="67" t="s">
        <v>44</v>
      </c>
    </row>
    <row r="144" ht="31.5">
      <c r="A144" s="70" t="s">
        <v>45</v>
      </c>
    </row>
    <row r="145" ht="15.75">
      <c r="A145" s="67" t="s">
        <v>20</v>
      </c>
    </row>
    <row r="146" ht="15.75">
      <c r="A146" s="67" t="s">
        <v>21</v>
      </c>
    </row>
    <row r="147" ht="31.5">
      <c r="A147" s="70" t="s">
        <v>22</v>
      </c>
    </row>
    <row r="148" ht="15.75">
      <c r="A148" s="67" t="s">
        <v>83</v>
      </c>
    </row>
    <row r="149" ht="15.75">
      <c r="A149" s="67" t="s">
        <v>84</v>
      </c>
    </row>
    <row r="150" ht="15.75">
      <c r="A150" s="67" t="s">
        <v>85</v>
      </c>
    </row>
    <row r="151" ht="15.75">
      <c r="A151" s="67" t="s">
        <v>86</v>
      </c>
    </row>
    <row r="152" ht="15.75">
      <c r="A152" s="67" t="s">
        <v>87</v>
      </c>
    </row>
    <row r="153" ht="15.75">
      <c r="A153" s="67" t="s">
        <v>88</v>
      </c>
    </row>
    <row r="154" ht="15.75">
      <c r="A154" s="67" t="s">
        <v>89</v>
      </c>
    </row>
    <row r="155" ht="15.75">
      <c r="A155" s="67" t="s">
        <v>90</v>
      </c>
    </row>
    <row r="156" ht="15.75">
      <c r="A156" s="67" t="s">
        <v>91</v>
      </c>
    </row>
    <row r="157" ht="31.5">
      <c r="A157" s="70" t="s">
        <v>92</v>
      </c>
    </row>
    <row r="158" ht="15.75">
      <c r="A158" s="67" t="s">
        <v>93</v>
      </c>
    </row>
    <row r="159" ht="15.75">
      <c r="A159" s="67" t="s">
        <v>94</v>
      </c>
    </row>
    <row r="160" ht="15.75">
      <c r="A160" s="67" t="s">
        <v>95</v>
      </c>
    </row>
    <row r="161" ht="15.75">
      <c r="A161" s="67"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708" t="s">
        <v>415</v>
      </c>
      <c r="B2" s="709"/>
      <c r="C2" s="709"/>
      <c r="D2" s="709"/>
      <c r="E2" s="709"/>
      <c r="F2" s="709"/>
    </row>
    <row r="4" spans="1:2" ht="15.75">
      <c r="A4" s="1" t="s">
        <v>672</v>
      </c>
      <c r="B4" s="403" t="s">
        <v>313</v>
      </c>
    </row>
    <row r="5" spans="1:6" ht="15.75">
      <c r="A5" s="400"/>
      <c r="B5" s="400"/>
      <c r="C5" s="400"/>
      <c r="D5" s="402"/>
      <c r="E5" s="400"/>
      <c r="F5" s="400"/>
    </row>
    <row r="6" spans="1:6" ht="15.75">
      <c r="A6" s="401" t="s">
        <v>416</v>
      </c>
      <c r="B6" s="403" t="s">
        <v>937</v>
      </c>
      <c r="C6" s="404"/>
      <c r="D6" s="401" t="s">
        <v>417</v>
      </c>
      <c r="E6" s="400"/>
      <c r="F6" s="400"/>
    </row>
    <row r="7" spans="1:6" ht="15.75">
      <c r="A7" s="401"/>
      <c r="B7" s="405"/>
      <c r="C7" s="406"/>
      <c r="D7" s="401"/>
      <c r="E7" s="400"/>
      <c r="F7" s="400"/>
    </row>
    <row r="8" spans="1:6" ht="15.75">
      <c r="A8" s="401" t="s">
        <v>418</v>
      </c>
      <c r="B8" s="694" t="s">
        <v>894</v>
      </c>
      <c r="C8" s="407"/>
      <c r="D8" s="401"/>
      <c r="E8" s="400"/>
      <c r="F8" s="400"/>
    </row>
    <row r="9" spans="1:6" ht="15.75">
      <c r="A9" s="401"/>
      <c r="B9" s="693"/>
      <c r="C9" s="401"/>
      <c r="D9" s="401"/>
      <c r="E9" s="400"/>
      <c r="F9" s="400"/>
    </row>
    <row r="10" spans="1:6" ht="15.75">
      <c r="A10" s="401" t="s">
        <v>419</v>
      </c>
      <c r="B10" s="695" t="s">
        <v>424</v>
      </c>
      <c r="C10" s="408"/>
      <c r="D10" s="408"/>
      <c r="E10" s="409"/>
      <c r="F10" s="400"/>
    </row>
    <row r="11" spans="1:6" ht="15.75">
      <c r="A11" s="401"/>
      <c r="B11" s="693"/>
      <c r="C11" s="401"/>
      <c r="D11" s="401"/>
      <c r="E11" s="400"/>
      <c r="F11" s="400"/>
    </row>
    <row r="12" spans="1:6" ht="15.75">
      <c r="A12" s="401"/>
      <c r="B12" s="693"/>
      <c r="C12" s="401"/>
      <c r="D12" s="401"/>
      <c r="E12" s="400"/>
      <c r="F12" s="400"/>
    </row>
    <row r="13" spans="1:6" ht="15.75">
      <c r="A13" s="401" t="s">
        <v>420</v>
      </c>
      <c r="B13" s="695" t="s">
        <v>936</v>
      </c>
      <c r="C13" s="408"/>
      <c r="D13" s="408"/>
      <c r="E13" s="409"/>
      <c r="F13" s="400"/>
    </row>
    <row r="16" spans="1:6" ht="15.75">
      <c r="A16" s="710" t="s">
        <v>421</v>
      </c>
      <c r="B16" s="710"/>
      <c r="C16" s="401"/>
      <c r="D16" s="401"/>
      <c r="E16" s="401"/>
      <c r="F16" s="400"/>
    </row>
    <row r="17" spans="1:6" ht="15.75">
      <c r="A17" s="401"/>
      <c r="B17" s="401"/>
      <c r="C17" s="401"/>
      <c r="D17" s="401"/>
      <c r="E17" s="401"/>
      <c r="F17" s="400"/>
    </row>
    <row r="18" spans="1:6" ht="15.75">
      <c r="A18" s="401" t="s">
        <v>672</v>
      </c>
      <c r="B18" s="401" t="s">
        <v>673</v>
      </c>
      <c r="C18" s="401"/>
      <c r="D18" s="401"/>
      <c r="E18" s="401"/>
      <c r="F18" s="400"/>
    </row>
    <row r="19" spans="1:6" ht="15.75">
      <c r="A19" s="401"/>
      <c r="B19" s="401"/>
      <c r="C19" s="401"/>
      <c r="D19" s="401"/>
      <c r="E19" s="401"/>
      <c r="F19" s="400"/>
    </row>
    <row r="20" spans="1:5" ht="15.75">
      <c r="A20" s="401" t="s">
        <v>416</v>
      </c>
      <c r="B20" s="405" t="s">
        <v>422</v>
      </c>
      <c r="C20" s="401"/>
      <c r="D20" s="401"/>
      <c r="E20" s="401"/>
    </row>
    <row r="21" spans="1:5" ht="15.75">
      <c r="A21" s="401"/>
      <c r="B21" s="401"/>
      <c r="C21" s="401"/>
      <c r="D21" s="401"/>
      <c r="E21" s="401"/>
    </row>
    <row r="22" spans="1:5" ht="15.75">
      <c r="A22" s="401" t="s">
        <v>418</v>
      </c>
      <c r="B22" s="401" t="s">
        <v>423</v>
      </c>
      <c r="C22" s="401"/>
      <c r="D22" s="401"/>
      <c r="E22" s="401"/>
    </row>
    <row r="23" spans="1:5" ht="15.75">
      <c r="A23" s="401"/>
      <c r="B23" s="401"/>
      <c r="C23" s="401"/>
      <c r="D23" s="401"/>
      <c r="E23" s="401"/>
    </row>
    <row r="24" spans="1:5" ht="15.75">
      <c r="A24" s="401" t="s">
        <v>419</v>
      </c>
      <c r="B24" s="401" t="s">
        <v>424</v>
      </c>
      <c r="C24" s="401"/>
      <c r="D24" s="401"/>
      <c r="E24" s="401"/>
    </row>
    <row r="25" spans="1:5" ht="15.75">
      <c r="A25" s="401"/>
      <c r="B25" s="401"/>
      <c r="C25" s="401"/>
      <c r="D25" s="401"/>
      <c r="E25" s="401"/>
    </row>
    <row r="26" spans="1:5" ht="15.75">
      <c r="A26" s="401" t="s">
        <v>420</v>
      </c>
      <c r="B26" s="401" t="s">
        <v>424</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9">
      <selection activeCell="C40" sqref="C40"/>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230</v>
      </c>
      <c r="D2" s="81"/>
      <c r="E2" s="81"/>
      <c r="F2" s="183"/>
    </row>
    <row r="3" spans="1:6" s="82" customFormat="1" ht="15" customHeight="1">
      <c r="A3" s="711" t="str">
        <f>CONCATENATE("To the Clerk of ",inputPrYr!D3,", State of Kansas")</f>
        <v>To the Clerk of Edwards County, State of Kansas</v>
      </c>
      <c r="B3" s="703"/>
      <c r="C3" s="703"/>
      <c r="D3" s="703"/>
      <c r="E3" s="703"/>
      <c r="F3" s="703"/>
    </row>
    <row r="4" spans="1:6" s="82" customFormat="1" ht="15" customHeight="1">
      <c r="A4" s="91" t="s">
        <v>671</v>
      </c>
      <c r="B4" s="90"/>
      <c r="C4" s="90"/>
      <c r="D4" s="90"/>
      <c r="E4" s="90"/>
      <c r="F4" s="90"/>
    </row>
    <row r="5" spans="1:6" s="82" customFormat="1" ht="15" customHeight="1">
      <c r="A5" s="81"/>
      <c r="B5" s="81"/>
      <c r="C5" s="463" t="str">
        <f>(inputPrYr!D2)</f>
        <v>City of Lewis</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12" t="str">
        <f>CONCATENATE("Amount of ",$F$1-1," Ad Valorem Tax")</f>
        <v>Amount of 2011 Ad Valorem Tax</v>
      </c>
      <c r="F12" s="194" t="s">
        <v>149</v>
      </c>
    </row>
    <row r="13" spans="1:6" ht="14.25" customHeight="1">
      <c r="A13" s="81"/>
      <c r="B13" s="81"/>
      <c r="C13" s="194" t="s">
        <v>150</v>
      </c>
      <c r="D13" s="195" t="s">
        <v>56</v>
      </c>
      <c r="E13" s="713"/>
      <c r="F13" s="195" t="s">
        <v>151</v>
      </c>
    </row>
    <row r="14" spans="1:6" ht="14.25" customHeight="1">
      <c r="A14" s="196" t="s">
        <v>152</v>
      </c>
      <c r="B14" s="120"/>
      <c r="C14" s="197" t="s">
        <v>153</v>
      </c>
      <c r="D14" s="197" t="s">
        <v>683</v>
      </c>
      <c r="E14" s="714"/>
      <c r="F14" s="197" t="s">
        <v>155</v>
      </c>
    </row>
    <row r="15" spans="1:6" ht="15" customHeight="1">
      <c r="A15" s="198" t="s">
        <v>325</v>
      </c>
      <c r="B15" s="199">
        <f>inputPrYr!$C$5</f>
        <v>2012</v>
      </c>
      <c r="C15" s="200">
        <v>2</v>
      </c>
      <c r="D15" s="113"/>
      <c r="E15" s="113"/>
      <c r="F15" s="201"/>
    </row>
    <row r="16" spans="1:6" ht="15" customHeight="1">
      <c r="A16" s="193" t="s">
        <v>52</v>
      </c>
      <c r="B16" s="202"/>
      <c r="C16" s="200">
        <v>3</v>
      </c>
      <c r="D16" s="113"/>
      <c r="E16" s="113"/>
      <c r="F16" s="188"/>
    </row>
    <row r="17" spans="1:6" ht="15" customHeight="1">
      <c r="A17" s="198" t="s">
        <v>297</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181654</v>
      </c>
      <c r="E21" s="663">
        <f>IF((general!$E$68)&lt;&gt;0,(general!$E$68),0)</f>
        <v>65249</v>
      </c>
      <c r="F21" s="629">
        <f aca="true" t="shared" si="0" ref="F21:F27">IF($F$38=0,"",ROUND(E21/$F$38*1000,3))</f>
      </c>
    </row>
    <row r="22" spans="1:6" ht="15" customHeight="1">
      <c r="A22" s="102" t="s">
        <v>114</v>
      </c>
      <c r="B22" s="208" t="s">
        <v>322</v>
      </c>
      <c r="C22" s="200">
        <f>IF('DebtSvs-Employee'!C78&gt;0,'DebtSvs-Employee'!C78,"")</f>
        <v>8</v>
      </c>
      <c r="D22" s="243">
        <f>IF(('DebtSvs-Employee'!$E$32)&lt;&gt;0,('DebtSvs-Employee'!$E$32),"")</f>
        <v>39515</v>
      </c>
      <c r="E22" s="663">
        <f>IF(('DebtSvs-Employee'!$E$39)&lt;&gt;0,('DebtSvs-Employee'!$E$39),0)</f>
        <v>23877</v>
      </c>
      <c r="F22" s="629">
        <f t="shared" si="0"/>
      </c>
    </row>
    <row r="23" spans="1:6" ht="15" customHeight="1">
      <c r="A23" s="125" t="str">
        <f>IF((inputPrYr!$B20&gt;"  "),(inputPrYr!$B20),"  ")</f>
        <v>Employee Benefits</v>
      </c>
      <c r="B23" s="208" t="str">
        <f>IF((inputPrYr!$C20&gt;"  "),(inputPrYr!$C20),"  ")</f>
        <v>12-16,201</v>
      </c>
      <c r="C23" s="200">
        <v>8</v>
      </c>
      <c r="D23" s="243">
        <f>IF(('DebtSvs-Employee'!$E$70)&lt;&gt;0,('DebtSvs-Employee'!$E$70),"")</f>
        <v>43975</v>
      </c>
      <c r="E23" s="663">
        <f>IF(('DebtSvs-Employee'!$E$77)&lt;&gt;0,('DebtSvs-Employee'!$E$77),0)</f>
        <v>15778</v>
      </c>
      <c r="F23" s="629">
        <f t="shared" si="0"/>
      </c>
    </row>
    <row r="24" spans="1:6" ht="15" customHeight="1">
      <c r="A24" s="125" t="str">
        <f>IF((inputPrYr!$B21&gt;"  "),(inputPrYr!$B21),"  ")</f>
        <v>  </v>
      </c>
      <c r="B24" s="208" t="str">
        <f>IF((inputPrYr!$C21&gt;"  "),(inputPrYr!$C21),"  ")</f>
        <v>  </v>
      </c>
      <c r="C24" s="200" t="str">
        <f>IF('levy page9'!C77&gt;0,'levy page9'!C77," ")</f>
        <v> </v>
      </c>
      <c r="D24" s="243">
        <f>IF(('levy page9'!$E$32)&lt;&gt;0,('levy page9'!$E$32),"")</f>
      </c>
      <c r="E24" s="663">
        <f>IF(('levy page9'!$E$39)&lt;&gt;0,('levy page9'!$E$39),0)</f>
        <v>0</v>
      </c>
      <c r="F24" s="629">
        <f t="shared" si="0"/>
      </c>
    </row>
    <row r="25" spans="1:6" ht="15" customHeight="1">
      <c r="A25" s="125" t="str">
        <f>IF((inputPrYr!$B22&gt;"  "),(inputPrYr!$B22),"  ")</f>
        <v>  </v>
      </c>
      <c r="B25" s="208" t="str">
        <f>IF((inputPrYr!$C22&gt;"  "),(inputPrYr!$C22),"  ")</f>
        <v>  </v>
      </c>
      <c r="C25" s="200" t="str">
        <f>IF('levy page9'!C77&gt;0,'levy page9'!C77," ")</f>
        <v> </v>
      </c>
      <c r="D25" s="243">
        <f>IF(('levy page9'!$E$69)&lt;&gt;0,('levy page9'!$E$69),"")</f>
      </c>
      <c r="E25" s="663">
        <f>IF(('levy page9'!$E$76)&lt;&gt;0,('levy page9'!$E$76),0)</f>
        <v>0</v>
      </c>
      <c r="F25" s="629">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3">
        <f>IF(('levy page10'!$E$39)&lt;&gt;0,('levy page10'!$E$39),0)</f>
        <v>0</v>
      </c>
      <c r="F26" s="629">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3">
        <f>IF(('levy page10'!$E$76)&lt;&gt;0,('levy page10'!$E$76),0)</f>
        <v>0</v>
      </c>
      <c r="F27" s="629">
        <f t="shared" si="0"/>
      </c>
    </row>
    <row r="28" spans="1:6" ht="15" customHeight="1">
      <c r="A28" s="210" t="str">
        <f>IF((inputPrYr!$B28&gt;"  "),(inputPrYr!$B28),"  ")</f>
        <v>Special Highway</v>
      </c>
      <c r="B28" s="133"/>
      <c r="C28" s="203">
        <f>IF('SpecHwy-Utility'!C66&gt;0,'SpecHwy-Utility'!C66," ")</f>
        <v>9</v>
      </c>
      <c r="D28" s="243">
        <f>IF(('SpecHwy-Utility'!$E$24)&lt;&gt;0,('SpecHwy-Utility'!$E$24),"")</f>
        <v>12090</v>
      </c>
      <c r="E28" s="207"/>
      <c r="F28" s="207"/>
    </row>
    <row r="29" spans="1:6" ht="15" customHeight="1">
      <c r="A29" s="210" t="str">
        <f>IF((inputPrYr!$B29&gt;"  "),(inputPrYr!$B29),"  ")</f>
        <v>Utility</v>
      </c>
      <c r="B29" s="133"/>
      <c r="C29" s="203">
        <f>IF('SpecHwy-Utility'!C66&gt;0,'SpecHwy-Utility'!C66," ")</f>
        <v>9</v>
      </c>
      <c r="D29" s="243">
        <f>IF(('SpecHwy-Utility'!$E$60)&lt;&gt;0,('SpecHwy-Utility'!$E$60),"")</f>
        <v>222047</v>
      </c>
      <c r="E29" s="207"/>
      <c r="F29" s="207"/>
    </row>
    <row r="30" spans="1:6" ht="15" customHeight="1">
      <c r="A30" s="211" t="str">
        <f>IF((inputPrYr!$B30&gt;"  "),(inputPrYr!$B30),"  ")</f>
        <v>  </v>
      </c>
      <c r="B30" s="133"/>
      <c r="C30" s="203" t="str">
        <f>IF(No!C68&gt;0,No!C68," ")</f>
        <v> </v>
      </c>
      <c r="D30" s="243">
        <f>IF((No!$E$30)&lt;&gt;0,(No!$E$30),"")</f>
      </c>
      <c r="E30" s="207"/>
      <c r="F30" s="207"/>
    </row>
    <row r="31" spans="1:6" ht="15" customHeight="1">
      <c r="A31" s="211" t="str">
        <f>IF((inputPrYr!$B31&gt;"  "),(inputPrYr!$B31),"  ")</f>
        <v>  </v>
      </c>
      <c r="B31" s="133"/>
      <c r="C31" s="203" t="str">
        <f>IF(No!C68&gt;0,No!C68," ")</f>
        <v> </v>
      </c>
      <c r="D31" s="243">
        <f>IF((No!$E$62)&lt;&gt;0,(No!$E$62),"")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Non-Budgeted Funds</v>
      </c>
      <c r="B35" s="133"/>
      <c r="C35" s="203">
        <f>IF(nonbud!F33&gt;0,nonbud!F33," ")</f>
        <v>10</v>
      </c>
      <c r="D35" s="632"/>
      <c r="E35" s="633"/>
      <c r="F35" s="633"/>
    </row>
    <row r="36" spans="1:6" ht="16.5" customHeight="1">
      <c r="A36" s="313" t="s">
        <v>804</v>
      </c>
      <c r="B36" s="132"/>
      <c r="C36" s="462" t="s">
        <v>160</v>
      </c>
      <c r="D36" s="630">
        <f>SUM(D21:D34)</f>
        <v>499281</v>
      </c>
      <c r="E36" s="630">
        <f>SUM(E21:E34)</f>
        <v>104904</v>
      </c>
      <c r="F36" s="631">
        <f>IF(SUM(F21:F35)=0,"",SUM(F21:F35))</f>
      </c>
    </row>
    <row r="37" spans="1:6" ht="16.5" customHeight="1">
      <c r="A37" s="469" t="s">
        <v>37</v>
      </c>
      <c r="B37" s="468"/>
      <c r="C37" s="467"/>
      <c r="D37" s="466"/>
      <c r="E37" s="465" t="str">
        <f>IF(E36&gt;computation!J40,"Yes","No")</f>
        <v>No</v>
      </c>
      <c r="F37" s="461" t="s">
        <v>302</v>
      </c>
    </row>
    <row r="38" spans="1:6" ht="15" customHeight="1">
      <c r="A38" s="193" t="s">
        <v>26</v>
      </c>
      <c r="B38" s="202"/>
      <c r="C38" s="195">
        <f>summ!D42</f>
        <v>11</v>
      </c>
      <c r="D38" s="214"/>
      <c r="E38" s="81"/>
      <c r="F38" s="464"/>
    </row>
    <row r="39" spans="1:6" ht="15" customHeight="1">
      <c r="A39" s="102" t="s">
        <v>129</v>
      </c>
      <c r="B39" s="103"/>
      <c r="C39" s="200">
        <v>12</v>
      </c>
      <c r="D39" s="214"/>
      <c r="E39" s="81"/>
      <c r="F39" s="717" t="str">
        <f>CONCATENATE("Nov 1, ",F1-1," Total Assessed Valuation")</f>
        <v>Nov 1, 2011 Total Assessed Valuation</v>
      </c>
    </row>
    <row r="40" spans="1:6" ht="15" customHeight="1">
      <c r="A40" s="501"/>
      <c r="B40" s="499"/>
      <c r="C40" s="502"/>
      <c r="D40" s="503"/>
      <c r="E40" s="504"/>
      <c r="F40" s="718"/>
    </row>
    <row r="41" spans="1:6" ht="15" customHeight="1">
      <c r="A41" s="116"/>
      <c r="B41" s="113"/>
      <c r="C41" s="215"/>
      <c r="D41" s="113"/>
      <c r="E41" s="81"/>
      <c r="F41" s="81"/>
    </row>
    <row r="42" spans="1:6" ht="15" customHeight="1">
      <c r="A42" s="86" t="s">
        <v>161</v>
      </c>
      <c r="B42" s="81"/>
      <c r="C42" s="81"/>
      <c r="D42" s="499"/>
      <c r="E42" s="500"/>
      <c r="F42" s="81"/>
    </row>
    <row r="43" spans="1:6" ht="15" customHeight="1">
      <c r="A43" s="216" t="s">
        <v>938</v>
      </c>
      <c r="B43" s="81"/>
      <c r="C43" s="187"/>
      <c r="D43" s="109"/>
      <c r="E43" s="187"/>
      <c r="F43" s="187"/>
    </row>
    <row r="44" spans="1:6" ht="15" customHeight="1">
      <c r="A44" s="398" t="s">
        <v>893</v>
      </c>
      <c r="B44" s="113"/>
      <c r="C44" s="113"/>
      <c r="D44" s="113"/>
      <c r="E44" s="113"/>
      <c r="F44" s="113"/>
    </row>
    <row r="45" spans="1:6" ht="15" customHeight="1">
      <c r="A45" s="81" t="s">
        <v>320</v>
      </c>
      <c r="B45" s="397"/>
      <c r="C45" s="109"/>
      <c r="D45" s="109"/>
      <c r="E45" s="109"/>
      <c r="F45" s="109"/>
    </row>
    <row r="46" spans="1:6" ht="15" customHeight="1">
      <c r="A46" s="216"/>
      <c r="B46" s="113"/>
      <c r="C46" s="86"/>
      <c r="D46" s="81"/>
      <c r="E46" s="81"/>
      <c r="F46" s="81"/>
    </row>
    <row r="47" spans="1:6" ht="15" customHeight="1">
      <c r="A47" s="398"/>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8"/>
      <c r="B53" s="81"/>
      <c r="C53" s="109"/>
      <c r="D53" s="109"/>
      <c r="E53" s="119"/>
      <c r="F53" s="119"/>
    </row>
    <row r="54" spans="1:6" ht="15" customHeight="1">
      <c r="A54" s="100" t="s">
        <v>163</v>
      </c>
      <c r="B54" s="81"/>
      <c r="C54" s="715" t="s">
        <v>162</v>
      </c>
      <c r="D54" s="716"/>
      <c r="E54" s="716"/>
      <c r="F54" s="716"/>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8">
      <selection activeCell="E14" sqref="E14"/>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City of Lewis</v>
      </c>
      <c r="D1" s="81"/>
      <c r="E1" s="81"/>
      <c r="F1" s="81"/>
      <c r="G1" s="81"/>
      <c r="H1" s="81"/>
      <c r="I1" s="81"/>
      <c r="J1" s="181">
        <f>inputPrYr!$C$5</f>
        <v>2012</v>
      </c>
    </row>
    <row r="2" spans="1:10" ht="15.75" customHeight="1">
      <c r="A2" s="81"/>
      <c r="B2" s="81"/>
      <c r="C2" s="81"/>
      <c r="D2" s="81"/>
      <c r="E2" s="81"/>
      <c r="F2" s="81"/>
      <c r="G2" s="81"/>
      <c r="H2" s="81"/>
      <c r="I2" s="81"/>
      <c r="J2" s="81"/>
    </row>
    <row r="3" spans="1:10" ht="15.75">
      <c r="A3" s="721" t="str">
        <f>CONCATENATE("Computation to Determine Limit for ",J1)</f>
        <v>Computation to Determine Limit for 2012</v>
      </c>
      <c r="B3" s="722"/>
      <c r="C3" s="722"/>
      <c r="D3" s="722"/>
      <c r="E3" s="722"/>
      <c r="F3" s="722"/>
      <c r="G3" s="722"/>
      <c r="H3" s="722"/>
      <c r="I3" s="722"/>
      <c r="J3" s="722"/>
    </row>
    <row r="4" spans="1:10" ht="15.75">
      <c r="A4" s="81"/>
      <c r="B4" s="81"/>
      <c r="C4" s="81"/>
      <c r="D4" s="81"/>
      <c r="E4" s="722"/>
      <c r="F4" s="722"/>
      <c r="G4" s="722"/>
      <c r="H4" s="224"/>
      <c r="I4" s="81"/>
      <c r="J4" s="225" t="s">
        <v>242</v>
      </c>
    </row>
    <row r="5" spans="1:10" ht="15.75">
      <c r="A5" s="226" t="s">
        <v>243</v>
      </c>
      <c r="B5" s="81" t="str">
        <f>CONCATENATE("Total Tax Levy Amount in ",J1-1," Budget")</f>
        <v>Total Tax Levy Amount in 2011 Budget</v>
      </c>
      <c r="C5" s="81"/>
      <c r="D5" s="81"/>
      <c r="E5" s="105"/>
      <c r="F5" s="105"/>
      <c r="G5" s="105"/>
      <c r="H5" s="227" t="s">
        <v>244</v>
      </c>
      <c r="I5" s="105" t="s">
        <v>245</v>
      </c>
      <c r="J5" s="228">
        <f>inputPrYr!E25</f>
        <v>116897</v>
      </c>
    </row>
    <row r="6" spans="1:10" ht="15.75">
      <c r="A6" s="226" t="s">
        <v>246</v>
      </c>
      <c r="B6" s="81" t="str">
        <f>CONCATENATE("Debt Service Levy in ",J1-1," Budget")</f>
        <v>Debt Service Levy in 2011 Budget</v>
      </c>
      <c r="C6" s="81"/>
      <c r="D6" s="81"/>
      <c r="E6" s="105"/>
      <c r="F6" s="105"/>
      <c r="G6" s="105"/>
      <c r="H6" s="227" t="s">
        <v>247</v>
      </c>
      <c r="I6" s="105" t="s">
        <v>245</v>
      </c>
      <c r="J6" s="229">
        <f>inputPrYr!$E$18</f>
        <v>36605</v>
      </c>
    </row>
    <row r="7" spans="1:10" ht="15.75">
      <c r="A7" s="226" t="s">
        <v>270</v>
      </c>
      <c r="B7" s="98" t="s">
        <v>274</v>
      </c>
      <c r="C7" s="81"/>
      <c r="D7" s="81"/>
      <c r="E7" s="105"/>
      <c r="F7" s="105"/>
      <c r="G7" s="105"/>
      <c r="H7" s="105"/>
      <c r="I7" s="105" t="s">
        <v>245</v>
      </c>
      <c r="J7" s="110">
        <f>J5-J6</f>
        <v>80292</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248</v>
      </c>
      <c r="B11" s="98" t="str">
        <f>CONCATENATE("New Improvements for ",J1-1," :")</f>
        <v>New Improvements for 2011 :</v>
      </c>
      <c r="C11" s="81"/>
      <c r="D11" s="81"/>
      <c r="E11" s="227"/>
      <c r="F11" s="227" t="s">
        <v>244</v>
      </c>
      <c r="G11" s="228">
        <f>inputOth!E8</f>
        <v>2966</v>
      </c>
      <c r="H11" s="230"/>
      <c r="I11" s="105"/>
      <c r="J11" s="105"/>
    </row>
    <row r="12" spans="1:10" ht="15.75">
      <c r="A12" s="226"/>
      <c r="B12" s="231"/>
      <c r="C12" s="81"/>
      <c r="D12" s="81"/>
      <c r="E12" s="227"/>
      <c r="F12" s="227"/>
      <c r="G12" s="230"/>
      <c r="H12" s="230"/>
      <c r="I12" s="105"/>
      <c r="J12" s="105"/>
    </row>
    <row r="13" spans="1:10" ht="15.75">
      <c r="A13" s="226" t="s">
        <v>249</v>
      </c>
      <c r="B13" s="98" t="str">
        <f>CONCATENATE("Increase in Personal Property for ",J1-1," :")</f>
        <v>Increase in Personal Property for 2011 :</v>
      </c>
      <c r="C13" s="81"/>
      <c r="D13" s="81"/>
      <c r="E13" s="227"/>
      <c r="F13" s="227"/>
      <c r="G13" s="230"/>
      <c r="H13" s="230"/>
      <c r="I13" s="105"/>
      <c r="J13" s="105"/>
    </row>
    <row r="14" spans="1:10" ht="15.75">
      <c r="A14" s="232"/>
      <c r="B14" s="81" t="s">
        <v>250</v>
      </c>
      <c r="C14" s="81" t="str">
        <f>CONCATENATE("Personal Property ",J1-1)</f>
        <v>Personal Property 2011</v>
      </c>
      <c r="D14" s="231" t="s">
        <v>244</v>
      </c>
      <c r="E14" s="228">
        <f>inputOth!E9</f>
        <v>325409</v>
      </c>
      <c r="F14" s="227"/>
      <c r="G14" s="105"/>
      <c r="H14" s="105"/>
      <c r="I14" s="230"/>
      <c r="J14" s="105"/>
    </row>
    <row r="15" spans="1:10" ht="15.75">
      <c r="A15" s="231"/>
      <c r="B15" s="81" t="s">
        <v>251</v>
      </c>
      <c r="C15" s="81" t="str">
        <f>CONCATENATE("Personal Property ",J1-2)</f>
        <v>Personal Property 2010</v>
      </c>
      <c r="D15" s="231" t="s">
        <v>247</v>
      </c>
      <c r="E15" s="110">
        <f>inputOth!E15</f>
        <v>315537</v>
      </c>
      <c r="F15" s="227"/>
      <c r="G15" s="230"/>
      <c r="H15" s="230"/>
      <c r="I15" s="105"/>
      <c r="J15" s="105"/>
    </row>
    <row r="16" spans="1:10" ht="15.75">
      <c r="A16" s="231"/>
      <c r="B16" s="81" t="s">
        <v>252</v>
      </c>
      <c r="C16" s="81" t="s">
        <v>275</v>
      </c>
      <c r="D16" s="81"/>
      <c r="E16" s="105"/>
      <c r="F16" s="105" t="s">
        <v>244</v>
      </c>
      <c r="G16" s="228">
        <f>IF(E14&gt;E15,E14-E15,0)</f>
        <v>9872</v>
      </c>
      <c r="H16" s="230"/>
      <c r="I16" s="105"/>
      <c r="J16" s="105"/>
    </row>
    <row r="17" spans="1:10" ht="15.75">
      <c r="A17" s="231"/>
      <c r="B17" s="231"/>
      <c r="C17" s="81"/>
      <c r="D17" s="81"/>
      <c r="E17" s="105"/>
      <c r="F17" s="105"/>
      <c r="G17" s="230" t="s">
        <v>265</v>
      </c>
      <c r="H17" s="230"/>
      <c r="I17" s="105"/>
      <c r="J17" s="105"/>
    </row>
    <row r="18" spans="1:10" ht="15.75">
      <c r="A18" s="231" t="s">
        <v>253</v>
      </c>
      <c r="B18" s="98" t="str">
        <f>CONCATENATE("Valuation of annexed territory for ",J1-1," :")</f>
        <v>Valuation of annexed territory for 2011 :</v>
      </c>
      <c r="C18" s="81"/>
      <c r="D18" s="81"/>
      <c r="E18" s="230"/>
      <c r="F18" s="105"/>
      <c r="G18" s="105"/>
      <c r="H18" s="105"/>
      <c r="I18" s="105"/>
      <c r="J18" s="105"/>
    </row>
    <row r="19" spans="1:10" ht="15.75">
      <c r="A19" s="231"/>
      <c r="B19" s="81" t="s">
        <v>254</v>
      </c>
      <c r="C19" s="81" t="s">
        <v>276</v>
      </c>
      <c r="D19" s="231" t="s">
        <v>244</v>
      </c>
      <c r="E19" s="228">
        <f>inputOth!E11</f>
        <v>0</v>
      </c>
      <c r="F19" s="105"/>
      <c r="G19" s="105"/>
      <c r="H19" s="105"/>
      <c r="I19" s="105"/>
      <c r="J19" s="105"/>
    </row>
    <row r="20" spans="1:10" ht="15.75">
      <c r="A20" s="231"/>
      <c r="B20" s="81" t="s">
        <v>255</v>
      </c>
      <c r="C20" s="81" t="s">
        <v>277</v>
      </c>
      <c r="D20" s="231" t="s">
        <v>244</v>
      </c>
      <c r="E20" s="110">
        <f>inputOth!E12</f>
        <v>0</v>
      </c>
      <c r="F20" s="105"/>
      <c r="G20" s="230"/>
      <c r="H20" s="230"/>
      <c r="I20" s="105"/>
      <c r="J20" s="105"/>
    </row>
    <row r="21" spans="1:10" ht="15.75">
      <c r="A21" s="231"/>
      <c r="B21" s="81" t="s">
        <v>256</v>
      </c>
      <c r="C21" s="81" t="s">
        <v>278</v>
      </c>
      <c r="D21" s="231" t="s">
        <v>247</v>
      </c>
      <c r="E21" s="110">
        <f>inputOth!E13</f>
        <v>0</v>
      </c>
      <c r="F21" s="105"/>
      <c r="G21" s="230"/>
      <c r="H21" s="230"/>
      <c r="I21" s="105"/>
      <c r="J21" s="105"/>
    </row>
    <row r="22" spans="1:10" ht="15.75">
      <c r="A22" s="231"/>
      <c r="B22" s="81" t="s">
        <v>257</v>
      </c>
      <c r="C22" s="81" t="s">
        <v>279</v>
      </c>
      <c r="D22" s="231"/>
      <c r="E22" s="230"/>
      <c r="F22" s="105" t="s">
        <v>244</v>
      </c>
      <c r="G22" s="228">
        <f>E19+E20-E21</f>
        <v>0</v>
      </c>
      <c r="H22" s="230"/>
      <c r="I22" s="105"/>
      <c r="J22" s="105"/>
    </row>
    <row r="23" spans="1:10" ht="15.75">
      <c r="A23" s="231"/>
      <c r="B23" s="231"/>
      <c r="C23" s="81"/>
      <c r="D23" s="231"/>
      <c r="E23" s="230"/>
      <c r="F23" s="105"/>
      <c r="G23" s="230"/>
      <c r="H23" s="230"/>
      <c r="I23" s="105"/>
      <c r="J23" s="105"/>
    </row>
    <row r="24" spans="1:10" ht="15.75">
      <c r="A24" s="231" t="s">
        <v>258</v>
      </c>
      <c r="B24" s="98" t="str">
        <f>CONCATENATE("Valuation of Property that has Changed in Use during ",J1-1," :")</f>
        <v>Valuation of Property that has Changed in Use during 2011 :</v>
      </c>
      <c r="C24" s="81"/>
      <c r="D24" s="81"/>
      <c r="E24" s="105"/>
      <c r="F24" s="227" t="s">
        <v>244</v>
      </c>
      <c r="G24" s="228">
        <f>inputOth!E14</f>
        <v>2437</v>
      </c>
      <c r="H24" s="105"/>
      <c r="I24" s="105"/>
      <c r="J24" s="105"/>
    </row>
    <row r="25" spans="1:10" ht="15.75">
      <c r="A25" s="81" t="s">
        <v>148</v>
      </c>
      <c r="B25" s="81"/>
      <c r="C25" s="81"/>
      <c r="D25" s="231"/>
      <c r="E25" s="230"/>
      <c r="F25" s="105"/>
      <c r="G25" s="105"/>
      <c r="H25" s="105"/>
      <c r="I25" s="105"/>
      <c r="J25" s="105"/>
    </row>
    <row r="26" spans="1:10" ht="15.75">
      <c r="A26" s="231" t="s">
        <v>259</v>
      </c>
      <c r="B26" s="98" t="s">
        <v>280</v>
      </c>
      <c r="C26" s="81"/>
      <c r="D26" s="81"/>
      <c r="E26" s="105"/>
      <c r="F26" s="105"/>
      <c r="G26" s="228">
        <f>G11+G16+G22+G24</f>
        <v>15275</v>
      </c>
      <c r="H26" s="230"/>
      <c r="I26" s="105"/>
      <c r="J26" s="105"/>
    </row>
    <row r="27" spans="1:10" ht="15.75">
      <c r="A27" s="231"/>
      <c r="B27" s="231"/>
      <c r="C27" s="98"/>
      <c r="D27" s="81"/>
      <c r="E27" s="105"/>
      <c r="F27" s="105"/>
      <c r="G27" s="230"/>
      <c r="H27" s="230"/>
      <c r="I27" s="105"/>
      <c r="J27" s="105"/>
    </row>
    <row r="28" spans="1:10" ht="15.75">
      <c r="A28" s="231" t="s">
        <v>260</v>
      </c>
      <c r="B28" s="81" t="str">
        <f>CONCATENATE("Total Estimated Valuation July 1, ",J1-1)</f>
        <v>Total Estimated Valuation July 1, 2011</v>
      </c>
      <c r="C28" s="81"/>
      <c r="D28" s="81"/>
      <c r="E28" s="228">
        <f>inputOth!E7</f>
        <v>1683991</v>
      </c>
      <c r="F28" s="105"/>
      <c r="G28" s="105"/>
      <c r="H28" s="105"/>
      <c r="I28" s="227"/>
      <c r="J28" s="105"/>
    </row>
    <row r="29" spans="1:10" ht="15.75">
      <c r="A29" s="231"/>
      <c r="B29" s="231"/>
      <c r="C29" s="81"/>
      <c r="D29" s="81"/>
      <c r="E29" s="230"/>
      <c r="F29" s="105"/>
      <c r="G29" s="105"/>
      <c r="H29" s="105"/>
      <c r="I29" s="227"/>
      <c r="J29" s="105"/>
    </row>
    <row r="30" spans="1:10" ht="15.75">
      <c r="A30" s="231" t="s">
        <v>261</v>
      </c>
      <c r="B30" s="98" t="s">
        <v>281</v>
      </c>
      <c r="C30" s="81"/>
      <c r="D30" s="81"/>
      <c r="E30" s="105"/>
      <c r="F30" s="105"/>
      <c r="G30" s="228">
        <f>E28-G26</f>
        <v>1668716</v>
      </c>
      <c r="H30" s="230"/>
      <c r="I30" s="227"/>
      <c r="J30" s="105"/>
    </row>
    <row r="31" spans="1:10" ht="15.75">
      <c r="A31" s="231"/>
      <c r="B31" s="231"/>
      <c r="C31" s="98"/>
      <c r="D31" s="81"/>
      <c r="E31" s="105"/>
      <c r="F31" s="105"/>
      <c r="G31" s="233"/>
      <c r="H31" s="230"/>
      <c r="I31" s="227"/>
      <c r="J31" s="105"/>
    </row>
    <row r="32" spans="1:10" ht="15.75">
      <c r="A32" s="231" t="s">
        <v>262</v>
      </c>
      <c r="B32" s="81" t="s">
        <v>282</v>
      </c>
      <c r="C32" s="81"/>
      <c r="D32" s="81"/>
      <c r="E32" s="81"/>
      <c r="F32" s="81"/>
      <c r="G32" s="234">
        <f>IF(G26&gt;0,G26/G30,0)</f>
        <v>0.009153744555694319</v>
      </c>
      <c r="H32" s="113"/>
      <c r="I32" s="81"/>
      <c r="J32" s="81"/>
    </row>
    <row r="33" spans="1:10" ht="15.75">
      <c r="A33" s="231"/>
      <c r="B33" s="231"/>
      <c r="C33" s="81"/>
      <c r="D33" s="81"/>
      <c r="E33" s="81"/>
      <c r="F33" s="81"/>
      <c r="G33" s="113"/>
      <c r="H33" s="113"/>
      <c r="I33" s="81"/>
      <c r="J33" s="81"/>
    </row>
    <row r="34" spans="1:10" ht="15.75">
      <c r="A34" s="231" t="s">
        <v>263</v>
      </c>
      <c r="B34" s="81" t="s">
        <v>283</v>
      </c>
      <c r="C34" s="81"/>
      <c r="D34" s="81"/>
      <c r="E34" s="81"/>
      <c r="F34" s="81"/>
      <c r="G34" s="113"/>
      <c r="H34" s="235" t="s">
        <v>244</v>
      </c>
      <c r="I34" s="81" t="s">
        <v>245</v>
      </c>
      <c r="J34" s="228">
        <f>ROUND(G32*J7,0)</f>
        <v>735</v>
      </c>
    </row>
    <row r="35" spans="1:10" ht="15.75">
      <c r="A35" s="231"/>
      <c r="B35" s="231"/>
      <c r="C35" s="81"/>
      <c r="D35" s="81"/>
      <c r="E35" s="81"/>
      <c r="F35" s="81"/>
      <c r="G35" s="113"/>
      <c r="H35" s="235"/>
      <c r="I35" s="81"/>
      <c r="J35" s="230"/>
    </row>
    <row r="36" spans="1:10" ht="16.5" thickBot="1">
      <c r="A36" s="231" t="s">
        <v>264</v>
      </c>
      <c r="B36" s="98" t="s">
        <v>289</v>
      </c>
      <c r="C36" s="81"/>
      <c r="D36" s="81"/>
      <c r="E36" s="81"/>
      <c r="F36" s="81"/>
      <c r="G36" s="81"/>
      <c r="H36" s="81"/>
      <c r="I36" s="81" t="s">
        <v>245</v>
      </c>
      <c r="J36" s="236">
        <f>J7+J34</f>
        <v>81027</v>
      </c>
    </row>
    <row r="37" spans="1:10" ht="16.5" thickTop="1">
      <c r="A37" s="81"/>
      <c r="B37" s="81"/>
      <c r="C37" s="81"/>
      <c r="D37" s="81"/>
      <c r="E37" s="81"/>
      <c r="F37" s="81"/>
      <c r="G37" s="81"/>
      <c r="H37" s="81"/>
      <c r="I37" s="81"/>
      <c r="J37" s="230"/>
    </row>
    <row r="38" spans="1:10" ht="15.75">
      <c r="A38" s="231" t="s">
        <v>287</v>
      </c>
      <c r="B38" s="98" t="str">
        <f>CONCATENATE("Debt Service Levy in this ",J1," Budget")</f>
        <v>Debt Service Levy in this 2012 Budget</v>
      </c>
      <c r="C38" s="81"/>
      <c r="D38" s="81"/>
      <c r="E38" s="81"/>
      <c r="F38" s="81"/>
      <c r="G38" s="81"/>
      <c r="H38" s="81"/>
      <c r="I38" s="81"/>
      <c r="J38" s="237">
        <f>'DebtSvs-Employee'!E39</f>
        <v>23877</v>
      </c>
    </row>
    <row r="39" spans="1:10" ht="15.75">
      <c r="A39" s="231"/>
      <c r="B39" s="98"/>
      <c r="C39" s="81"/>
      <c r="D39" s="81"/>
      <c r="E39" s="81"/>
      <c r="F39" s="81"/>
      <c r="G39" s="81"/>
      <c r="H39" s="81"/>
      <c r="I39" s="81"/>
      <c r="J39" s="230"/>
    </row>
    <row r="40" spans="1:10" ht="16.5" thickBot="1">
      <c r="A40" s="231" t="s">
        <v>288</v>
      </c>
      <c r="B40" s="98" t="s">
        <v>290</v>
      </c>
      <c r="C40" s="81"/>
      <c r="D40" s="81"/>
      <c r="E40" s="81"/>
      <c r="F40" s="81"/>
      <c r="G40" s="81"/>
      <c r="H40" s="81"/>
      <c r="I40" s="81"/>
      <c r="J40" s="236">
        <f>J36+J38</f>
        <v>104904</v>
      </c>
    </row>
    <row r="41" spans="1:10" ht="19.5" thickTop="1">
      <c r="A41" s="720"/>
      <c r="B41" s="720"/>
      <c r="C41" s="720"/>
      <c r="D41" s="720"/>
      <c r="E41" s="720"/>
      <c r="F41" s="720"/>
      <c r="G41" s="720"/>
      <c r="H41" s="720"/>
      <c r="I41" s="720"/>
      <c r="J41" s="720"/>
    </row>
    <row r="42" spans="1:10" s="238" customFormat="1" ht="18.75">
      <c r="A42" s="720" t="str">
        <f>CONCATENATE("If the ",J1," budget includes tax levies exceeding the total on line 15, you must")</f>
        <v>If the 2012 budget includes tax levies exceeding the total on line 15, you must</v>
      </c>
      <c r="B42" s="720"/>
      <c r="C42" s="720"/>
      <c r="D42" s="720"/>
      <c r="E42" s="720"/>
      <c r="F42" s="720"/>
      <c r="G42" s="720"/>
      <c r="H42" s="720"/>
      <c r="I42" s="720"/>
      <c r="J42" s="720"/>
    </row>
    <row r="43" spans="1:10" s="238" customFormat="1" ht="18.75">
      <c r="A43" s="720" t="s">
        <v>3</v>
      </c>
      <c r="B43" s="720"/>
      <c r="C43" s="720"/>
      <c r="D43" s="720"/>
      <c r="E43" s="720"/>
      <c r="F43" s="720"/>
      <c r="G43" s="720"/>
      <c r="H43" s="720"/>
      <c r="I43" s="720"/>
      <c r="J43" s="720"/>
    </row>
    <row r="44" spans="1:10" ht="15.75" customHeight="1">
      <c r="A44" s="719" t="s">
        <v>4</v>
      </c>
      <c r="B44" s="719"/>
      <c r="C44" s="719"/>
      <c r="D44" s="719"/>
      <c r="E44" s="719"/>
      <c r="F44" s="719"/>
      <c r="G44" s="719"/>
      <c r="H44" s="719"/>
      <c r="I44" s="719"/>
      <c r="J44" s="71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29" sqref="E29"/>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City of Lewis</v>
      </c>
      <c r="B1" s="81"/>
      <c r="C1" s="81"/>
      <c r="D1" s="81"/>
      <c r="E1" s="240"/>
      <c r="F1" s="181"/>
    </row>
    <row r="2" spans="1:6" ht="15" customHeight="1">
      <c r="A2" s="81"/>
      <c r="B2" s="81"/>
      <c r="C2" s="81"/>
      <c r="D2" s="81"/>
      <c r="E2" s="81"/>
      <c r="F2" s="181">
        <f>inputPrYr!$C$5</f>
        <v>2012</v>
      </c>
    </row>
    <row r="3" spans="1:6" ht="20.25" customHeight="1">
      <c r="A3" s="721" t="s">
        <v>53</v>
      </c>
      <c r="B3" s="721"/>
      <c r="C3" s="721"/>
      <c r="D3" s="721"/>
      <c r="E3" s="721"/>
      <c r="F3" s="81"/>
    </row>
    <row r="4" spans="1:6" ht="15" customHeight="1">
      <c r="A4" s="91"/>
      <c r="B4" s="90"/>
      <c r="C4" s="90"/>
      <c r="D4" s="90"/>
      <c r="E4" s="81"/>
      <c r="F4" s="81"/>
    </row>
    <row r="5" spans="1:6" ht="15" customHeight="1">
      <c r="A5" s="81"/>
      <c r="B5" s="81"/>
      <c r="C5" s="81"/>
      <c r="D5" s="81"/>
      <c r="E5" s="81"/>
      <c r="F5" s="81"/>
    </row>
    <row r="6" spans="1:6" ht="15.75" customHeight="1">
      <c r="A6" s="241" t="s">
        <v>332</v>
      </c>
      <c r="B6" s="194" t="s">
        <v>333</v>
      </c>
      <c r="C6" s="723" t="str">
        <f>CONCATENATE("Allocation for Year ",F1,"")</f>
        <v>Allocation for Year </v>
      </c>
      <c r="D6" s="724"/>
      <c r="E6" s="725"/>
      <c r="F6" s="726"/>
    </row>
    <row r="7" spans="1:6" ht="23.25" customHeight="1">
      <c r="A7" s="242">
        <f>SUM(Mvalloc!F2-1)</f>
        <v>2011</v>
      </c>
      <c r="B7" s="242">
        <f>SUM(Mvalloc!F2-2)</f>
        <v>2010</v>
      </c>
      <c r="C7" s="197" t="s">
        <v>241</v>
      </c>
      <c r="D7" s="197" t="s">
        <v>240</v>
      </c>
      <c r="E7" s="197" t="s">
        <v>239</v>
      </c>
      <c r="F7" s="207" t="s">
        <v>128</v>
      </c>
    </row>
    <row r="8" spans="1:6" ht="15" customHeight="1">
      <c r="A8" s="102" t="s">
        <v>138</v>
      </c>
      <c r="B8" s="243">
        <f>IF((inputPrYr!E17)&gt;0,(inputPrYr!E17),"  ")</f>
        <v>52525</v>
      </c>
      <c r="C8" s="243">
        <f>IF(inputPrYr!E17&gt;0,C17-SUM(C9:C14),0)</f>
        <v>13622</v>
      </c>
      <c r="D8" s="243">
        <f>IF(inputPrYr!E17=0,0,D19-SUM(D9:D14))</f>
        <v>181</v>
      </c>
      <c r="E8" s="243">
        <f>IF(inputPrYr!E17=0,0,E21-SUM(E9:E14))</f>
        <v>186</v>
      </c>
      <c r="F8" s="243">
        <f>IF(inputPrYr!E17=0,0,F23-SUM(F9:F13))</f>
        <v>0</v>
      </c>
    </row>
    <row r="9" spans="1:6" ht="15" customHeight="1">
      <c r="A9" s="102" t="str">
        <f>IF(inputPrYr!B18&gt;" ",inputPrYr!B18," ")</f>
        <v>Debt Service</v>
      </c>
      <c r="B9" s="243">
        <f>IF((inputPrYr!E18)&gt;0,(inputPrYr!E18),"  ")</f>
        <v>36605</v>
      </c>
      <c r="C9" s="243">
        <f>IF(inputPrYr!$E18&gt;0,ROUND(B9*C$25,0),"  ")</f>
        <v>9494</v>
      </c>
      <c r="D9" s="243">
        <f>IF(inputPrYr!$E18&gt;0,ROUND(+B9*D$27,0),"  ")</f>
        <v>126</v>
      </c>
      <c r="E9" s="243">
        <f>IF(inputPrYr!E18&gt;0,ROUND(B9*E$29,0),"  ")</f>
        <v>130</v>
      </c>
      <c r="F9" s="243">
        <f>IF(inputPrYr!E18&gt;0,ROUND(B9*F$31,0),"  ")</f>
        <v>0</v>
      </c>
    </row>
    <row r="10" spans="1:6" ht="15" customHeight="1">
      <c r="A10" s="125" t="str">
        <f>IF((inputPrYr!$B20&gt;"  "),(inputPrYr!$B20),"  ")</f>
        <v>Employee Benefits</v>
      </c>
      <c r="B10" s="243">
        <f>IF((inputPrYr!E20)&gt;0,(inputPrYr!E20),"  ")</f>
        <v>27767</v>
      </c>
      <c r="C10" s="243">
        <f>IF(inputPrYr!$E20&gt;0,ROUND(B10*C$25,0),"  ")</f>
        <v>7202</v>
      </c>
      <c r="D10" s="243">
        <f>IF(inputPrYr!$E20&gt;0,ROUND(+B10*D$27,0),"  ")</f>
        <v>95</v>
      </c>
      <c r="E10" s="243">
        <f>IF(inputPrYr!E20&gt;0,ROUND(B10*E$29,0),"  ")</f>
        <v>99</v>
      </c>
      <c r="F10" s="243">
        <f>IF(inputPrYr!E20&gt;0,ROUND(B10*F$31,0),"  ")</f>
        <v>0</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116897</v>
      </c>
      <c r="C15" s="244">
        <f>SUM(C8:C14)</f>
        <v>30318</v>
      </c>
      <c r="D15" s="244">
        <f>SUM(D8:D14)</f>
        <v>402</v>
      </c>
      <c r="E15" s="244">
        <f>SUM(E8:E14)</f>
        <v>415</v>
      </c>
      <c r="F15" s="244">
        <f>SUM(F8:F14)</f>
        <v>0</v>
      </c>
    </row>
    <row r="16" spans="1:6" ht="15" customHeight="1" thickTop="1">
      <c r="A16" s="81"/>
      <c r="B16" s="81"/>
      <c r="C16" s="81"/>
      <c r="D16" s="81"/>
      <c r="E16" s="81"/>
      <c r="F16" s="81"/>
    </row>
    <row r="17" spans="1:6" ht="15" customHeight="1">
      <c r="A17" s="86" t="s">
        <v>167</v>
      </c>
      <c r="B17" s="245"/>
      <c r="C17" s="228">
        <f>(inputOth!E33)</f>
        <v>30318</v>
      </c>
      <c r="D17" s="245"/>
      <c r="E17" s="81"/>
      <c r="F17" s="81"/>
    </row>
    <row r="18" spans="1:6" ht="15" customHeight="1">
      <c r="A18" s="81"/>
      <c r="B18" s="81"/>
      <c r="C18" s="81"/>
      <c r="D18" s="81"/>
      <c r="E18" s="81"/>
      <c r="F18" s="81"/>
    </row>
    <row r="19" spans="1:6" ht="15" customHeight="1">
      <c r="A19" s="86" t="s">
        <v>168</v>
      </c>
      <c r="B19" s="81"/>
      <c r="C19" s="81"/>
      <c r="D19" s="228">
        <f>(inputOth!E34)</f>
        <v>402</v>
      </c>
      <c r="E19" s="81"/>
      <c r="F19" s="81"/>
    </row>
    <row r="20" spans="1:6" ht="15" customHeight="1">
      <c r="A20" s="81"/>
      <c r="B20" s="81"/>
      <c r="C20" s="81"/>
      <c r="D20" s="81"/>
      <c r="E20" s="81"/>
      <c r="F20" s="81"/>
    </row>
    <row r="21" spans="1:6" ht="15" customHeight="1">
      <c r="A21" s="86" t="s">
        <v>238</v>
      </c>
      <c r="B21" s="81"/>
      <c r="C21" s="81"/>
      <c r="D21" s="81"/>
      <c r="E21" s="228">
        <f>inputOth!E35</f>
        <v>415</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0.2593565275413398</v>
      </c>
      <c r="D25" s="81"/>
      <c r="E25" s="81"/>
      <c r="F25" s="81"/>
    </row>
    <row r="26" spans="1:6" ht="15" customHeight="1">
      <c r="A26" s="81"/>
      <c r="B26" s="81"/>
      <c r="C26" s="81"/>
      <c r="D26" s="81"/>
      <c r="E26" s="81"/>
      <c r="F26" s="81"/>
    </row>
    <row r="27" spans="1:6" ht="15" customHeight="1">
      <c r="A27" s="86" t="s">
        <v>170</v>
      </c>
      <c r="B27" s="81"/>
      <c r="C27" s="81"/>
      <c r="D27" s="234">
        <f>IF(B15=0,0,D19/B15)</f>
        <v>0.003438924865479867</v>
      </c>
      <c r="E27" s="81"/>
      <c r="F27" s="81"/>
    </row>
    <row r="28" spans="1:6" ht="15" customHeight="1">
      <c r="A28" s="81"/>
      <c r="B28" s="81"/>
      <c r="C28" s="81"/>
      <c r="D28" s="81"/>
      <c r="E28" s="81"/>
      <c r="F28" s="81"/>
    </row>
    <row r="29" spans="1:6" ht="15" customHeight="1">
      <c r="A29" s="81" t="s">
        <v>237</v>
      </c>
      <c r="B29" s="81"/>
      <c r="C29" s="81"/>
      <c r="D29" s="81"/>
      <c r="E29" s="234">
        <f>IF(B15=0,0,E21/B15)</f>
        <v>0.003550133878542649</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B1">
      <selection activeCell="D11" sqref="D11"/>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City of Lewis</v>
      </c>
      <c r="B1" s="81"/>
      <c r="C1" s="81"/>
      <c r="D1" s="81"/>
      <c r="E1" s="81"/>
      <c r="F1" s="81">
        <f>inputPrYr!C5</f>
        <v>2012</v>
      </c>
    </row>
    <row r="2" spans="1:6" ht="15.75">
      <c r="A2" s="81"/>
      <c r="B2" s="81"/>
      <c r="C2" s="81"/>
      <c r="D2" s="81"/>
      <c r="E2" s="81"/>
      <c r="F2" s="81"/>
    </row>
    <row r="3" spans="1:6" ht="15.75">
      <c r="A3" s="722" t="s">
        <v>297</v>
      </c>
      <c r="B3" s="722"/>
      <c r="C3" s="722"/>
      <c r="D3" s="722"/>
      <c r="E3" s="722"/>
      <c r="F3" s="722"/>
    </row>
    <row r="4" spans="1:6" ht="15.75">
      <c r="A4" s="247"/>
      <c r="B4" s="247"/>
      <c r="C4" s="247"/>
      <c r="D4" s="247"/>
      <c r="E4" s="247"/>
      <c r="F4" s="247"/>
    </row>
    <row r="5" spans="1:6" ht="15.75">
      <c r="A5" s="248" t="s">
        <v>661</v>
      </c>
      <c r="B5" s="248" t="s">
        <v>663</v>
      </c>
      <c r="C5" s="248" t="s">
        <v>185</v>
      </c>
      <c r="D5" s="248" t="s">
        <v>316</v>
      </c>
      <c r="E5" s="248" t="s">
        <v>317</v>
      </c>
      <c r="F5" s="248" t="s">
        <v>331</v>
      </c>
    </row>
    <row r="6" spans="1:6" ht="15.75">
      <c r="A6" s="249" t="s">
        <v>660</v>
      </c>
      <c r="B6" s="249" t="s">
        <v>662</v>
      </c>
      <c r="C6" s="249" t="s">
        <v>330</v>
      </c>
      <c r="D6" s="249" t="s">
        <v>330</v>
      </c>
      <c r="E6" s="249" t="s">
        <v>330</v>
      </c>
      <c r="F6" s="249" t="s">
        <v>318</v>
      </c>
    </row>
    <row r="7" spans="1:6" ht="15.75">
      <c r="A7" s="250" t="s">
        <v>328</v>
      </c>
      <c r="B7" s="250" t="s">
        <v>329</v>
      </c>
      <c r="C7" s="251">
        <f>F1-2</f>
        <v>2010</v>
      </c>
      <c r="D7" s="251">
        <f>F1-1</f>
        <v>2011</v>
      </c>
      <c r="E7" s="251">
        <f>F1</f>
        <v>2012</v>
      </c>
      <c r="F7" s="250" t="s">
        <v>319</v>
      </c>
    </row>
    <row r="8" spans="1:6" ht="15.75">
      <c r="A8" s="252" t="s">
        <v>138</v>
      </c>
      <c r="B8" s="252" t="s">
        <v>888</v>
      </c>
      <c r="C8" s="253">
        <v>20000</v>
      </c>
      <c r="D8" s="253"/>
      <c r="E8" s="253"/>
      <c r="F8" s="252" t="s">
        <v>891</v>
      </c>
    </row>
    <row r="9" spans="1:6" ht="15.75">
      <c r="A9" s="254" t="s">
        <v>138</v>
      </c>
      <c r="B9" s="254" t="s">
        <v>889</v>
      </c>
      <c r="C9" s="255">
        <v>40000</v>
      </c>
      <c r="D9" s="255"/>
      <c r="E9" s="255"/>
      <c r="F9" s="254" t="s">
        <v>892</v>
      </c>
    </row>
    <row r="10" spans="1:6" ht="15.75">
      <c r="A10" s="254" t="s">
        <v>138</v>
      </c>
      <c r="B10" s="254" t="s">
        <v>890</v>
      </c>
      <c r="C10" s="255">
        <v>20000</v>
      </c>
      <c r="D10" s="255"/>
      <c r="E10" s="255"/>
      <c r="F10" s="254" t="s">
        <v>891</v>
      </c>
    </row>
    <row r="11" spans="1:6" ht="15.75">
      <c r="A11" s="254"/>
      <c r="B11" s="254"/>
      <c r="C11" s="255"/>
      <c r="D11" s="255"/>
      <c r="E11" s="255"/>
      <c r="F11" s="254"/>
    </row>
    <row r="12" spans="1:6" ht="15.75">
      <c r="A12" s="254"/>
      <c r="B12" s="254"/>
      <c r="C12" s="255"/>
      <c r="D12" s="255"/>
      <c r="E12" s="255"/>
      <c r="F12" s="254"/>
    </row>
    <row r="13" spans="1:6" ht="15.75">
      <c r="A13" s="220"/>
      <c r="B13" s="256" t="s">
        <v>171</v>
      </c>
      <c r="C13" s="257">
        <f>SUM(C8:C12)</f>
        <v>80000</v>
      </c>
      <c r="D13" s="257">
        <f>SUM(D8:D12)</f>
        <v>0</v>
      </c>
      <c r="E13" s="257">
        <f>SUM(E8:E12)</f>
        <v>0</v>
      </c>
      <c r="F13" s="220"/>
    </row>
    <row r="14" spans="1:6" ht="15.75">
      <c r="A14" s="220"/>
      <c r="B14" s="258" t="s">
        <v>659</v>
      </c>
      <c r="C14" s="259"/>
      <c r="D14" s="260"/>
      <c r="E14" s="260"/>
      <c r="F14" s="220"/>
    </row>
    <row r="15" spans="1:6" ht="15.75">
      <c r="A15" s="220"/>
      <c r="B15" s="256" t="s">
        <v>123</v>
      </c>
      <c r="C15" s="257">
        <f>C13</f>
        <v>80000</v>
      </c>
      <c r="D15" s="257">
        <f>SUM(D13-D14)</f>
        <v>0</v>
      </c>
      <c r="E15" s="257">
        <f>SUM(E13-E14)</f>
        <v>0</v>
      </c>
      <c r="F15" s="220"/>
    </row>
    <row r="16" spans="1:6" ht="15.75">
      <c r="A16" s="135"/>
      <c r="B16" s="135"/>
      <c r="C16" s="135"/>
      <c r="D16" s="135"/>
      <c r="E16" s="135"/>
      <c r="F16" s="135"/>
    </row>
    <row r="17" spans="1:6" ht="15.75">
      <c r="A17" s="135"/>
      <c r="B17" s="135"/>
      <c r="C17" s="135"/>
      <c r="D17" s="135"/>
      <c r="E17" s="135"/>
      <c r="F17" s="135"/>
    </row>
    <row r="18" spans="1:6" ht="15.75">
      <c r="A18" s="431" t="s">
        <v>664</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6">
      <selection activeCell="A1" sqref="A1"/>
    </sheetView>
  </sheetViews>
  <sheetFormatPr defaultColWidth="8.796875" defaultRowHeight="15"/>
  <cols>
    <col min="1" max="1" width="70.59765625" style="388" customWidth="1"/>
    <col min="2" max="16384" width="8.8984375" style="388" customWidth="1"/>
  </cols>
  <sheetData>
    <row r="1" ht="18.75">
      <c r="A1" s="389" t="s">
        <v>397</v>
      </c>
    </row>
    <row r="2" ht="18.75">
      <c r="A2" s="389"/>
    </row>
    <row r="3" ht="18.75">
      <c r="A3" s="389"/>
    </row>
    <row r="4" ht="51.75" customHeight="1">
      <c r="A4" s="619" t="s">
        <v>759</v>
      </c>
    </row>
    <row r="5" ht="18.75">
      <c r="A5" s="389"/>
    </row>
    <row r="6" ht="15.75">
      <c r="A6" s="390"/>
    </row>
    <row r="7" ht="47.25">
      <c r="A7" s="391" t="s">
        <v>398</v>
      </c>
    </row>
    <row r="8" ht="15.75">
      <c r="A8" s="390"/>
    </row>
    <row r="9" ht="15.75">
      <c r="A9" s="390"/>
    </row>
    <row r="10" ht="63">
      <c r="A10" s="391" t="s">
        <v>399</v>
      </c>
    </row>
    <row r="11" ht="15.75">
      <c r="A11" s="392"/>
    </row>
    <row r="12" ht="15.75">
      <c r="A12" s="390"/>
    </row>
    <row r="13" ht="47.25">
      <c r="A13" s="391" t="s">
        <v>400</v>
      </c>
    </row>
    <row r="14" ht="15.75">
      <c r="A14" s="392"/>
    </row>
    <row r="15" ht="15.75">
      <c r="A15" s="390"/>
    </row>
    <row r="16" ht="47.25">
      <c r="A16" s="391" t="s">
        <v>401</v>
      </c>
    </row>
    <row r="17" ht="15.75">
      <c r="A17" s="392"/>
    </row>
    <row r="18" ht="15.75">
      <c r="A18" s="392"/>
    </row>
    <row r="19" ht="47.25">
      <c r="A19" s="391" t="s">
        <v>402</v>
      </c>
    </row>
    <row r="20" ht="15.75">
      <c r="A20" s="392"/>
    </row>
    <row r="21" ht="15.75">
      <c r="A21" s="392"/>
    </row>
    <row r="22" ht="47.25">
      <c r="A22" s="391" t="s">
        <v>403</v>
      </c>
    </row>
    <row r="23" ht="15.75">
      <c r="A23" s="392"/>
    </row>
    <row r="24" ht="15.75">
      <c r="A24" s="392"/>
    </row>
    <row r="25" ht="31.5">
      <c r="A25" s="391" t="s">
        <v>404</v>
      </c>
    </row>
    <row r="26" ht="15.75">
      <c r="A26" s="390"/>
    </row>
    <row r="27" ht="15.75">
      <c r="A27" s="390"/>
    </row>
    <row r="28" ht="60">
      <c r="A28" s="393" t="s">
        <v>405</v>
      </c>
    </row>
    <row r="29" ht="15">
      <c r="A29" s="394"/>
    </row>
    <row r="30" ht="15">
      <c r="A30" s="394"/>
    </row>
    <row r="31" ht="47.25">
      <c r="A31" s="391" t="s">
        <v>406</v>
      </c>
    </row>
    <row r="32" ht="15.75">
      <c r="A32" s="390"/>
    </row>
    <row r="33" ht="15.75">
      <c r="A33" s="390"/>
    </row>
    <row r="34" ht="66.75" customHeight="1">
      <c r="A34" s="542" t="s">
        <v>760</v>
      </c>
    </row>
    <row r="35" ht="15.75">
      <c r="A35" s="390"/>
    </row>
    <row r="36" ht="15.75">
      <c r="A36" s="390"/>
    </row>
    <row r="37" ht="63">
      <c r="A37" s="395" t="s">
        <v>407</v>
      </c>
    </row>
    <row r="38" ht="15.75">
      <c r="A38" s="392"/>
    </row>
    <row r="39" ht="15.75">
      <c r="A39" s="390"/>
    </row>
    <row r="40" ht="63">
      <c r="A40" s="391" t="s">
        <v>408</v>
      </c>
    </row>
    <row r="41" ht="15.75">
      <c r="A41" s="392"/>
    </row>
    <row r="42" ht="15.75">
      <c r="A42" s="392"/>
    </row>
    <row r="43" ht="82.5" customHeight="1">
      <c r="A43" s="382" t="s">
        <v>761</v>
      </c>
    </row>
    <row r="44" ht="15.75">
      <c r="A44" s="392"/>
    </row>
    <row r="45" ht="15.75">
      <c r="A45" s="392"/>
    </row>
    <row r="46" ht="69" customHeight="1">
      <c r="A46" s="382" t="s">
        <v>762</v>
      </c>
    </row>
    <row r="47" ht="15.75">
      <c r="A47" s="392"/>
    </row>
    <row r="48" ht="15.75">
      <c r="A48" s="392"/>
    </row>
    <row r="49" ht="69" customHeight="1">
      <c r="A49" s="382" t="s">
        <v>763</v>
      </c>
    </row>
    <row r="50" ht="15.75">
      <c r="A50" s="392"/>
    </row>
    <row r="51" ht="15.75">
      <c r="A51" s="392"/>
    </row>
    <row r="52" ht="63">
      <c r="A52" s="391" t="s">
        <v>409</v>
      </c>
    </row>
    <row r="53" ht="15.75">
      <c r="A53" s="392"/>
    </row>
    <row r="54" ht="15.75">
      <c r="A54" s="392"/>
    </row>
    <row r="55" ht="63">
      <c r="A55" s="391" t="s">
        <v>410</v>
      </c>
    </row>
    <row r="56" ht="15.75">
      <c r="A56" s="392"/>
    </row>
    <row r="57" ht="15.75">
      <c r="A57" s="392"/>
    </row>
    <row r="58" ht="47.25">
      <c r="A58" s="391" t="s">
        <v>411</v>
      </c>
    </row>
    <row r="59" ht="15.75">
      <c r="A59" s="392"/>
    </row>
    <row r="60" ht="15.75">
      <c r="A60" s="392"/>
    </row>
    <row r="61" ht="47.25">
      <c r="A61" s="391" t="s">
        <v>412</v>
      </c>
    </row>
    <row r="62" ht="15.75">
      <c r="A62" s="392"/>
    </row>
    <row r="63" ht="15.75">
      <c r="A63" s="392"/>
    </row>
    <row r="64" ht="78.75">
      <c r="A64" s="391" t="s">
        <v>413</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mhandshy</cp:lastModifiedBy>
  <cp:lastPrinted>2011-07-12T21:19:21Z</cp:lastPrinted>
  <dcterms:created xsi:type="dcterms:W3CDTF">1998-12-22T16:13:18Z</dcterms:created>
  <dcterms:modified xsi:type="dcterms:W3CDTF">2011-07-12T21:26:00Z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