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7980" tabRatio="909" firstSheet="3" activeTab="3"/>
  </bookViews>
  <sheets>
    <sheet name="inputPrYr" sheetId="1" r:id="rId1"/>
    <sheet name="inputOth" sheetId="2" r:id="rId2"/>
    <sheet name="inputBudSum" sheetId="3" r:id="rId3"/>
    <sheet name="cert" sheetId="4" r:id="rId4"/>
    <sheet name="Signed Certification" sheetId="5" r:id="rId5"/>
    <sheet name="computation" sheetId="6" r:id="rId6"/>
    <sheet name="mvalloc" sheetId="7" r:id="rId7"/>
    <sheet name="transfers" sheetId="8" r:id="rId8"/>
    <sheet name="debt" sheetId="9" r:id="rId9"/>
    <sheet name="lpform" sheetId="10" r:id="rId10"/>
    <sheet name="general" sheetId="11" r:id="rId11"/>
    <sheet name="GenDetail" sheetId="12" r:id="rId12"/>
    <sheet name="Bond &amp; int" sheetId="13" r:id="rId13"/>
    <sheet name=" Spec Hwy &amp; Water" sheetId="14" r:id="rId14"/>
    <sheet name="Elect &amp; Sewer" sheetId="15" r:id="rId15"/>
    <sheet name="trash" sheetId="16" r:id="rId16"/>
    <sheet name="NonBudA" sheetId="17" r:id="rId17"/>
    <sheet name="summ" sheetId="18" r:id="rId18"/>
    <sheet name="Publication" sheetId="19" r:id="rId19"/>
    <sheet name="nhood" sheetId="20" r:id="rId20"/>
    <sheet name="Ordinance" sheetId="21" r:id="rId21"/>
  </sheets>
  <definedNames>
    <definedName name="_xlnm.Print_Area" localSheetId="12">'Bond &amp; int'!$B$1:$E$76</definedName>
    <definedName name="_xlnm.Print_Area" localSheetId="11">'GenDetail'!$A$1:$D$62</definedName>
    <definedName name="_xlnm.Print_Area" localSheetId="10">'general'!$B$1:$E$124</definedName>
    <definedName name="_xlnm.Print_Area" localSheetId="0">'inputPrYr'!$A$1:$E$118</definedName>
    <definedName name="_xlnm.Print_Area" localSheetId="9">'lpform'!$A$1:$H$38</definedName>
    <definedName name="_xlnm.Print_Area" localSheetId="17">'summ'!$A$2:$H$61</definedName>
  </definedNames>
  <calcPr fullCalcOnLoad="1"/>
</workbook>
</file>

<file path=xl/sharedStrings.xml><?xml version="1.0" encoding="utf-8"?>
<sst xmlns="http://schemas.openxmlformats.org/spreadsheetml/2006/main" count="733" uniqueCount="399">
  <si>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</si>
  <si>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</si>
  <si>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</si>
  <si>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</si>
  <si>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</si>
  <si>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</si>
  <si>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</si>
  <si>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Enter City Name ( City of )</t>
  </si>
  <si>
    <t>Enter County Name followed by "County"</t>
  </si>
  <si>
    <t>**</t>
  </si>
  <si>
    <t>**Note: These two block figures should agree.</t>
  </si>
  <si>
    <t>Outstanding Indebtedness, January 1:</t>
  </si>
  <si>
    <t>From the League of Municipalities' Budget Tips (Special City and County Highway Fund):</t>
  </si>
  <si>
    <t>Attest: _____________________,</t>
  </si>
  <si>
    <t>County Transfers Gas</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</si>
  <si>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</si>
  <si>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</si>
  <si>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</si>
  <si>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</si>
  <si>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</si>
  <si>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</si>
  <si>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</si>
  <si>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</si>
  <si>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Miscellaneous</t>
  </si>
  <si>
    <t>Neighborhood Revitalization Rebate</t>
  </si>
  <si>
    <t>Cash Balance Jan 1</t>
  </si>
  <si>
    <t>***If you are merely leasing/renting with no intent to purchase, do not list--such transactions are not lease-purchases.</t>
  </si>
  <si>
    <t>(Note: Should agree with general sub-totals.)</t>
  </si>
  <si>
    <t>General Fund - Detail Expenditures</t>
  </si>
  <si>
    <t>hearing and answering objections of taxpayers relating to the proposed use of all funds and the amount of ad valorem tax.</t>
  </si>
  <si>
    <t>the Neighborhood Revitalization Rebate table.</t>
  </si>
  <si>
    <t>*Note:</t>
  </si>
  <si>
    <t>Expenditure</t>
  </si>
  <si>
    <t xml:space="preserve">Fund Transferred </t>
  </si>
  <si>
    <t>Receipt</t>
  </si>
  <si>
    <t>Fund Transferred</t>
  </si>
  <si>
    <r>
      <t>Adjustments</t>
    </r>
    <r>
      <rPr>
        <b/>
        <sz val="12"/>
        <color indexed="10"/>
        <rFont val="Times New Roman"/>
        <family val="1"/>
      </rPr>
      <t>*</t>
    </r>
  </si>
  <si>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</si>
  <si>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</si>
  <si>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</si>
  <si>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</si>
  <si>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</si>
  <si>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</si>
  <si>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</si>
  <si>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</si>
  <si>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</si>
  <si>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</si>
  <si>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</si>
  <si>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</si>
  <si>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</si>
  <si>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</si>
  <si>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</si>
  <si>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</si>
  <si>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</si>
  <si>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</si>
  <si>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</si>
  <si>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</si>
  <si>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</si>
  <si>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</si>
  <si>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</si>
  <si>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</si>
  <si>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</si>
  <si>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</si>
  <si>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</si>
  <si>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</si>
  <si>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</si>
  <si>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</si>
  <si>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</si>
  <si>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</si>
  <si>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</si>
  <si>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</si>
  <si>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</si>
  <si>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</si>
  <si>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</si>
  <si>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</si>
  <si>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</si>
  <si>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</si>
  <si>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</si>
  <si>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</si>
  <si>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</si>
  <si>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</si>
  <si>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</si>
  <si>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</si>
  <si>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</si>
  <si>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</si>
  <si>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</si>
  <si>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</si>
  <si>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</si>
  <si>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</si>
  <si>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</si>
  <si>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</si>
  <si>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</si>
  <si>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</si>
  <si>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Commodities</t>
  </si>
  <si>
    <t xml:space="preserve">  Capital Outlay</t>
  </si>
  <si>
    <t>Total Expenditures</t>
  </si>
  <si>
    <t>Tax Required</t>
  </si>
  <si>
    <t>%</t>
  </si>
  <si>
    <t>Page No.</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</si>
  <si>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</si>
  <si>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</si>
  <si>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</si>
  <si>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</si>
  <si>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</si>
  <si>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</si>
  <si>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</si>
  <si>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</si>
  <si>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</si>
  <si>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</si>
  <si>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</si>
  <si>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</si>
  <si>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</si>
  <si>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</si>
  <si>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</si>
  <si>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</si>
  <si>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</si>
  <si>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</si>
  <si>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</si>
  <si>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</si>
  <si>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</si>
  <si>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</si>
  <si>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</si>
  <si>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</si>
  <si>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</si>
  <si>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</si>
  <si>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</si>
  <si>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</si>
  <si>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</si>
  <si>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</si>
  <si>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</si>
  <si>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</si>
  <si>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</si>
  <si>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</si>
  <si>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</si>
  <si>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</si>
  <si>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</si>
  <si>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</si>
  <si>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</si>
  <si>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</si>
  <si>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</si>
  <si>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</si>
  <si>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</si>
  <si>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</si>
  <si>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</si>
  <si>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</si>
  <si>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</si>
  <si>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</si>
  <si>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</si>
  <si>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</si>
  <si>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</si>
  <si>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</si>
  <si>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</si>
  <si>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</si>
  <si>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</si>
  <si>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</si>
  <si>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</si>
  <si>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</si>
  <si>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</si>
  <si>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</si>
  <si>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</si>
  <si>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</si>
  <si>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</si>
  <si>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</si>
  <si>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</si>
  <si>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</si>
  <si>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</si>
  <si>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</si>
  <si>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</si>
  <si>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</si>
  <si>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</si>
  <si>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</si>
  <si>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</si>
  <si>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</si>
  <si>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</si>
  <si>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</si>
  <si>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</si>
  <si>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</si>
  <si>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</si>
  <si>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</si>
  <si>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</si>
  <si>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</si>
  <si>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</si>
  <si>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</si>
  <si>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</si>
  <si>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</si>
  <si>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</si>
  <si>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</si>
  <si>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</si>
  <si>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</si>
  <si>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</si>
  <si>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</si>
  <si>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</si>
  <si>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</si>
  <si>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</si>
  <si>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</si>
  <si>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</si>
  <si>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</si>
  <si>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</si>
  <si>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</si>
  <si>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</si>
  <si>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</si>
  <si>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</si>
  <si>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</si>
  <si>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</si>
  <si>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</si>
  <si>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</si>
  <si>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</si>
  <si>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</si>
  <si>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</si>
  <si>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</si>
  <si>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</si>
  <si>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</si>
  <si>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</si>
  <si>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</si>
  <si>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</si>
  <si>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</si>
  <si>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</si>
  <si>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</si>
  <si>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</si>
  <si>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</si>
  <si>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</si>
  <si>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</si>
  <si>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t>
  </si>
  <si>
    <t>Page No.  7a</t>
  </si>
  <si>
    <t>7b</t>
  </si>
  <si>
    <t>Address:</t>
  </si>
  <si>
    <t>Current Year Estimate</t>
  </si>
  <si>
    <t>Proposed Budget Year</t>
  </si>
  <si>
    <t>Territory Added: (Current Year Only)</t>
  </si>
  <si>
    <t>Neighborhood Revitalization</t>
  </si>
  <si>
    <t>16\20 M Vehicle Tax</t>
  </si>
  <si>
    <t>LAVTR</t>
  </si>
  <si>
    <t>City and County Revenue Sharing</t>
  </si>
  <si>
    <t>Slider</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</si>
  <si>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</si>
  <si>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</si>
  <si>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</si>
  <si>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</si>
  <si>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</si>
  <si>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</si>
  <si>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</si>
  <si>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</si>
  <si>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</si>
  <si>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</si>
  <si>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</si>
  <si>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</si>
  <si>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</si>
  <si>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</si>
  <si>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</si>
  <si>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</si>
  <si>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</si>
  <si>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</si>
  <si>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</si>
  <si>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</si>
  <si>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</si>
  <si>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</si>
  <si>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</si>
  <si>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</si>
  <si>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</si>
  <si>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</si>
  <si>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</si>
  <si>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</si>
  <si>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</si>
  <si>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</si>
  <si>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</si>
  <si>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</si>
  <si>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</si>
  <si>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</si>
  <si>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</si>
  <si>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</si>
  <si>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</si>
  <si>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</si>
  <si>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</si>
  <si>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</si>
  <si>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</si>
  <si>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</si>
  <si>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</si>
  <si>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</si>
  <si>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</si>
  <si>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</si>
  <si>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City of LaHarpe</t>
  </si>
  <si>
    <t>Allen County</t>
  </si>
  <si>
    <t>Bond &amp; Interest</t>
  </si>
  <si>
    <t>Water Utility</t>
  </si>
  <si>
    <t>Electric Utility</t>
  </si>
  <si>
    <t>Sewer Utility</t>
  </si>
  <si>
    <t>Trash Utility</t>
  </si>
  <si>
    <t>Philip A. Jarred, CPA</t>
  </si>
  <si>
    <t>Jarred, Gilmore &amp; Phillips, PA</t>
  </si>
  <si>
    <t>1815 S Santa Fe, PO Box 779</t>
  </si>
  <si>
    <t>Chanute, KS 66720</t>
  </si>
  <si>
    <t>Equipment Reserve</t>
  </si>
  <si>
    <t>Sewer  Utility</t>
  </si>
  <si>
    <t xml:space="preserve">Bond and Interest </t>
  </si>
  <si>
    <t>KSA 12-825d</t>
  </si>
  <si>
    <t>KSA 12-1,117</t>
  </si>
  <si>
    <t>None</t>
  </si>
  <si>
    <t>Sewer System Revolving</t>
  </si>
  <si>
    <t xml:space="preserve">   Loan-Series 1998</t>
  </si>
  <si>
    <t>3/1 &amp; 9/1</t>
  </si>
  <si>
    <t>Sales Tax</t>
  </si>
  <si>
    <t>Licenses and Permits</t>
  </si>
  <si>
    <t>Fines, Forfeitures and Penalties</t>
  </si>
  <si>
    <t>Reimbursed Expense</t>
  </si>
  <si>
    <t>Special Assessment</t>
  </si>
  <si>
    <t>General and Administrative Department</t>
  </si>
  <si>
    <t xml:space="preserve">  Personal Services</t>
  </si>
  <si>
    <t xml:space="preserve">  Contractual Service</t>
  </si>
  <si>
    <t>Incentive Program Houses Department</t>
  </si>
  <si>
    <t xml:space="preserve">  Contractual Services</t>
  </si>
  <si>
    <t>Parks and Recreation Department</t>
  </si>
  <si>
    <t>Streets Department</t>
  </si>
  <si>
    <t>Law Enforcement Department</t>
  </si>
  <si>
    <t>Code Enforcement Department</t>
  </si>
  <si>
    <t>Employee Benefits Department</t>
  </si>
  <si>
    <t>Miscellaneous Department</t>
  </si>
  <si>
    <t>Accounting &amp; Auditing Department</t>
  </si>
  <si>
    <t>Fire Department</t>
  </si>
  <si>
    <t>Capital Outlay Department</t>
  </si>
  <si>
    <t xml:space="preserve">  Capital Outlay - Other</t>
  </si>
  <si>
    <t>Gas City Reimbursements</t>
  </si>
  <si>
    <t>Operating Transfer From</t>
  </si>
  <si>
    <t xml:space="preserve">    Sewer Utility</t>
  </si>
  <si>
    <t>State Revolving Loan Payments</t>
  </si>
  <si>
    <t xml:space="preserve">   Principal</t>
  </si>
  <si>
    <t xml:space="preserve">   Interest</t>
  </si>
  <si>
    <t>Highways and Street</t>
  </si>
  <si>
    <t xml:space="preserve">    Water Sales</t>
  </si>
  <si>
    <t xml:space="preserve">    Water Penalties and Reconnecting Fees</t>
  </si>
  <si>
    <t xml:space="preserve">     Bulk Water Sales</t>
  </si>
  <si>
    <t xml:space="preserve">Transmission and Distribution </t>
  </si>
  <si>
    <t xml:space="preserve">  Contractual Services - Water Purchased</t>
  </si>
  <si>
    <t>General Operations</t>
  </si>
  <si>
    <t xml:space="preserve">  Contractual Services </t>
  </si>
  <si>
    <t xml:space="preserve">     Residential Sales</t>
  </si>
  <si>
    <t xml:space="preserve">     Penalties</t>
  </si>
  <si>
    <t xml:space="preserve">Operating Transfers From </t>
  </si>
  <si>
    <t xml:space="preserve">     Electric Utility Fund</t>
  </si>
  <si>
    <t xml:space="preserve">     Other Sales</t>
  </si>
  <si>
    <t xml:space="preserve">     Connect Fee</t>
  </si>
  <si>
    <t>Reimbursed Expenses</t>
  </si>
  <si>
    <t>Plant Operations - Commodities</t>
  </si>
  <si>
    <t>Operations and Maintenance - Personal Services</t>
  </si>
  <si>
    <t>Operating Transfers to</t>
  </si>
  <si>
    <t>Equipment Reserve Fund</t>
  </si>
  <si>
    <t xml:space="preserve">Operations and Maintenance </t>
  </si>
  <si>
    <t>Transmission and Distribution</t>
  </si>
  <si>
    <t xml:space="preserve">     Reimbursed Expenses</t>
  </si>
  <si>
    <t>Operating Transfers To</t>
  </si>
  <si>
    <t>Bond and Interest Fund</t>
  </si>
  <si>
    <t xml:space="preserve">    Residential Sales</t>
  </si>
  <si>
    <t>Operating Expenditures</t>
  </si>
  <si>
    <t xml:space="preserve">     Commodities</t>
  </si>
  <si>
    <t xml:space="preserve">     Contractual Services</t>
  </si>
  <si>
    <t xml:space="preserve">     Capital Outlay</t>
  </si>
  <si>
    <t xml:space="preserve">Ad Valorem Tax </t>
  </si>
  <si>
    <t>Fund Names:</t>
  </si>
  <si>
    <t>Statute</t>
  </si>
  <si>
    <t>General</t>
  </si>
  <si>
    <t>Total</t>
  </si>
  <si>
    <t>Motor Vehicle Tax Estimate</t>
  </si>
  <si>
    <t>Recreational Vehicle Tax Estimate</t>
  </si>
  <si>
    <t>certify that: (1) the hearing mentioned in the attached publication was held;</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</si>
  <si>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</si>
  <si>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</si>
  <si>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</si>
  <si>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</si>
  <si>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Valuation Factor:</t>
  </si>
  <si>
    <t>Neighborhood Revitalization Subj to Rebate:</t>
  </si>
  <si>
    <t>Neighborhood Revitalization factor:</t>
  </si>
  <si>
    <t>The estimated value of one mill would be:</t>
  </si>
  <si>
    <t>Change in Ad Valorem Tax Revenue:</t>
  </si>
  <si>
    <t>What Mill Rate Would Be Desired?</t>
  </si>
  <si>
    <t>2012 Ad Valorem Tax:</t>
  </si>
  <si>
    <t>Franchise Tax</t>
  </si>
  <si>
    <t xml:space="preserve">Totals </t>
  </si>
  <si>
    <t>and hearing held.</t>
  </si>
  <si>
    <t xml:space="preserve">Must be at least 10 days between date published </t>
  </si>
  <si>
    <t>Does miscellaneous exceed 10% Total Rec</t>
  </si>
  <si>
    <t>Does miscellaneous exceed 10% Total Exp</t>
  </si>
  <si>
    <t>Housing Grants</t>
  </si>
  <si>
    <t>Security Deposits</t>
  </si>
  <si>
    <t>6:30 P.M.</t>
  </si>
  <si>
    <t>LaHarpe City Hall</t>
  </si>
  <si>
    <t>Capital Outlay</t>
  </si>
  <si>
    <t>Accounting and Auditing Department</t>
  </si>
  <si>
    <t>Housing Grant</t>
  </si>
  <si>
    <t>Dog Tags</t>
  </si>
  <si>
    <t>Building Rent</t>
  </si>
  <si>
    <t>Transfer to Equipment Reserve</t>
  </si>
  <si>
    <t>Police Car</t>
  </si>
  <si>
    <t>Sec Deposits Refunded</t>
  </si>
  <si>
    <t>Sec Deposits Received</t>
  </si>
  <si>
    <t>Sales Tax Received</t>
  </si>
  <si>
    <t>Sales Tax Paid</t>
  </si>
  <si>
    <t>Transfer from:</t>
  </si>
  <si>
    <t xml:space="preserve">  Electric Utility Fund</t>
  </si>
  <si>
    <t>Federal Grants</t>
  </si>
  <si>
    <t>August 10, 2011</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</si>
</sst>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0.000"/>
    <numFmt numFmtId="174" formatCode="[$-409]mmmm\ d\,\ yyyy;@"/>
    <numFmt numFmtId="175" formatCode="[$-409]h:mm\ AM/PM;@"/>
    <numFmt numFmtId="176" formatCode="&quot;$&quot;#,##0"/>
    <numFmt numFmtId="177" formatCode="#,###"/>
    <numFmt numFmtId="178" formatCode="&quot;Yes&quot;;&quot;Yes&quot;;&quot;No&quot;"/>
    <numFmt numFmtId="179" formatCode="&quot;True&quot;;&quot;True&quot;;&quot;False&quot;"/>
    <numFmt numFmtId="180" formatCode="&quot;On&quot;;&quot;On&quot;;&quot;Off&quot;"/>
  </numFmts>
  <fonts count="45">
    <font>
      <sz val="12"/>
      <name val="Courier"/>
      <family val="0"/>
    </font>
    <font>
      <sz val="11"/>
      <color indexed="8"/>
      <name val="Calibri"/>
      <family val="2"/>
    </font>
    <font>
      <b/>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8"/>
      <name val="Times New Roman"/>
      <family val="1"/>
    </font>
    <font>
      <sz val="12"/>
      <color indexed="10"/>
      <name val="Courier"/>
      <family val="3"/>
    </font>
    <font>
      <i/>
      <sz val="12"/>
      <name val="Times New Roman"/>
      <family val="1"/>
    </font>
    <font>
      <b/>
      <sz val="12"/>
      <color indexed="10"/>
      <name val="Times New Roman"/>
      <family val="1"/>
    </font>
    <font>
      <b/>
      <u val="single"/>
      <sz val="8"/>
      <color indexed="10"/>
      <name val="Times New Roman"/>
      <family val="1"/>
    </font>
    <font>
      <sz val="12"/>
      <name val="Courier New"/>
      <family val="3"/>
    </font>
    <font>
      <sz val="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u val="single"/>
      <sz val="8"/>
      <name val="Times New Roman"/>
      <family val="1"/>
    </font>
    <font>
      <u val="single"/>
      <sz val="12"/>
      <color indexed="10"/>
      <name val="Times New Roman"/>
      <family val="1"/>
    </font>
    <font>
      <sz val="9"/>
      <color indexed="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style="thin"/>
      <right/>
      <top/>
      <bottom/>
    </border>
    <border>
      <left/>
      <right style="thin"/>
      <top/>
      <bottom style="thin"/>
    </border>
    <border>
      <left/>
      <right style="thin"/>
      <top style="thin"/>
      <bottom style="thin"/>
    </border>
    <border>
      <left/>
      <right/>
      <top style="thin"/>
      <bottom/>
    </border>
    <border>
      <left style="thin"/>
      <right/>
      <top style="thin"/>
      <bottom style="thin"/>
    </border>
    <border>
      <left style="thin"/>
      <right style="thin"/>
      <top/>
      <bottom/>
    </border>
    <border>
      <left style="thin"/>
      <right/>
      <top/>
      <bottom style="thin"/>
    </border>
    <border>
      <left/>
      <right/>
      <top/>
      <bottom style="double"/>
    </border>
    <border>
      <left/>
      <right style="thin"/>
      <top style="thin"/>
      <bottom/>
    </border>
    <border>
      <left style="thin"/>
      <right style="thin"/>
      <top style="thin"/>
      <bottom style="double"/>
    </border>
    <border>
      <left style="thin"/>
      <right/>
      <top style="thin"/>
      <bottom/>
    </border>
    <border>
      <left/>
      <right style="thin"/>
      <top/>
      <bottom/>
    </border>
    <border>
      <left style="thin"/>
      <right style="thin"/>
      <top style="thin"/>
      <bottom style="medium"/>
    </border>
    <border>
      <left style="thin"/>
      <right style="thin"/>
      <top style="medium"/>
      <bottom style="double"/>
    </border>
    <border>
      <left style="thin"/>
      <right style="thin"/>
      <top style="medium"/>
      <bottom/>
    </border>
  </borders>
  <cellStyleXfs count="3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11"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35" fillId="15" borderId="0" applyNumberFormat="0" applyBorder="0" applyAlignment="0" applyProtection="0"/>
    <xf numFmtId="0" fontId="39" fillId="16" borderId="1" applyNumberFormat="0" applyAlignment="0" applyProtection="0"/>
    <xf numFmtId="0" fontId="4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4" fillId="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7" fillId="7" borderId="1" applyNumberFormat="0" applyAlignment="0" applyProtection="0"/>
    <xf numFmtId="0" fontId="40" fillId="0" borderId="6" applyNumberFormat="0" applyFill="0" applyAlignment="0" applyProtection="0"/>
    <xf numFmtId="0" fontId="36" fillId="7"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38" fillId="16"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43" fillId="0" borderId="9" applyNumberFormat="0" applyFill="0" applyAlignment="0" applyProtection="0"/>
    <xf numFmtId="0" fontId="40" fillId="0" borderId="0" applyNumberFormat="0" applyFill="0" applyBorder="0" applyAlignment="0" applyProtection="0"/>
  </cellStyleXfs>
  <cellXfs count="537">
    <xf numFmtId="0" fontId="0" fillId="0" borderId="0" xfId="0" applyAlignment="1">
      <alignment/>
    </xf>
    <xf numFmtId="0" fontId="4" fillId="0" borderId="0" xfId="0" applyFont="1" applyAlignment="1">
      <alignment/>
    </xf>
    <xf numFmtId="0" fontId="9" fillId="0" borderId="0" xfId="0" applyFont="1" applyAlignment="1">
      <alignment vertical="justify" wrapText="1"/>
    </xf>
    <xf numFmtId="0" fontId="0" fillId="0" borderId="0" xfId="0" applyAlignment="1">
      <alignment vertical="justify" wrapText="1"/>
    </xf>
    <xf numFmtId="0" fontId="4" fillId="0" borderId="0" xfId="0" applyFont="1" applyAlignment="1">
      <alignment horizontal="left" vertical="justify" wrapText="1"/>
    </xf>
    <xf numFmtId="0" fontId="4" fillId="0" borderId="0" xfId="0" applyFont="1" applyAlignment="1" applyProtection="1">
      <alignment horizontal="left" vertical="justify"/>
      <protection locked="0"/>
    </xf>
    <xf numFmtId="0" fontId="4" fillId="0" borderId="0" xfId="0" applyFont="1" applyAlignment="1">
      <alignment vertical="justify" wrapText="1"/>
    </xf>
    <xf numFmtId="0" fontId="4" fillId="0" borderId="0" xfId="0" applyFont="1" applyAlignment="1">
      <alignment vertical="center"/>
    </xf>
    <xf numFmtId="0" fontId="4" fillId="14" borderId="0" xfId="0" applyFont="1" applyFill="1" applyAlignment="1">
      <alignment vertical="center"/>
    </xf>
    <xf numFmtId="37" fontId="11"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0" borderId="0" xfId="0" applyFont="1" applyAlignment="1" applyProtection="1">
      <alignment vertical="center"/>
      <protection locked="0"/>
    </xf>
    <xf numFmtId="37" fontId="3" fillId="4" borderId="0" xfId="0" applyNumberFormat="1" applyFont="1" applyFill="1" applyAlignment="1" applyProtection="1">
      <alignment horizontal="left" vertical="center"/>
      <protection/>
    </xf>
    <xf numFmtId="37" fontId="4" fillId="18" borderId="10" xfId="0" applyNumberFormat="1" applyFont="1" applyFill="1" applyBorder="1" applyAlignment="1" applyProtection="1">
      <alignment horizontal="left" vertical="center"/>
      <protection locked="0"/>
    </xf>
    <xf numFmtId="0" fontId="4" fillId="18" borderId="10" xfId="0" applyFont="1" applyFill="1" applyBorder="1" applyAlignment="1" applyProtection="1">
      <alignment vertical="center"/>
      <protection/>
    </xf>
    <xf numFmtId="37" fontId="4" fillId="18" borderId="11" xfId="0" applyNumberFormat="1" applyFont="1" applyFill="1" applyBorder="1" applyAlignment="1" applyProtection="1">
      <alignment horizontal="left" vertical="center"/>
      <protection locked="0"/>
    </xf>
    <xf numFmtId="0" fontId="4" fillId="18" borderId="11" xfId="0"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37" fontId="4" fillId="4" borderId="0" xfId="0" applyNumberFormat="1" applyFont="1" applyFill="1" applyAlignment="1" applyProtection="1">
      <alignment horizontal="left" vertical="center"/>
      <protection locked="0"/>
    </xf>
    <xf numFmtId="0" fontId="3" fillId="18" borderId="12" xfId="0" applyFont="1" applyFill="1" applyBorder="1" applyAlignment="1" applyProtection="1">
      <alignment horizontal="center" vertical="center"/>
      <protection locked="0"/>
    </xf>
    <xf numFmtId="37" fontId="3"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37" fontId="4" fillId="4" borderId="0" xfId="0" applyNumberFormat="1" applyFont="1" applyFill="1" applyAlignment="1" applyProtection="1">
      <alignment horizontal="centerContinuous" vertical="center"/>
      <protection/>
    </xf>
    <xf numFmtId="37" fontId="13" fillId="4" borderId="0" xfId="0" applyNumberFormat="1" applyFont="1" applyFill="1" applyAlignment="1" applyProtection="1">
      <alignment horizontal="center" vertical="center"/>
      <protection/>
    </xf>
    <xf numFmtId="0" fontId="3"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3"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5" fillId="4" borderId="0" xfId="0" applyFont="1" applyFill="1" applyAlignment="1" applyProtection="1">
      <alignment horizontal="center" vertical="center"/>
      <protection/>
    </xf>
    <xf numFmtId="0" fontId="3" fillId="4" borderId="0" xfId="0" applyFont="1" applyFill="1" applyAlignment="1" applyProtection="1">
      <alignment vertical="center"/>
      <protection/>
    </xf>
    <xf numFmtId="0" fontId="5" fillId="19" borderId="13" xfId="0" applyFont="1" applyFill="1" applyBorder="1" applyAlignment="1" applyProtection="1">
      <alignment horizontal="center" vertical="center"/>
      <protection locked="0"/>
    </xf>
    <xf numFmtId="0" fontId="5" fillId="21" borderId="13" xfId="0" applyFont="1" applyFill="1" applyBorder="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19" borderId="14" xfId="0" applyFont="1" applyFill="1" applyBorder="1" applyAlignment="1" applyProtection="1">
      <alignment horizontal="center" vertical="center"/>
      <protection locked="0"/>
    </xf>
    <xf numFmtId="37" fontId="4" fillId="21" borderId="14" xfId="0" applyNumberFormat="1"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0" fontId="4" fillId="4" borderId="12" xfId="0" applyFont="1" applyFill="1" applyBorder="1" applyAlignment="1" applyProtection="1">
      <alignment vertical="center"/>
      <protection/>
    </xf>
    <xf numFmtId="3" fontId="4" fillId="18" borderId="12" xfId="0" applyNumberFormat="1"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3" fontId="4" fillId="4" borderId="0" xfId="0" applyNumberFormat="1" applyFont="1" applyFill="1" applyAlignment="1" applyProtection="1">
      <alignment vertical="center"/>
      <protection/>
    </xf>
    <xf numFmtId="171" fontId="4" fillId="4" borderId="0"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0" fontId="4" fillId="18" borderId="12" xfId="0" applyFont="1" applyFill="1" applyBorder="1" applyAlignment="1" applyProtection="1">
      <alignment vertical="center"/>
      <protection locked="0"/>
    </xf>
    <xf numFmtId="37" fontId="4" fillId="4" borderId="10" xfId="0" applyNumberFormat="1"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0" xfId="0" applyFont="1" applyFill="1" applyBorder="1" applyAlignment="1" applyProtection="1">
      <alignment vertical="center"/>
      <protection/>
    </xf>
    <xf numFmtId="164" fontId="4" fillId="18" borderId="12" xfId="0" applyNumberFormat="1" applyFont="1" applyFill="1" applyBorder="1" applyAlignment="1" applyProtection="1">
      <alignment vertical="center"/>
      <protection locked="0"/>
    </xf>
    <xf numFmtId="37" fontId="4" fillId="4" borderId="0" xfId="0" applyNumberFormat="1" applyFont="1" applyFill="1" applyBorder="1" applyAlignment="1" applyProtection="1">
      <alignment horizontal="left" vertical="center"/>
      <protection/>
    </xf>
    <xf numFmtId="0" fontId="4" fillId="4" borderId="15" xfId="0"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4" borderId="0" xfId="0" applyNumberFormat="1" applyFont="1" applyFill="1" applyBorder="1" applyAlignment="1" applyProtection="1">
      <alignment horizontal="right" vertical="center"/>
      <protection/>
    </xf>
    <xf numFmtId="37" fontId="4" fillId="19" borderId="0" xfId="0" applyNumberFormat="1" applyFont="1" applyFill="1" applyAlignment="1" applyProtection="1">
      <alignment horizontal="center" vertical="center"/>
      <protection/>
    </xf>
    <xf numFmtId="37" fontId="3" fillId="19" borderId="0" xfId="0" applyNumberFormat="1" applyFont="1" applyFill="1" applyAlignment="1" applyProtection="1">
      <alignment horizontal="left" vertical="center"/>
      <protection/>
    </xf>
    <xf numFmtId="0" fontId="4" fillId="19" borderId="10" xfId="0" applyFont="1" applyFill="1" applyBorder="1" applyAlignment="1">
      <alignment horizontal="center" vertical="center"/>
    </xf>
    <xf numFmtId="37" fontId="4" fillId="4" borderId="12" xfId="0" applyNumberFormat="1" applyFont="1" applyFill="1" applyBorder="1" applyAlignment="1" applyProtection="1">
      <alignment vertical="center"/>
      <protection/>
    </xf>
    <xf numFmtId="0" fontId="4" fillId="4" borderId="14" xfId="0" applyFont="1" applyFill="1" applyBorder="1" applyAlignment="1" applyProtection="1">
      <alignment vertical="center"/>
      <protection/>
    </xf>
    <xf numFmtId="171" fontId="4" fillId="18" borderId="12" xfId="0" applyNumberFormat="1" applyFont="1" applyFill="1" applyBorder="1" applyAlignment="1" applyProtection="1">
      <alignment vertical="center"/>
      <protection locked="0"/>
    </xf>
    <xf numFmtId="171" fontId="4" fillId="7" borderId="12" xfId="0" applyNumberFormat="1" applyFont="1" applyFill="1" applyBorder="1" applyAlignment="1" applyProtection="1">
      <alignment vertical="center"/>
      <protection/>
    </xf>
    <xf numFmtId="37" fontId="4" fillId="19" borderId="10" xfId="0" applyNumberFormat="1" applyFont="1" applyFill="1" applyBorder="1" applyAlignment="1" applyProtection="1">
      <alignment horizontal="left" vertical="center"/>
      <protection/>
    </xf>
    <xf numFmtId="0" fontId="4" fillId="19" borderId="10" xfId="0" applyFont="1" applyFill="1" applyBorder="1" applyAlignment="1" applyProtection="1">
      <alignment vertical="center"/>
      <protection/>
    </xf>
    <xf numFmtId="0" fontId="4" fillId="4" borderId="16" xfId="0" applyFont="1" applyFill="1" applyBorder="1" applyAlignment="1" applyProtection="1">
      <alignment vertical="center"/>
      <protection/>
    </xf>
    <xf numFmtId="0" fontId="4" fillId="19" borderId="11"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17" xfId="0" applyFont="1" applyFill="1" applyBorder="1" applyAlignment="1" applyProtection="1">
      <alignment vertical="center"/>
      <protection/>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0" fontId="4" fillId="4" borderId="16" xfId="0" applyFont="1" applyFill="1" applyBorder="1" applyAlignment="1" applyProtection="1">
      <alignment vertical="center"/>
      <protection locked="0"/>
    </xf>
    <xf numFmtId="0" fontId="4" fillId="4" borderId="17" xfId="0" applyFont="1" applyFill="1" applyBorder="1" applyAlignment="1" applyProtection="1">
      <alignment vertical="center"/>
      <protection locked="0"/>
    </xf>
    <xf numFmtId="0" fontId="0" fillId="0" borderId="0" xfId="0" applyAlignment="1">
      <alignment vertical="center"/>
    </xf>
    <xf numFmtId="37" fontId="4" fillId="4" borderId="0" xfId="0" applyNumberFormat="1" applyFont="1" applyFill="1" applyAlignment="1">
      <alignment vertical="center"/>
    </xf>
    <xf numFmtId="0" fontId="0" fillId="4" borderId="0" xfId="0" applyFill="1" applyAlignment="1">
      <alignment vertical="center"/>
    </xf>
    <xf numFmtId="0" fontId="4" fillId="4" borderId="0" xfId="0" applyFont="1" applyFill="1" applyAlignment="1">
      <alignment vertical="center"/>
    </xf>
    <xf numFmtId="37" fontId="4" fillId="4" borderId="11" xfId="0" applyNumberFormat="1" applyFont="1" applyFill="1" applyBorder="1" applyAlignment="1" applyProtection="1">
      <alignment horizontal="left" vertical="center"/>
      <protection/>
    </xf>
    <xf numFmtId="37" fontId="4" fillId="18" borderId="12" xfId="0" applyNumberFormat="1" applyFont="1" applyFill="1" applyBorder="1" applyAlignment="1" applyProtection="1">
      <alignment vertical="center"/>
      <protection locked="0"/>
    </xf>
    <xf numFmtId="37" fontId="3" fillId="4" borderId="11" xfId="0" applyNumberFormat="1" applyFont="1" applyFill="1" applyBorder="1" applyAlignment="1" applyProtection="1">
      <alignment horizontal="left" vertical="center"/>
      <protection/>
    </xf>
    <xf numFmtId="0" fontId="0" fillId="4" borderId="0" xfId="0" applyFill="1" applyAlignment="1" applyProtection="1">
      <alignment vertical="center"/>
      <protection/>
    </xf>
    <xf numFmtId="0" fontId="11" fillId="4" borderId="0" xfId="0" applyFont="1" applyFill="1" applyBorder="1" applyAlignment="1" applyProtection="1">
      <alignment horizontal="center" vertical="center"/>
      <protection/>
    </xf>
    <xf numFmtId="171" fontId="4" fillId="18" borderId="10" xfId="0" applyNumberFormat="1" applyFont="1" applyFill="1" applyBorder="1" applyAlignment="1" applyProtection="1">
      <alignment vertical="center"/>
      <protection locked="0"/>
    </xf>
    <xf numFmtId="171" fontId="4" fillId="18" borderId="11" xfId="0" applyNumberFormat="1" applyFont="1" applyFill="1" applyBorder="1" applyAlignment="1" applyProtection="1">
      <alignment vertical="center"/>
      <protection locked="0"/>
    </xf>
    <xf numFmtId="0" fontId="4" fillId="4" borderId="18" xfId="0" applyFont="1" applyFill="1" applyBorder="1" applyAlignment="1" applyProtection="1">
      <alignment vertical="center"/>
      <protection/>
    </xf>
    <xf numFmtId="171" fontId="4" fillId="18" borderId="18" xfId="0" applyNumberFormat="1" applyFont="1" applyFill="1" applyBorder="1" applyAlignment="1" applyProtection="1">
      <alignment vertical="center"/>
      <protection locked="0"/>
    </xf>
    <xf numFmtId="0" fontId="0" fillId="4" borderId="16" xfId="0" applyFill="1" applyBorder="1" applyAlignment="1" applyProtection="1">
      <alignment vertical="center"/>
      <protection/>
    </xf>
    <xf numFmtId="0" fontId="0" fillId="4" borderId="10" xfId="0" applyFill="1" applyBorder="1" applyAlignment="1" applyProtection="1">
      <alignment vertical="center"/>
      <protection/>
    </xf>
    <xf numFmtId="3" fontId="4" fillId="19" borderId="0" xfId="0" applyNumberFormat="1" applyFont="1" applyFill="1" applyAlignment="1" applyProtection="1">
      <alignment vertical="center"/>
      <protection/>
    </xf>
    <xf numFmtId="3" fontId="4" fillId="4" borderId="16"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171"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72" fontId="4" fillId="14" borderId="0" xfId="0" applyNumberFormat="1" applyFont="1" applyFill="1" applyBorder="1" applyAlignment="1" applyProtection="1">
      <alignment vertical="center"/>
      <protection locked="0"/>
    </xf>
    <xf numFmtId="0" fontId="3" fillId="19" borderId="0" xfId="0" applyFont="1" applyFill="1" applyAlignment="1">
      <alignment vertical="center"/>
    </xf>
    <xf numFmtId="0" fontId="2" fillId="19" borderId="0" xfId="0" applyFont="1" applyFill="1" applyAlignment="1">
      <alignment vertical="center"/>
    </xf>
    <xf numFmtId="0" fontId="0" fillId="19" borderId="0" xfId="0" applyFill="1" applyAlignment="1" applyProtection="1">
      <alignment vertical="center"/>
      <protection locked="0"/>
    </xf>
    <xf numFmtId="0" fontId="4" fillId="4" borderId="10" xfId="0" applyFont="1" applyFill="1" applyBorder="1" applyAlignment="1">
      <alignment vertical="center"/>
    </xf>
    <xf numFmtId="0" fontId="0" fillId="4" borderId="10" xfId="0" applyFill="1" applyBorder="1" applyAlignment="1">
      <alignment vertical="center"/>
    </xf>
    <xf numFmtId="0" fontId="0" fillId="4" borderId="16" xfId="0" applyFill="1" applyBorder="1" applyAlignment="1">
      <alignment vertical="center"/>
    </xf>
    <xf numFmtId="0" fontId="4" fillId="4" borderId="11" xfId="0" applyFont="1" applyFill="1" applyBorder="1" applyAlignment="1">
      <alignment vertical="center"/>
    </xf>
    <xf numFmtId="0" fontId="0" fillId="4" borderId="11" xfId="0" applyFill="1" applyBorder="1" applyAlignment="1">
      <alignment vertical="center"/>
    </xf>
    <xf numFmtId="0" fontId="0" fillId="4" borderId="17" xfId="0" applyFill="1" applyBorder="1" applyAlignment="1">
      <alignment vertical="center"/>
    </xf>
    <xf numFmtId="0" fontId="0" fillId="14" borderId="0" xfId="0" applyFill="1" applyAlignment="1">
      <alignment vertical="center"/>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15" fillId="4" borderId="0" xfId="0" applyFont="1" applyFill="1" applyAlignment="1">
      <alignment vertical="center"/>
    </xf>
    <xf numFmtId="0" fontId="17" fillId="4" borderId="0" xfId="0" applyFont="1" applyFill="1" applyAlignment="1">
      <alignment vertical="center"/>
    </xf>
    <xf numFmtId="37" fontId="4" fillId="4" borderId="12" xfId="0" applyNumberFormat="1" applyFont="1" applyFill="1" applyBorder="1" applyAlignment="1">
      <alignment vertical="center"/>
    </xf>
    <xf numFmtId="0" fontId="4" fillId="4" borderId="0" xfId="0" applyFont="1" applyFill="1" applyAlignment="1" applyProtection="1">
      <alignment horizontal="right" vertical="center"/>
      <protection/>
    </xf>
    <xf numFmtId="37" fontId="4" fillId="4" borderId="19" xfId="0" applyNumberFormat="1"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37" fontId="4" fillId="4" borderId="10" xfId="0" applyNumberFormat="1" applyFont="1" applyFill="1" applyBorder="1" applyAlignment="1" applyProtection="1">
      <alignment horizontal="fill" vertical="center"/>
      <protection/>
    </xf>
    <xf numFmtId="37" fontId="4" fillId="4" borderId="13" xfId="0" applyNumberFormat="1" applyFont="1" applyFill="1" applyBorder="1" applyAlignment="1" applyProtection="1">
      <alignment horizontal="left" vertical="center"/>
      <protection/>
    </xf>
    <xf numFmtId="37" fontId="4" fillId="4" borderId="13"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37" fontId="3" fillId="4" borderId="10"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center" vertical="center"/>
      <protection/>
    </xf>
    <xf numFmtId="0" fontId="4" fillId="4" borderId="14" xfId="0" applyFont="1" applyFill="1" applyBorder="1" applyAlignment="1" applyProtection="1">
      <alignment horizontal="center" vertical="center"/>
      <protection/>
    </xf>
    <xf numFmtId="37" fontId="4" fillId="4" borderId="19" xfId="0" applyNumberFormat="1" applyFont="1" applyFill="1" applyBorder="1" applyAlignment="1" applyProtection="1">
      <alignment horizontal="left" vertical="center"/>
      <protection/>
    </xf>
    <xf numFmtId="37" fontId="4" fillId="4" borderId="12" xfId="0" applyNumberFormat="1" applyFont="1" applyFill="1" applyBorder="1" applyAlignment="1" applyProtection="1">
      <alignment horizontal="center" vertical="center"/>
      <protection/>
    </xf>
    <xf numFmtId="0" fontId="4" fillId="4" borderId="13" xfId="0"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11" fillId="4" borderId="19" xfId="0" applyNumberFormat="1" applyFont="1" applyFill="1" applyBorder="1" applyAlignment="1" applyProtection="1">
      <alignment horizontal="left" vertical="center"/>
      <protection/>
    </xf>
    <xf numFmtId="37" fontId="11" fillId="4" borderId="17"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center" vertical="center"/>
      <protection/>
    </xf>
    <xf numFmtId="37" fontId="4" fillId="7" borderId="12"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21" xfId="0" applyNumberFormat="1" applyFont="1" applyFill="1" applyBorder="1" applyAlignment="1" applyProtection="1">
      <alignment vertical="center"/>
      <protection/>
    </xf>
    <xf numFmtId="37" fontId="4" fillId="4" borderId="21" xfId="0" applyNumberFormat="1" applyFont="1" applyFill="1" applyBorder="1" applyAlignment="1" applyProtection="1">
      <alignment horizontal="left" vertical="center"/>
      <protection/>
    </xf>
    <xf numFmtId="0" fontId="8" fillId="4" borderId="0" xfId="0" applyFont="1" applyFill="1" applyBorder="1" applyAlignment="1" applyProtection="1">
      <alignment vertical="center" shrinkToFit="1"/>
      <protection/>
    </xf>
    <xf numFmtId="37" fontId="4" fillId="22" borderId="12" xfId="0" applyNumberFormat="1" applyFont="1" applyFill="1" applyBorder="1" applyAlignment="1" applyProtection="1">
      <alignment horizontal="left" vertical="center"/>
      <protection/>
    </xf>
    <xf numFmtId="0" fontId="4" fillId="22" borderId="12" xfId="0" applyFont="1" applyFill="1" applyBorder="1" applyAlignment="1" applyProtection="1">
      <alignment vertical="center"/>
      <protection/>
    </xf>
    <xf numFmtId="37" fontId="4" fillId="22" borderId="12" xfId="0" applyNumberFormat="1" applyFont="1" applyFill="1" applyBorder="1" applyAlignment="1" applyProtection="1">
      <alignment vertical="center"/>
      <protection/>
    </xf>
    <xf numFmtId="0" fontId="4" fillId="4" borderId="0" xfId="0" applyFont="1" applyFill="1" applyBorder="1" applyAlignment="1" applyProtection="1">
      <alignment vertical="center"/>
      <protection locked="0"/>
    </xf>
    <xf numFmtId="37" fontId="4" fillId="4" borderId="0" xfId="0" applyNumberFormat="1" applyFont="1" applyFill="1" applyAlignment="1" applyProtection="1">
      <alignment horizontal="right" vertical="center"/>
      <protection/>
    </xf>
    <xf numFmtId="37" fontId="4" fillId="4" borderId="10" xfId="0" applyNumberFormat="1" applyFont="1" applyFill="1" applyBorder="1" applyAlignment="1" applyProtection="1">
      <alignment horizontal="fill" vertical="center"/>
      <protection locked="0"/>
    </xf>
    <xf numFmtId="0" fontId="4" fillId="4" borderId="0" xfId="0" applyFont="1" applyFill="1" applyBorder="1" applyAlignment="1" applyProtection="1">
      <alignment horizontal="right" vertical="center"/>
      <protection/>
    </xf>
    <xf numFmtId="0" fontId="4" fillId="4" borderId="0" xfId="0" applyFont="1" applyFill="1" applyAlignment="1" applyProtection="1">
      <alignment horizontal="left" vertical="center"/>
      <protection/>
    </xf>
    <xf numFmtId="0" fontId="4" fillId="4" borderId="0" xfId="0" applyFont="1" applyFill="1" applyAlignment="1" applyProtection="1">
      <alignment horizontal="center" vertical="center"/>
      <protection/>
    </xf>
    <xf numFmtId="37" fontId="4" fillId="4" borderId="0" xfId="0" applyNumberFormat="1" applyFont="1" applyFill="1" applyAlignment="1" applyProtection="1">
      <alignment vertical="center"/>
      <protection/>
    </xf>
    <xf numFmtId="0" fontId="3" fillId="4" borderId="0" xfId="0" applyFont="1" applyFill="1" applyAlignment="1" applyProtection="1">
      <alignment horizontal="center" vertical="center"/>
      <protection/>
    </xf>
    <xf numFmtId="0" fontId="3" fillId="4" borderId="0" xfId="0" applyFont="1" applyFill="1" applyAlignment="1" applyProtection="1">
      <alignment horizontal="center" vertical="center" wrapText="1"/>
      <protection/>
    </xf>
    <xf numFmtId="0" fontId="4" fillId="4" borderId="0" xfId="0" applyFont="1" applyFill="1" applyAlignment="1" applyProtection="1" quotePrefix="1">
      <alignment horizontal="righ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0" fontId="4" fillId="4" borderId="0" xfId="0" applyFont="1" applyFill="1" applyAlignment="1" applyProtection="1" quotePrefix="1">
      <alignment vertical="center"/>
      <protection/>
    </xf>
    <xf numFmtId="3" fontId="4" fillId="4" borderId="18" xfId="0" applyNumberFormat="1" applyFont="1" applyFill="1" applyBorder="1" applyAlignment="1" applyProtection="1">
      <alignment vertical="center"/>
      <protection/>
    </xf>
    <xf numFmtId="167"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2" xfId="0" applyNumberFormat="1" applyFont="1" applyFill="1" applyBorder="1" applyAlignment="1" applyProtection="1">
      <alignment vertical="center"/>
      <protection/>
    </xf>
    <xf numFmtId="3" fontId="4" fillId="4" borderId="10" xfId="42" applyNumberFormat="1" applyFont="1" applyFill="1" applyBorder="1" applyAlignment="1" applyProtection="1">
      <alignment vertical="center"/>
      <protection/>
    </xf>
    <xf numFmtId="0" fontId="6" fillId="0" borderId="0" xfId="0" applyFont="1" applyAlignment="1">
      <alignment vertical="center"/>
    </xf>
    <xf numFmtId="0" fontId="4" fillId="4" borderId="10" xfId="0" applyFont="1" applyFill="1" applyBorder="1" applyAlignment="1" applyProtection="1">
      <alignment horizontal="centerContinuous" vertical="center"/>
      <protection/>
    </xf>
    <xf numFmtId="0" fontId="4" fillId="4" borderId="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0" xfId="0" applyNumberFormat="1" applyFont="1" applyFill="1" applyBorder="1" applyAlignment="1" applyProtection="1">
      <alignment horizontal="center" vertical="center"/>
      <protection/>
    </xf>
    <xf numFmtId="37" fontId="4" fillId="7" borderId="24" xfId="0" applyNumberFormat="1" applyFont="1" applyFill="1" applyBorder="1" applyAlignment="1" applyProtection="1">
      <alignment horizontal="center" vertical="center"/>
      <protection/>
    </xf>
    <xf numFmtId="166" fontId="4" fillId="4" borderId="0" xfId="0" applyNumberFormat="1" applyFont="1" applyFill="1" applyAlignment="1" applyProtection="1">
      <alignment vertical="center"/>
      <protection/>
    </xf>
    <xf numFmtId="37" fontId="4" fillId="4" borderId="10"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5" fontId="4" fillId="7" borderId="10" xfId="0" applyNumberFormat="1" applyFont="1" applyFill="1" applyBorder="1" applyAlignment="1" applyProtection="1">
      <alignment vertical="center"/>
      <protection/>
    </xf>
    <xf numFmtId="0" fontId="4"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xf>
    <xf numFmtId="0" fontId="3" fillId="4" borderId="13" xfId="0" applyFont="1" applyFill="1" applyBorder="1" applyAlignment="1" applyProtection="1">
      <alignment horizontal="center" vertical="center"/>
      <protection/>
    </xf>
    <xf numFmtId="0" fontId="3" fillId="4" borderId="20" xfId="0" applyFont="1" applyFill="1" applyBorder="1" applyAlignment="1" applyProtection="1">
      <alignment horizontal="center" vertical="center"/>
      <protection/>
    </xf>
    <xf numFmtId="0" fontId="3"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18" borderId="12"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4" borderId="12" xfId="0" applyFont="1" applyFill="1" applyBorder="1" applyAlignment="1" applyProtection="1">
      <alignment horizontal="center" vertical="center"/>
      <protection/>
    </xf>
    <xf numFmtId="3" fontId="4" fillId="4" borderId="12" xfId="0" applyNumberFormat="1" applyFont="1" applyFill="1" applyBorder="1" applyAlignment="1" applyProtection="1">
      <alignment horizontal="center" vertical="center"/>
      <protection/>
    </xf>
    <xf numFmtId="37" fontId="3" fillId="4" borderId="12" xfId="0" applyNumberFormat="1" applyFont="1" applyFill="1" applyBorder="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0" fontId="3" fillId="4" borderId="0" xfId="329" applyFont="1" applyFill="1" applyAlignment="1" applyProtection="1">
      <alignment horizontal="centerContinuous" vertical="center"/>
      <protection/>
    </xf>
    <xf numFmtId="0" fontId="4" fillId="4" borderId="10" xfId="0" applyFont="1" applyFill="1" applyBorder="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3" xfId="0" applyFont="1" applyFill="1" applyBorder="1" applyAlignment="1" applyProtection="1">
      <alignment horizontal="centerContinuous" vertical="center"/>
      <protection/>
    </xf>
    <xf numFmtId="1" fontId="4" fillId="4" borderId="21"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2" fontId="4" fillId="4" borderId="12" xfId="0" applyNumberFormat="1"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2" fontId="4" fillId="18" borderId="12" xfId="0" applyNumberFormat="1" applyFont="1" applyFill="1" applyBorder="1" applyAlignment="1" applyProtection="1">
      <alignment horizontal="center" vertical="center"/>
      <protection locked="0"/>
    </xf>
    <xf numFmtId="3" fontId="4" fillId="18" borderId="12" xfId="0" applyNumberFormat="1" applyFont="1" applyFill="1" applyBorder="1" applyAlignment="1" applyProtection="1">
      <alignment horizontal="center" vertical="center"/>
      <protection locked="0"/>
    </xf>
    <xf numFmtId="37" fontId="4" fillId="18" borderId="12" xfId="0" applyNumberFormat="1" applyFont="1" applyFill="1" applyBorder="1" applyAlignment="1" applyProtection="1">
      <alignment horizontal="center" vertical="center"/>
      <protection locked="0"/>
    </xf>
    <xf numFmtId="169" fontId="4" fillId="18" borderId="12" xfId="0" applyNumberFormat="1" applyFont="1" applyFill="1" applyBorder="1" applyAlignment="1" applyProtection="1">
      <alignment horizontal="center" vertical="center"/>
      <protection locked="0"/>
    </xf>
    <xf numFmtId="0" fontId="3" fillId="4" borderId="12" xfId="0" applyFont="1" applyFill="1" applyBorder="1" applyAlignment="1" applyProtection="1">
      <alignment horizontal="left" vertical="center"/>
      <protection/>
    </xf>
    <xf numFmtId="168" fontId="3" fillId="4" borderId="12" xfId="0" applyNumberFormat="1" applyFont="1" applyFill="1" applyBorder="1" applyAlignment="1" applyProtection="1">
      <alignment horizontal="center" vertical="center"/>
      <protection/>
    </xf>
    <xf numFmtId="2" fontId="3" fillId="4" borderId="12" xfId="0" applyNumberFormat="1" applyFont="1" applyFill="1" applyBorder="1" applyAlignment="1" applyProtection="1">
      <alignment horizontal="center" vertical="center"/>
      <protection/>
    </xf>
    <xf numFmtId="3" fontId="3" fillId="4" borderId="12" xfId="0" applyNumberFormat="1" applyFont="1" applyFill="1" applyBorder="1" applyAlignment="1" applyProtection="1">
      <alignment horizontal="center" vertical="center"/>
      <protection/>
    </xf>
    <xf numFmtId="37" fontId="3" fillId="7" borderId="12" xfId="0" applyNumberFormat="1" applyFont="1" applyFill="1" applyBorder="1" applyAlignment="1" applyProtection="1">
      <alignment horizontal="center" vertical="center"/>
      <protection/>
    </xf>
    <xf numFmtId="169" fontId="3" fillId="4" borderId="12" xfId="0" applyNumberFormat="1" applyFont="1" applyFill="1" applyBorder="1" applyAlignment="1" applyProtection="1">
      <alignment horizontal="center" vertical="center"/>
      <protection/>
    </xf>
    <xf numFmtId="168" fontId="4" fillId="4" borderId="12" xfId="0" applyNumberFormat="1" applyFont="1" applyFill="1" applyBorder="1" applyAlignment="1" applyProtection="1">
      <alignment horizontal="center" vertical="center"/>
      <protection/>
    </xf>
    <xf numFmtId="2" fontId="4" fillId="4" borderId="12" xfId="0" applyNumberFormat="1" applyFont="1" applyFill="1" applyBorder="1" applyAlignment="1" applyProtection="1">
      <alignment horizontal="center" vertical="center"/>
      <protection/>
    </xf>
    <xf numFmtId="169" fontId="4" fillId="4" borderId="12" xfId="0" applyNumberFormat="1" applyFont="1" applyFill="1" applyBorder="1" applyAlignment="1" applyProtection="1">
      <alignment horizontal="center" vertical="center"/>
      <protection/>
    </xf>
    <xf numFmtId="1" fontId="3" fillId="4" borderId="12" xfId="0" applyNumberFormat="1" applyFont="1" applyFill="1" applyBorder="1" applyAlignment="1" applyProtection="1">
      <alignment horizontal="center" vertical="center"/>
      <protection/>
    </xf>
    <xf numFmtId="3" fontId="3" fillId="7" borderId="12" xfId="0" applyNumberFormat="1"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4" borderId="0" xfId="0" applyNumberFormat="1" applyFont="1" applyFill="1" applyAlignment="1" applyProtection="1">
      <alignment horizontal="right" vertical="center"/>
      <protection/>
    </xf>
    <xf numFmtId="0" fontId="4" fillId="4" borderId="10"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4" fontId="4" fillId="4" borderId="14" xfId="0" applyNumberFormat="1" applyFont="1" applyFill="1" applyBorder="1" applyAlignment="1" applyProtection="1" quotePrefix="1">
      <alignment horizontal="center" vertical="center"/>
      <protection/>
    </xf>
    <xf numFmtId="0" fontId="4" fillId="18" borderId="12" xfId="0" applyFont="1" applyFill="1" applyBorder="1" applyAlignment="1" applyProtection="1">
      <alignment horizontal="center" vertical="center"/>
      <protection locked="0"/>
    </xf>
    <xf numFmtId="1" fontId="4" fillId="18" borderId="12" xfId="0" applyNumberFormat="1" applyFont="1" applyFill="1" applyBorder="1" applyAlignment="1" applyProtection="1">
      <alignment horizontal="center" vertical="center"/>
      <protection locked="0"/>
    </xf>
    <xf numFmtId="0" fontId="3" fillId="4" borderId="0" xfId="0" applyFont="1" applyFill="1" applyAlignment="1" applyProtection="1">
      <alignment horizontal="left" vertical="center"/>
      <protection/>
    </xf>
    <xf numFmtId="3" fontId="3" fillId="7" borderId="24" xfId="0" applyNumberFormat="1" applyFont="1" applyFill="1" applyBorder="1" applyAlignment="1" applyProtection="1">
      <alignment horizontal="center" vertical="center"/>
      <protection/>
    </xf>
    <xf numFmtId="0" fontId="4" fillId="14" borderId="0" xfId="328" applyFont="1" applyFill="1" applyAlignment="1" applyProtection="1">
      <alignment vertical="center"/>
      <protection/>
    </xf>
    <xf numFmtId="0" fontId="4" fillId="14" borderId="0" xfId="0" applyFont="1" applyFill="1" applyAlignment="1" applyProtection="1">
      <alignment vertical="center"/>
      <protection/>
    </xf>
    <xf numFmtId="0" fontId="4" fillId="4" borderId="0" xfId="0" applyFont="1" applyFill="1" applyBorder="1" applyAlignment="1" applyProtection="1">
      <alignment horizontal="fill" vertical="center"/>
      <protection/>
    </xf>
    <xf numFmtId="0" fontId="4" fillId="4" borderId="14" xfId="0" applyNumberFormat="1" applyFont="1" applyFill="1" applyBorder="1" applyAlignment="1" applyProtection="1">
      <alignment horizontal="center" vertical="center"/>
      <protection/>
    </xf>
    <xf numFmtId="0" fontId="4" fillId="4" borderId="19" xfId="0" applyFont="1" applyFill="1" applyBorder="1" applyAlignment="1" applyProtection="1">
      <alignment horizontal="left" vertical="center"/>
      <protection/>
    </xf>
    <xf numFmtId="3" fontId="4" fillId="18" borderId="19" xfId="0" applyNumberFormat="1"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18" borderId="19" xfId="0" applyNumberFormat="1" applyFont="1" applyFill="1" applyBorder="1" applyAlignment="1" applyProtection="1">
      <alignment vertical="center"/>
      <protection locked="0"/>
    </xf>
    <xf numFmtId="37" fontId="4" fillId="4" borderId="12" xfId="0" applyNumberFormat="1" applyFont="1" applyFill="1" applyBorder="1" applyAlignment="1" applyProtection="1">
      <alignment horizontal="fill" vertical="center"/>
      <protection/>
    </xf>
    <xf numFmtId="37" fontId="4" fillId="18" borderId="12" xfId="0" applyNumberFormat="1" applyFont="1" applyFill="1" applyBorder="1" applyAlignment="1" applyProtection="1">
      <alignment vertical="center"/>
      <protection locked="0"/>
    </xf>
    <xf numFmtId="0" fontId="4" fillId="18" borderId="19" xfId="0" applyFont="1" applyFill="1" applyBorder="1" applyAlignment="1" applyProtection="1">
      <alignment horizontal="left" vertical="center"/>
      <protection locked="0"/>
    </xf>
    <xf numFmtId="37" fontId="15" fillId="22" borderId="17" xfId="0" applyNumberFormat="1" applyFont="1" applyFill="1" applyBorder="1" applyAlignment="1" applyProtection="1">
      <alignment horizontal="center" vertical="center"/>
      <protection/>
    </xf>
    <xf numFmtId="37" fontId="3" fillId="4" borderId="19" xfId="0" applyNumberFormat="1" applyFont="1" applyFill="1" applyBorder="1" applyAlignment="1" applyProtection="1">
      <alignment horizontal="left" vertical="center"/>
      <protection/>
    </xf>
    <xf numFmtId="3" fontId="3" fillId="7" borderId="12" xfId="0" applyNumberFormat="1" applyFont="1" applyFill="1" applyBorder="1" applyAlignment="1" applyProtection="1">
      <alignment vertical="center"/>
      <protection/>
    </xf>
    <xf numFmtId="0" fontId="3" fillId="4" borderId="19" xfId="0" applyFont="1" applyFill="1" applyBorder="1" applyAlignment="1" applyProtection="1">
      <alignment horizontal="left" vertical="center"/>
      <protection/>
    </xf>
    <xf numFmtId="0" fontId="4" fillId="7" borderId="19" xfId="0" applyFont="1" applyFill="1" applyBorder="1" applyAlignment="1" applyProtection="1">
      <alignment horizontal="left" vertical="center"/>
      <protection/>
    </xf>
    <xf numFmtId="0" fontId="4" fillId="7" borderId="19" xfId="0" applyFont="1" applyFill="1" applyBorder="1" applyAlignment="1" applyProtection="1">
      <alignment vertical="center"/>
      <protection/>
    </xf>
    <xf numFmtId="37" fontId="4" fillId="0" borderId="0" xfId="0" applyNumberFormat="1" applyFont="1" applyFill="1" applyBorder="1" applyAlignment="1" applyProtection="1">
      <alignment vertical="center"/>
      <protection locked="0"/>
    </xf>
    <xf numFmtId="0" fontId="4" fillId="18" borderId="19" xfId="0" applyFont="1" applyFill="1" applyBorder="1" applyAlignment="1" applyProtection="1">
      <alignment vertical="center"/>
      <protection locked="0"/>
    </xf>
    <xf numFmtId="0" fontId="4" fillId="4" borderId="19" xfId="0" applyFont="1" applyFill="1" applyBorder="1" applyAlignment="1" applyProtection="1">
      <alignment vertical="center"/>
      <protection/>
    </xf>
    <xf numFmtId="37" fontId="3" fillId="7" borderId="12" xfId="0" applyNumberFormat="1" applyFont="1" applyFill="1" applyBorder="1" applyAlignment="1" applyProtection="1">
      <alignment vertical="center"/>
      <protection/>
    </xf>
    <xf numFmtId="3" fontId="4" fillId="4" borderId="0" xfId="0" applyNumberFormat="1" applyFont="1" applyFill="1" applyAlignment="1" applyProtection="1">
      <alignment horizontal="center" vertical="center"/>
      <protection/>
    </xf>
    <xf numFmtId="0" fontId="15" fillId="0" borderId="0" xfId="0" applyFont="1" applyAlignment="1" applyProtection="1">
      <alignment vertical="center"/>
      <protection/>
    </xf>
    <xf numFmtId="0" fontId="13"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4" fillId="4" borderId="0" xfId="0" applyFont="1" applyFill="1" applyAlignment="1" applyProtection="1">
      <alignment horizontal="fill" vertical="center"/>
      <protection/>
    </xf>
    <xf numFmtId="1" fontId="4" fillId="4" borderId="13" xfId="0" applyNumberFormat="1" applyFont="1" applyFill="1" applyBorder="1" applyAlignment="1" applyProtection="1">
      <alignment horizontal="center" vertical="center"/>
      <protection/>
    </xf>
    <xf numFmtId="0" fontId="4" fillId="18" borderId="12" xfId="0" applyFont="1" applyFill="1" applyBorder="1" applyAlignment="1" applyProtection="1">
      <alignment horizontal="left" vertical="center"/>
      <protection locked="0"/>
    </xf>
    <xf numFmtId="0" fontId="4" fillId="18" borderId="0" xfId="0" applyFont="1" applyFill="1" applyAlignment="1" applyProtection="1">
      <alignment horizontal="left" vertical="center"/>
      <protection locked="0"/>
    </xf>
    <xf numFmtId="37" fontId="3" fillId="22" borderId="24" xfId="0" applyNumberFormat="1" applyFont="1" applyFill="1" applyBorder="1" applyAlignment="1" applyProtection="1">
      <alignment vertical="center"/>
      <protection/>
    </xf>
    <xf numFmtId="0" fontId="15" fillId="4" borderId="0" xfId="0" applyFont="1" applyFill="1" applyAlignment="1" applyProtection="1">
      <alignment vertical="center"/>
      <protection/>
    </xf>
    <xf numFmtId="3" fontId="4" fillId="4" borderId="12" xfId="0" applyNumberFormat="1" applyFont="1" applyFill="1" applyBorder="1" applyAlignment="1" applyProtection="1">
      <alignment horizontal="fill" vertical="center"/>
      <protection/>
    </xf>
    <xf numFmtId="3" fontId="15" fillId="22" borderId="17" xfId="0" applyNumberFormat="1" applyFont="1" applyFill="1" applyBorder="1" applyAlignment="1" applyProtection="1">
      <alignment horizontal="center" vertical="center"/>
      <protection/>
    </xf>
    <xf numFmtId="3" fontId="4" fillId="22" borderId="12" xfId="0" applyNumberFormat="1" applyFont="1" applyFill="1" applyBorder="1" applyAlignment="1" applyProtection="1">
      <alignment vertical="center"/>
      <protection/>
    </xf>
    <xf numFmtId="37" fontId="4" fillId="4" borderId="0" xfId="0" applyNumberFormat="1" applyFont="1" applyFill="1" applyBorder="1" applyAlignment="1" applyProtection="1">
      <alignment horizontal="fill" vertical="center"/>
      <protection/>
    </xf>
    <xf numFmtId="3" fontId="3" fillId="4" borderId="12" xfId="0" applyNumberFormat="1" applyFont="1" applyFill="1" applyBorder="1" applyAlignment="1" applyProtection="1">
      <alignment vertical="center"/>
      <protection/>
    </xf>
    <xf numFmtId="3" fontId="4" fillId="4" borderId="10" xfId="0" applyNumberFormat="1" applyFont="1" applyFill="1" applyBorder="1" applyAlignment="1" applyProtection="1">
      <alignment horizontal="fill" vertical="center"/>
      <protection/>
    </xf>
    <xf numFmtId="37" fontId="4" fillId="18" borderId="19" xfId="0" applyNumberFormat="1" applyFont="1" applyFill="1" applyBorder="1" applyAlignment="1" applyProtection="1">
      <alignment horizontal="left" vertical="center"/>
      <protection locked="0"/>
    </xf>
    <xf numFmtId="0" fontId="4" fillId="4" borderId="0" xfId="0" applyFont="1" applyFill="1" applyAlignment="1">
      <alignment horizontal="center" vertical="center"/>
    </xf>
    <xf numFmtId="0" fontId="3" fillId="4" borderId="0" xfId="0" applyFont="1" applyFill="1" applyAlignment="1">
      <alignment horizontal="center" vertical="center"/>
    </xf>
    <xf numFmtId="0" fontId="18" fillId="4" borderId="0" xfId="0" applyFont="1" applyFill="1" applyAlignment="1">
      <alignment horizontal="center" vertical="center"/>
    </xf>
    <xf numFmtId="0" fontId="4" fillId="4" borderId="17" xfId="0" applyFont="1" applyFill="1" applyBorder="1" applyAlignment="1">
      <alignment vertical="center"/>
    </xf>
    <xf numFmtId="0" fontId="12" fillId="4" borderId="13" xfId="0" applyFont="1" applyFill="1" applyBorder="1" applyAlignment="1">
      <alignment vertical="center"/>
    </xf>
    <xf numFmtId="0" fontId="12" fillId="4" borderId="17" xfId="0" applyFont="1" applyFill="1" applyBorder="1" applyAlignment="1">
      <alignment horizontal="center" vertical="center"/>
    </xf>
    <xf numFmtId="0" fontId="12" fillId="4" borderId="23" xfId="0" applyFont="1" applyFill="1" applyBorder="1" applyAlignment="1">
      <alignment vertical="center"/>
    </xf>
    <xf numFmtId="0" fontId="12"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12" fillId="4" borderId="21" xfId="0" applyFont="1" applyFill="1" applyBorder="1" applyAlignment="1">
      <alignment vertical="center"/>
    </xf>
    <xf numFmtId="3" fontId="12" fillId="18" borderId="12" xfId="0" applyNumberFormat="1" applyFont="1" applyFill="1" applyBorder="1" applyAlignment="1" applyProtection="1">
      <alignment horizontal="center" vertical="center"/>
      <protection locked="0"/>
    </xf>
    <xf numFmtId="0" fontId="12" fillId="4" borderId="10" xfId="0" applyFont="1" applyFill="1" applyBorder="1" applyAlignment="1">
      <alignment vertical="center"/>
    </xf>
    <xf numFmtId="3" fontId="12" fillId="7" borderId="12" xfId="0" applyNumberFormat="1" applyFont="1" applyFill="1" applyBorder="1" applyAlignment="1">
      <alignment horizontal="center" vertical="center"/>
    </xf>
    <xf numFmtId="0" fontId="12" fillId="4" borderId="0" xfId="0" applyFont="1" applyFill="1" applyAlignment="1">
      <alignment vertical="center"/>
    </xf>
    <xf numFmtId="3" fontId="12" fillId="4" borderId="0" xfId="0" applyNumberFormat="1" applyFont="1" applyFill="1" applyAlignment="1">
      <alignment horizontal="center" vertical="center"/>
    </xf>
    <xf numFmtId="0" fontId="12" fillId="4" borderId="0" xfId="0" applyFont="1" applyFill="1" applyAlignment="1">
      <alignment horizontal="center" vertical="center"/>
    </xf>
    <xf numFmtId="0" fontId="12" fillId="18" borderId="12" xfId="0" applyFont="1" applyFill="1" applyBorder="1" applyAlignment="1" applyProtection="1">
      <alignment vertical="center"/>
      <protection locked="0"/>
    </xf>
    <xf numFmtId="0" fontId="12" fillId="18" borderId="23" xfId="0" applyFont="1" applyFill="1" applyBorder="1" applyAlignment="1" applyProtection="1">
      <alignment vertical="center"/>
      <protection locked="0"/>
    </xf>
    <xf numFmtId="3" fontId="12" fillId="18" borderId="23" xfId="0" applyNumberFormat="1" applyFont="1" applyFill="1" applyBorder="1" applyAlignment="1" applyProtection="1">
      <alignment horizontal="center" vertical="center"/>
      <protection locked="0"/>
    </xf>
    <xf numFmtId="0" fontId="12" fillId="18" borderId="0" xfId="0" applyFont="1" applyFill="1" applyAlignment="1" applyProtection="1">
      <alignment vertical="center"/>
      <protection locked="0"/>
    </xf>
    <xf numFmtId="3" fontId="12" fillId="18" borderId="16" xfId="0" applyNumberFormat="1" applyFont="1" applyFill="1" applyBorder="1" applyAlignment="1" applyProtection="1">
      <alignment horizontal="center" vertical="center"/>
      <protection locked="0"/>
    </xf>
    <xf numFmtId="3" fontId="12" fillId="18" borderId="17" xfId="0" applyNumberFormat="1" applyFont="1" applyFill="1" applyBorder="1" applyAlignment="1" applyProtection="1">
      <alignment horizontal="center" vertical="center"/>
      <protection locked="0"/>
    </xf>
    <xf numFmtId="0" fontId="12" fillId="18" borderId="17" xfId="0" applyFont="1" applyFill="1" applyBorder="1" applyAlignment="1" applyProtection="1">
      <alignment vertical="center"/>
      <protection locked="0"/>
    </xf>
    <xf numFmtId="0" fontId="12" fillId="18" borderId="14" xfId="0" applyFont="1" applyFill="1" applyBorder="1" applyAlignment="1" applyProtection="1">
      <alignment vertical="center"/>
      <protection locked="0"/>
    </xf>
    <xf numFmtId="3" fontId="12" fillId="18" borderId="26" xfId="0" applyNumberFormat="1" applyFont="1" applyFill="1" applyBorder="1" applyAlignment="1" applyProtection="1">
      <alignment horizontal="center" vertical="center"/>
      <protection locked="0"/>
    </xf>
    <xf numFmtId="0" fontId="12" fillId="18" borderId="26" xfId="0" applyFont="1" applyFill="1" applyBorder="1" applyAlignment="1" applyProtection="1">
      <alignment vertical="center"/>
      <protection locked="0"/>
    </xf>
    <xf numFmtId="0" fontId="12" fillId="7" borderId="12" xfId="0" applyFont="1" applyFill="1" applyBorder="1" applyAlignment="1">
      <alignment horizontal="center" vertical="center"/>
    </xf>
    <xf numFmtId="0" fontId="12" fillId="7" borderId="14" xfId="0" applyFont="1" applyFill="1" applyBorder="1" applyAlignment="1">
      <alignment horizontal="center" vertical="center"/>
    </xf>
    <xf numFmtId="3" fontId="12" fillId="18" borderId="14" xfId="0" applyNumberFormat="1" applyFont="1" applyFill="1" applyBorder="1" applyAlignment="1" applyProtection="1">
      <alignment horizontal="center" vertical="center"/>
      <protection locked="0"/>
    </xf>
    <xf numFmtId="3" fontId="12" fillId="18" borderId="20" xfId="0" applyNumberFormat="1" applyFont="1" applyFill="1" applyBorder="1" applyAlignment="1" applyProtection="1">
      <alignment horizontal="center" vertical="center"/>
      <protection locked="0"/>
    </xf>
    <xf numFmtId="3" fontId="16" fillId="22" borderId="12" xfId="0" applyNumberFormat="1" applyFont="1" applyFill="1" applyBorder="1" applyAlignment="1">
      <alignment horizontal="center" vertical="center"/>
    </xf>
    <xf numFmtId="0" fontId="15" fillId="0" borderId="0" xfId="0" applyFont="1" applyAlignment="1">
      <alignment vertical="center"/>
    </xf>
    <xf numFmtId="3" fontId="4" fillId="4"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4" borderId="19" xfId="0" applyNumberFormat="1" applyFont="1" applyFill="1" applyBorder="1" applyAlignment="1" applyProtection="1">
      <alignment horizontal="centerContinuous" vertical="center"/>
      <protection/>
    </xf>
    <xf numFmtId="37" fontId="4" fillId="4" borderId="14" xfId="0" applyNumberFormat="1" applyFont="1" applyFill="1" applyBorder="1" applyAlignment="1" applyProtection="1">
      <alignment horizontal="fill" vertical="center"/>
      <protection/>
    </xf>
    <xf numFmtId="1" fontId="5" fillId="4" borderId="0" xfId="0" applyNumberFormat="1" applyFont="1" applyFill="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4" fillId="4" borderId="23"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 fontId="4" fillId="18" borderId="12" xfId="0" applyNumberFormat="1" applyFont="1" applyFill="1" applyBorder="1" applyAlignment="1" applyProtection="1">
      <alignment horizontal="center" vertical="center"/>
      <protection locked="0"/>
    </xf>
    <xf numFmtId="173" fontId="4" fillId="4" borderId="12" xfId="0" applyNumberFormat="1" applyFont="1" applyFill="1" applyBorder="1" applyAlignment="1" applyProtection="1">
      <alignment horizontal="center" vertical="center"/>
      <protection/>
    </xf>
    <xf numFmtId="3" fontId="4" fillId="18" borderId="13" xfId="0" applyNumberFormat="1" applyFont="1" applyFill="1" applyBorder="1" applyAlignment="1" applyProtection="1">
      <alignment horizontal="center" vertical="center"/>
      <protection locked="0"/>
    </xf>
    <xf numFmtId="3" fontId="4" fillId="4" borderId="24" xfId="0" applyNumberFormat="1" applyFont="1" applyFill="1" applyBorder="1" applyAlignment="1" applyProtection="1">
      <alignment horizontal="center" vertical="center"/>
      <protection/>
    </xf>
    <xf numFmtId="173" fontId="4" fillId="4" borderId="24" xfId="0" applyNumberFormat="1" applyFont="1" applyFill="1" applyBorder="1" applyAlignment="1" applyProtection="1">
      <alignment horizontal="center" vertical="center"/>
      <protection/>
    </xf>
    <xf numFmtId="173" fontId="4" fillId="4" borderId="10" xfId="0" applyNumberFormat="1" applyFont="1" applyFill="1" applyBorder="1" applyAlignment="1" applyProtection="1">
      <alignment horizontal="center" vertical="center"/>
      <protection/>
    </xf>
    <xf numFmtId="17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3" fontId="20" fillId="22" borderId="0" xfId="0" applyNumberFormat="1" applyFont="1" applyFill="1" applyAlignment="1">
      <alignment horizontal="center" vertical="center"/>
    </xf>
    <xf numFmtId="0" fontId="4" fillId="18" borderId="11" xfId="0" applyFont="1" applyFill="1" applyBorder="1" applyAlignment="1" applyProtection="1">
      <alignment vertical="center"/>
      <protection locked="0"/>
    </xf>
    <xf numFmtId="0" fontId="21" fillId="0" borderId="0" xfId="323">
      <alignment/>
      <protection/>
    </xf>
    <xf numFmtId="0" fontId="4" fillId="0" borderId="0" xfId="323" applyFont="1" applyAlignment="1">
      <alignment horizontal="left" vertical="center"/>
      <protection/>
    </xf>
    <xf numFmtId="0" fontId="21" fillId="0" borderId="0" xfId="323" applyNumberFormat="1" applyFont="1" applyAlignment="1">
      <alignment horizontal="left" vertical="center"/>
      <protection/>
    </xf>
    <xf numFmtId="49" fontId="4" fillId="18" borderId="0" xfId="323" applyNumberFormat="1" applyFont="1" applyFill="1" applyAlignment="1" applyProtection="1">
      <alignment horizontal="left" vertical="center"/>
      <protection locked="0"/>
    </xf>
    <xf numFmtId="174" fontId="12" fillId="0" borderId="0" xfId="323" applyNumberFormat="1" applyFont="1" applyAlignment="1">
      <alignment horizontal="left" vertical="center"/>
      <protection/>
    </xf>
    <xf numFmtId="49" fontId="4" fillId="0" borderId="0" xfId="323" applyNumberFormat="1" applyFont="1" applyAlignment="1">
      <alignment horizontal="left" vertical="center"/>
      <protection/>
    </xf>
    <xf numFmtId="0" fontId="12" fillId="0" borderId="0" xfId="323" applyFont="1" applyAlignment="1">
      <alignment horizontal="left" vertical="center"/>
      <protection/>
    </xf>
    <xf numFmtId="175" fontId="12" fillId="0" borderId="0" xfId="323" applyNumberFormat="1" applyFont="1" applyAlignment="1">
      <alignment horizontal="left" vertical="center"/>
      <protection/>
    </xf>
    <xf numFmtId="0" fontId="4" fillId="18" borderId="0" xfId="323" applyFont="1" applyFill="1" applyAlignment="1" applyProtection="1">
      <alignment horizontal="left" vertical="center"/>
      <protection locked="0"/>
    </xf>
    <xf numFmtId="0" fontId="21" fillId="18" borderId="0" xfId="323" applyFill="1" applyAlignment="1" applyProtection="1">
      <alignment horizontal="left" vertical="center"/>
      <protection locked="0"/>
    </xf>
    <xf numFmtId="0" fontId="4" fillId="4" borderId="0" xfId="0" applyFont="1" applyFill="1" applyAlignment="1">
      <alignment/>
    </xf>
    <xf numFmtId="0" fontId="2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7" fontId="15" fillId="22" borderId="19" xfId="0" applyNumberFormat="1" applyFont="1" applyFill="1" applyBorder="1" applyAlignment="1" applyProtection="1">
      <alignment horizontal="center" vertical="center"/>
      <protection/>
    </xf>
    <xf numFmtId="14" fontId="4" fillId="18" borderId="12" xfId="0" applyNumberFormat="1" applyFont="1" applyFill="1" applyBorder="1" applyAlignment="1" applyProtection="1">
      <alignment horizontal="center" vertical="center"/>
      <protection locked="0"/>
    </xf>
    <xf numFmtId="3" fontId="4" fillId="4" borderId="19" xfId="0" applyNumberFormat="1" applyFont="1" applyFill="1" applyBorder="1" applyAlignment="1" applyProtection="1">
      <alignment vertical="center"/>
      <protection/>
    </xf>
    <xf numFmtId="0" fontId="4" fillId="4" borderId="21" xfId="0" applyNumberFormat="1" applyFont="1" applyFill="1" applyBorder="1" applyAlignment="1" applyProtection="1">
      <alignment horizontal="center" vertical="center"/>
      <protection/>
    </xf>
    <xf numFmtId="3" fontId="15" fillId="22" borderId="19" xfId="0" applyNumberFormat="1" applyFont="1" applyFill="1" applyBorder="1" applyAlignment="1" applyProtection="1">
      <alignment horizontal="center" vertical="center"/>
      <protection/>
    </xf>
    <xf numFmtId="3" fontId="3" fillId="4" borderId="19" xfId="0" applyNumberFormat="1" applyFont="1" applyFill="1" applyBorder="1" applyAlignment="1" applyProtection="1">
      <alignment vertical="center"/>
      <protection/>
    </xf>
    <xf numFmtId="3" fontId="4" fillId="23" borderId="24" xfId="0" applyNumberFormat="1" applyFont="1" applyFill="1" applyBorder="1" applyAlignment="1" applyProtection="1">
      <alignment vertical="center"/>
      <protection/>
    </xf>
    <xf numFmtId="37" fontId="15" fillId="22" borderId="12" xfId="0" applyNumberFormat="1" applyFont="1" applyFill="1" applyBorder="1" applyAlignment="1" applyProtection="1">
      <alignment horizontal="center" vertical="center"/>
      <protection/>
    </xf>
    <xf numFmtId="37" fontId="4" fillId="0" borderId="0" xfId="0" applyNumberFormat="1" applyFont="1" applyFill="1" applyAlignment="1" applyProtection="1">
      <alignment horizontal="right" vertical="center"/>
      <protection/>
    </xf>
    <xf numFmtId="0" fontId="4" fillId="4" borderId="0" xfId="68" applyFont="1" applyFill="1" applyAlignment="1" applyProtection="1">
      <alignment horizontal="right" vertical="center"/>
      <protection/>
    </xf>
    <xf numFmtId="0" fontId="4" fillId="4" borderId="0" xfId="55"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15" fillId="23" borderId="17"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locked="0"/>
    </xf>
    <xf numFmtId="3" fontId="15" fillId="23" borderId="19" xfId="0" applyNumberFormat="1" applyFont="1" applyFill="1" applyBorder="1" applyAlignment="1" applyProtection="1">
      <alignment horizontal="center" vertical="center"/>
      <protection/>
    </xf>
    <xf numFmtId="37" fontId="4" fillId="18" borderId="19" xfId="0" applyNumberFormat="1" applyFont="1" applyFill="1" applyBorder="1" applyAlignment="1" applyProtection="1">
      <alignment horizontal="right" vertical="center"/>
      <protection locked="0"/>
    </xf>
    <xf numFmtId="3" fontId="3" fillId="7" borderId="19" xfId="0" applyNumberFormat="1" applyFont="1" applyFill="1" applyBorder="1" applyAlignment="1" applyProtection="1">
      <alignment vertical="center"/>
      <protection/>
    </xf>
    <xf numFmtId="37" fontId="4" fillId="18" borderId="19" xfId="0" applyNumberFormat="1" applyFont="1" applyFill="1" applyBorder="1" applyAlignment="1" applyProtection="1">
      <alignment vertical="center"/>
      <protection locked="0"/>
    </xf>
    <xf numFmtId="3" fontId="4" fillId="7" borderId="19" xfId="0" applyNumberFormat="1" applyFont="1" applyFill="1" applyBorder="1" applyAlignment="1" applyProtection="1">
      <alignment vertical="center"/>
      <protection/>
    </xf>
    <xf numFmtId="37" fontId="3" fillId="4" borderId="10" xfId="0" applyNumberFormat="1" applyFont="1" applyFill="1" applyBorder="1" applyAlignment="1" applyProtection="1">
      <alignment vertical="center"/>
      <protection/>
    </xf>
    <xf numFmtId="37" fontId="3" fillId="4" borderId="0" xfId="0" applyNumberFormat="1" applyFont="1" applyFill="1" applyBorder="1" applyAlignment="1" applyProtection="1">
      <alignment vertical="center"/>
      <protection/>
    </xf>
    <xf numFmtId="3" fontId="15" fillId="22" borderId="12" xfId="0" applyNumberFormat="1" applyFont="1" applyFill="1" applyBorder="1" applyAlignment="1" applyProtection="1">
      <alignment horizontal="center" vertical="center"/>
      <protection/>
    </xf>
    <xf numFmtId="3" fontId="15" fillId="23" borderId="12" xfId="0" applyNumberFormat="1" applyFont="1" applyFill="1" applyBorder="1" applyAlignment="1" applyProtection="1">
      <alignment horizontal="center" vertical="center"/>
      <protection/>
    </xf>
    <xf numFmtId="0" fontId="19" fillId="4" borderId="0" xfId="0" applyFont="1" applyFill="1" applyAlignment="1" applyProtection="1">
      <alignment horizontal="center" vertical="center"/>
      <protection/>
    </xf>
    <xf numFmtId="173" fontId="4" fillId="4" borderId="0" xfId="0" applyNumberFormat="1" applyFont="1" applyFill="1" applyAlignment="1" applyProtection="1">
      <alignment horizontal="center" vertical="center"/>
      <protection/>
    </xf>
    <xf numFmtId="37" fontId="3" fillId="4" borderId="21" xfId="0" applyNumberFormat="1" applyFont="1" applyFill="1" applyBorder="1" applyAlignment="1" applyProtection="1">
      <alignment horizontal="left" vertical="center"/>
      <protection/>
    </xf>
    <xf numFmtId="0" fontId="8" fillId="4" borderId="0" xfId="0" applyFont="1" applyFill="1" applyAlignment="1" applyProtection="1">
      <alignment vertical="center" shrinkToFit="1"/>
      <protection/>
    </xf>
    <xf numFmtId="0" fontId="0" fillId="4" borderId="0" xfId="0" applyFill="1" applyBorder="1" applyAlignment="1" applyProtection="1">
      <alignment vertical="center"/>
      <protection/>
    </xf>
    <xf numFmtId="0" fontId="15" fillId="4" borderId="0" xfId="0" applyFont="1" applyFill="1" applyBorder="1" applyAlignment="1" applyProtection="1">
      <alignment horizontal="center" vertical="center"/>
      <protection/>
    </xf>
    <xf numFmtId="170" fontId="4" fillId="4" borderId="10" xfId="42" applyNumberFormat="1" applyFont="1" applyFill="1" applyBorder="1" applyAlignment="1" applyProtection="1">
      <alignment vertical="center"/>
      <protection locked="0"/>
    </xf>
    <xf numFmtId="3" fontId="4" fillId="7" borderId="24" xfId="0" applyNumberFormat="1" applyFont="1" applyFill="1" applyBorder="1" applyAlignment="1" applyProtection="1">
      <alignment vertical="center"/>
      <protection/>
    </xf>
    <xf numFmtId="170" fontId="4" fillId="18" borderId="12" xfId="42" applyNumberFormat="1" applyFont="1" applyFill="1" applyBorder="1" applyAlignment="1" applyProtection="1">
      <alignment vertical="center"/>
      <protection locked="0"/>
    </xf>
    <xf numFmtId="3" fontId="12" fillId="7" borderId="14" xfId="0" applyNumberFormat="1" applyFont="1" applyFill="1" applyBorder="1" applyAlignment="1">
      <alignment horizontal="center" vertical="center"/>
    </xf>
    <xf numFmtId="164" fontId="4" fillId="7" borderId="12" xfId="0" applyNumberFormat="1" applyFont="1" applyFill="1" applyBorder="1" applyAlignment="1" applyProtection="1">
      <alignment vertical="center"/>
      <protection/>
    </xf>
    <xf numFmtId="49" fontId="4" fillId="18" borderId="12" xfId="0" applyNumberFormat="1" applyFont="1" applyFill="1" applyBorder="1" applyAlignment="1" applyProtection="1">
      <alignment vertical="center"/>
      <protection locked="0"/>
    </xf>
    <xf numFmtId="49" fontId="4" fillId="18" borderId="12" xfId="0" applyNumberFormat="1" applyFont="1" applyFill="1" applyBorder="1" applyAlignment="1" applyProtection="1">
      <alignment vertical="center"/>
      <protection locked="0"/>
    </xf>
    <xf numFmtId="0" fontId="26" fillId="0" borderId="0" xfId="0" applyFont="1" applyAlignment="1" applyProtection="1">
      <alignment vertical="center"/>
      <protection/>
    </xf>
    <xf numFmtId="49" fontId="4" fillId="4" borderId="0" xfId="0" applyNumberFormat="1" applyFont="1" applyFill="1" applyAlignment="1" applyProtection="1">
      <alignment horizontal="left" vertical="center"/>
      <protection/>
    </xf>
    <xf numFmtId="0" fontId="0" fillId="4" borderId="0" xfId="0" applyFill="1" applyAlignment="1" applyProtection="1">
      <alignment vertical="center"/>
      <protection locked="0"/>
    </xf>
    <xf numFmtId="0" fontId="4" fillId="0" borderId="0" xfId="66" applyFont="1">
      <alignment/>
      <protection/>
    </xf>
    <xf numFmtId="37" fontId="4" fillId="4" borderId="13" xfId="66" applyNumberFormat="1" applyFont="1" applyFill="1" applyBorder="1" applyAlignment="1" applyProtection="1">
      <alignment horizontal="center"/>
      <protection/>
    </xf>
    <xf numFmtId="37" fontId="4" fillId="4" borderId="14" xfId="66" applyNumberFormat="1" applyFont="1" applyFill="1" applyBorder="1" applyAlignment="1" applyProtection="1">
      <alignment horizontal="center"/>
      <protection/>
    </xf>
    <xf numFmtId="0" fontId="0" fillId="0" borderId="0" xfId="66">
      <alignment/>
      <protection/>
    </xf>
    <xf numFmtId="0" fontId="4" fillId="4" borderId="0" xfId="66" applyFont="1" applyFill="1" applyBorder="1" applyAlignment="1" applyProtection="1">
      <alignment vertical="center"/>
      <protection locked="0"/>
    </xf>
    <xf numFmtId="0" fontId="4" fillId="4" borderId="0" xfId="66" applyFont="1" applyFill="1" applyBorder="1" applyAlignment="1" applyProtection="1">
      <alignment vertical="center"/>
      <protection/>
    </xf>
    <xf numFmtId="0" fontId="22" fillId="4" borderId="0" xfId="66" applyFont="1" applyFill="1" applyBorder="1" applyAlignment="1" applyProtection="1">
      <alignment vertical="center"/>
      <protection locked="0"/>
    </xf>
    <xf numFmtId="0" fontId="22" fillId="22" borderId="10" xfId="66" applyFont="1" applyFill="1" applyBorder="1" applyAlignment="1" applyProtection="1">
      <alignment vertical="center"/>
      <protection locked="0"/>
    </xf>
    <xf numFmtId="0" fontId="4" fillId="22" borderId="10" xfId="66" applyFont="1" applyFill="1" applyBorder="1" applyAlignment="1" applyProtection="1">
      <alignment vertical="center"/>
      <protection locked="0"/>
    </xf>
    <xf numFmtId="0" fontId="25" fillId="22" borderId="21" xfId="66" applyFont="1" applyFill="1" applyBorder="1" applyAlignment="1" applyProtection="1">
      <alignment vertical="center"/>
      <protection locked="0"/>
    </xf>
    <xf numFmtId="176" fontId="22" fillId="18" borderId="12" xfId="66" applyNumberFormat="1" applyFont="1" applyFill="1" applyBorder="1" applyAlignment="1" applyProtection="1">
      <alignment horizontal="center" vertical="center"/>
      <protection locked="0"/>
    </xf>
    <xf numFmtId="0" fontId="4" fillId="4" borderId="15" xfId="66" applyFont="1" applyFill="1" applyBorder="1" applyAlignment="1" applyProtection="1">
      <alignment vertical="center"/>
      <protection/>
    </xf>
    <xf numFmtId="0" fontId="4" fillId="4" borderId="26" xfId="66" applyFont="1" applyFill="1" applyBorder="1" applyAlignment="1" applyProtection="1">
      <alignment vertical="center"/>
      <protection/>
    </xf>
    <xf numFmtId="176" fontId="22" fillId="4" borderId="15" xfId="66" applyNumberFormat="1" applyFont="1" applyFill="1" applyBorder="1" applyAlignment="1" applyProtection="1">
      <alignment horizontal="center" vertical="center"/>
      <protection/>
    </xf>
    <xf numFmtId="0" fontId="22" fillId="4" borderId="0" xfId="66" applyFont="1" applyFill="1" applyBorder="1" applyAlignment="1" applyProtection="1">
      <alignment horizontal="left" vertical="center"/>
      <protection/>
    </xf>
    <xf numFmtId="0" fontId="22" fillId="4" borderId="26" xfId="66" applyFont="1" applyFill="1" applyBorder="1" applyAlignment="1" applyProtection="1">
      <alignment vertical="center"/>
      <protection/>
    </xf>
    <xf numFmtId="0" fontId="22" fillId="4" borderId="0" xfId="66" applyFont="1" applyFill="1" applyBorder="1" applyAlignment="1" applyProtection="1">
      <alignment vertical="center"/>
      <protection/>
    </xf>
    <xf numFmtId="176" fontId="22" fillId="4" borderId="21" xfId="66" applyNumberFormat="1" applyFont="1" applyFill="1" applyBorder="1" applyAlignment="1" applyProtection="1">
      <alignment horizontal="center" vertical="center"/>
      <protection/>
    </xf>
    <xf numFmtId="176" fontId="22" fillId="4" borderId="15" xfId="66" applyNumberFormat="1" applyFont="1" applyFill="1" applyBorder="1" applyAlignment="1" applyProtection="1">
      <alignment vertical="center"/>
      <protection/>
    </xf>
    <xf numFmtId="0" fontId="25" fillId="22" borderId="10" xfId="66" applyFont="1" applyFill="1" applyBorder="1" applyAlignment="1" applyProtection="1">
      <alignment vertical="center"/>
      <protection/>
    </xf>
    <xf numFmtId="0" fontId="22" fillId="22" borderId="16" xfId="66" applyFont="1" applyFill="1" applyBorder="1" applyAlignment="1" applyProtection="1">
      <alignment vertical="center"/>
      <protection/>
    </xf>
    <xf numFmtId="0" fontId="4" fillId="22" borderId="16" xfId="66" applyFont="1" applyFill="1" applyBorder="1" applyAlignment="1" applyProtection="1">
      <alignment vertical="center"/>
      <protection/>
    </xf>
    <xf numFmtId="0" fontId="22" fillId="4" borderId="15" xfId="66" applyFont="1" applyFill="1" applyBorder="1" applyAlignment="1" applyProtection="1">
      <alignment horizontal="left" vertical="center"/>
      <protection/>
    </xf>
    <xf numFmtId="176" fontId="25" fillId="22" borderId="21" xfId="66" applyNumberFormat="1" applyFont="1" applyFill="1" applyBorder="1" applyAlignment="1" applyProtection="1">
      <alignment horizontal="center" vertical="center"/>
      <protection/>
    </xf>
    <xf numFmtId="176" fontId="25" fillId="22" borderId="16" xfId="66" applyNumberFormat="1" applyFont="1" applyFill="1" applyBorder="1" applyAlignment="1" applyProtection="1">
      <alignment horizontal="center" vertical="center"/>
      <protection locked="0"/>
    </xf>
    <xf numFmtId="37" fontId="13" fillId="4" borderId="12" xfId="0" applyNumberFormat="1" applyFont="1" applyFill="1" applyBorder="1" applyAlignment="1" applyProtection="1">
      <alignment horizontal="center" vertical="center"/>
      <protection/>
    </xf>
    <xf numFmtId="3" fontId="4" fillId="22" borderId="19" xfId="0" applyNumberFormat="1"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176" fontId="12" fillId="22" borderId="21" xfId="66" applyNumberFormat="1" applyFont="1" applyFill="1" applyBorder="1" applyAlignment="1" applyProtection="1">
      <alignment horizontal="center" vertical="center"/>
      <protection/>
    </xf>
    <xf numFmtId="0" fontId="12" fillId="22" borderId="10" xfId="66" applyFont="1" applyFill="1" applyBorder="1" applyAlignment="1" applyProtection="1">
      <alignment vertical="center"/>
      <protection/>
    </xf>
    <xf numFmtId="0" fontId="11" fillId="4" borderId="19"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22" fillId="4" borderId="11" xfId="66" applyFont="1" applyFill="1" applyBorder="1" applyAlignment="1" applyProtection="1">
      <alignment horizontal="left" vertical="center"/>
      <protection/>
    </xf>
    <xf numFmtId="173" fontId="22" fillId="4" borderId="17" xfId="66" applyNumberFormat="1" applyFont="1" applyFill="1" applyBorder="1" applyAlignment="1" applyProtection="1">
      <alignment horizontal="center" vertical="center"/>
      <protection locked="0"/>
    </xf>
    <xf numFmtId="0" fontId="22" fillId="4" borderId="15" xfId="66" applyFont="1" applyFill="1" applyBorder="1" applyAlignment="1" applyProtection="1">
      <alignment vertical="center"/>
      <protection/>
    </xf>
    <xf numFmtId="176" fontId="12" fillId="4" borderId="15" xfId="66" applyNumberFormat="1" applyFont="1" applyFill="1" applyBorder="1" applyAlignment="1" applyProtection="1">
      <alignment horizontal="center" vertical="center"/>
      <protection/>
    </xf>
    <xf numFmtId="0" fontId="12" fillId="4" borderId="0" xfId="66" applyFont="1" applyFill="1" applyBorder="1" applyAlignment="1" applyProtection="1">
      <alignment horizontal="left" vertical="center"/>
      <protection/>
    </xf>
    <xf numFmtId="0" fontId="12" fillId="4" borderId="0" xfId="66" applyFont="1" applyFill="1" applyBorder="1" applyAlignment="1" applyProtection="1">
      <alignment vertical="center"/>
      <protection/>
    </xf>
    <xf numFmtId="176" fontId="12" fillId="4" borderId="21" xfId="66" applyNumberFormat="1" applyFont="1" applyFill="1" applyBorder="1" applyAlignment="1" applyProtection="1">
      <alignment horizontal="center" vertical="center"/>
      <protection/>
    </xf>
    <xf numFmtId="176" fontId="12" fillId="4" borderId="15" xfId="66" applyNumberFormat="1" applyFont="1" applyFill="1" applyBorder="1" applyAlignment="1" applyProtection="1">
      <alignment vertical="center"/>
      <protection/>
    </xf>
    <xf numFmtId="0" fontId="29" fillId="0" borderId="0" xfId="0" applyFont="1" applyAlignment="1">
      <alignment vertical="center"/>
    </xf>
    <xf numFmtId="173" fontId="4" fillId="18" borderId="26" xfId="67" applyNumberFormat="1" applyFont="1" applyFill="1" applyBorder="1" applyAlignment="1" applyProtection="1">
      <alignment horizontal="center"/>
      <protection locked="0"/>
    </xf>
    <xf numFmtId="0" fontId="22" fillId="4" borderId="15" xfId="67" applyFont="1" applyFill="1" applyBorder="1" applyProtection="1">
      <alignment/>
      <protection/>
    </xf>
    <xf numFmtId="0" fontId="4" fillId="4" borderId="0" xfId="67" applyFont="1" applyFill="1" applyBorder="1" applyProtection="1">
      <alignment/>
      <protection/>
    </xf>
    <xf numFmtId="176" fontId="4" fillId="4" borderId="26" xfId="67" applyNumberFormat="1" applyFont="1" applyFill="1" applyBorder="1" applyAlignment="1" applyProtection="1">
      <alignment horizontal="center"/>
      <protection/>
    </xf>
    <xf numFmtId="0" fontId="4" fillId="4" borderId="21" xfId="67" applyFont="1" applyFill="1" applyBorder="1" applyProtection="1">
      <alignment/>
      <protection/>
    </xf>
    <xf numFmtId="0" fontId="4" fillId="4" borderId="10" xfId="67" applyFont="1" applyFill="1" applyBorder="1" applyProtection="1">
      <alignment/>
      <protection/>
    </xf>
    <xf numFmtId="176" fontId="4" fillId="22" borderId="16" xfId="67" applyNumberFormat="1" applyFont="1" applyFill="1" applyBorder="1" applyAlignment="1" applyProtection="1">
      <alignment horizontal="center"/>
      <protection/>
    </xf>
    <xf numFmtId="0" fontId="4" fillId="0" borderId="0" xfId="67" applyFont="1" applyFill="1" applyBorder="1" applyProtection="1">
      <alignment/>
      <protection/>
    </xf>
    <xf numFmtId="0" fontId="4" fillId="4" borderId="15" xfId="67" applyFont="1" applyFill="1" applyBorder="1" applyProtection="1">
      <alignment/>
      <protection/>
    </xf>
    <xf numFmtId="0" fontId="4" fillId="4" borderId="26" xfId="67" applyFont="1" applyFill="1" applyBorder="1" applyProtection="1">
      <alignment/>
      <protection/>
    </xf>
    <xf numFmtId="171" fontId="4" fillId="4" borderId="26" xfId="67" applyNumberFormat="1" applyFont="1" applyFill="1" applyBorder="1" applyAlignment="1" applyProtection="1">
      <alignment horizontal="center"/>
      <protection/>
    </xf>
    <xf numFmtId="0" fontId="4" fillId="22" borderId="15" xfId="67" applyFont="1" applyFill="1" applyBorder="1" applyProtection="1">
      <alignment/>
      <protection/>
    </xf>
    <xf numFmtId="0" fontId="4" fillId="22" borderId="0" xfId="67" applyFont="1" applyFill="1" applyBorder="1" applyProtection="1">
      <alignment/>
      <protection/>
    </xf>
    <xf numFmtId="0" fontId="4" fillId="22" borderId="21" xfId="67" applyFont="1" applyFill="1" applyBorder="1" applyProtection="1">
      <alignment/>
      <protection/>
    </xf>
    <xf numFmtId="0" fontId="4" fillId="22" borderId="10" xfId="67" applyFont="1" applyFill="1" applyBorder="1" applyProtection="1">
      <alignment/>
      <protection/>
    </xf>
    <xf numFmtId="0" fontId="4" fillId="0" borderId="0" xfId="67" applyFont="1" applyProtection="1">
      <alignment/>
      <protection/>
    </xf>
    <xf numFmtId="176" fontId="4" fillId="4" borderId="16" xfId="67" applyNumberFormat="1" applyFont="1" applyFill="1" applyBorder="1" applyAlignment="1" applyProtection="1">
      <alignment horizontal="center"/>
      <protection/>
    </xf>
    <xf numFmtId="171" fontId="4" fillId="4" borderId="12" xfId="0" applyNumberFormat="1" applyFont="1" applyFill="1" applyBorder="1" applyAlignment="1" applyProtection="1">
      <alignment horizontal="center" vertical="center"/>
      <protection/>
    </xf>
    <xf numFmtId="3" fontId="4" fillId="7" borderId="24" xfId="0" applyNumberFormat="1" applyFont="1" applyFill="1" applyBorder="1" applyAlignment="1" applyProtection="1">
      <alignment horizontal="center" vertical="center"/>
      <protection/>
    </xf>
    <xf numFmtId="3" fontId="4" fillId="4" borderId="27" xfId="0" applyNumberFormat="1" applyFont="1" applyFill="1" applyBorder="1" applyAlignment="1" applyProtection="1">
      <alignment horizontal="center" vertical="center"/>
      <protection/>
    </xf>
    <xf numFmtId="0" fontId="4" fillId="4" borderId="27" xfId="0" applyFont="1" applyFill="1" applyBorder="1" applyAlignment="1" applyProtection="1">
      <alignment horizontal="center" vertical="center"/>
      <protection/>
    </xf>
    <xf numFmtId="37" fontId="4" fillId="18" borderId="19" xfId="62" applyNumberFormat="1" applyFont="1" applyFill="1" applyBorder="1" applyAlignment="1" applyProtection="1">
      <alignment vertical="center"/>
      <protection locked="0"/>
    </xf>
    <xf numFmtId="0" fontId="0" fillId="22" borderId="14" xfId="0" applyFill="1" applyBorder="1" applyAlignment="1" applyProtection="1">
      <alignment vertical="center"/>
      <protection/>
    </xf>
    <xf numFmtId="0" fontId="15" fillId="22" borderId="16" xfId="0" applyFont="1" applyFill="1" applyBorder="1" applyAlignment="1" applyProtection="1">
      <alignment horizontal="center" vertical="center"/>
      <protection/>
    </xf>
    <xf numFmtId="3" fontId="4" fillId="7" borderId="28" xfId="0" applyNumberFormat="1" applyFont="1" applyFill="1" applyBorder="1" applyAlignment="1" applyProtection="1">
      <alignment horizontal="center" vertical="center"/>
      <protection/>
    </xf>
    <xf numFmtId="164" fontId="4" fillId="4" borderId="0" xfId="0" applyNumberFormat="1" applyFont="1" applyFill="1" applyBorder="1" applyAlignment="1" applyProtection="1">
      <alignment vertical="center"/>
      <protection/>
    </xf>
    <xf numFmtId="3" fontId="4" fillId="4" borderId="12" xfId="0" applyNumberFormat="1" applyFont="1" applyFill="1" applyBorder="1" applyAlignment="1" applyProtection="1">
      <alignment horizontal="right" vertical="center"/>
      <protection/>
    </xf>
    <xf numFmtId="3" fontId="4" fillId="18" borderId="12" xfId="42" applyNumberFormat="1" applyFont="1" applyFill="1" applyBorder="1" applyAlignment="1" applyProtection="1">
      <alignment horizontal="right" vertical="center"/>
      <protection locked="0"/>
    </xf>
    <xf numFmtId="37" fontId="4" fillId="4" borderId="10" xfId="0" applyNumberFormat="1" applyFont="1" applyFill="1" applyBorder="1" applyAlignment="1" applyProtection="1">
      <alignment vertical="center"/>
      <protection locked="0"/>
    </xf>
    <xf numFmtId="1" fontId="7" fillId="4" borderId="25" xfId="0" applyNumberFormat="1" applyFont="1" applyFill="1" applyBorder="1" applyAlignment="1" applyProtection="1">
      <alignment horizontal="center" vertical="center"/>
      <protection/>
    </xf>
    <xf numFmtId="37" fontId="7" fillId="4" borderId="25" xfId="0" applyNumberFormat="1" applyFont="1" applyFill="1" applyBorder="1" applyAlignment="1" applyProtection="1">
      <alignment horizontal="center" vertical="center"/>
      <protection/>
    </xf>
    <xf numFmtId="37" fontId="7" fillId="4" borderId="13" xfId="0" applyNumberFormat="1" applyFont="1" applyFill="1" applyBorder="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0" fontId="3" fillId="4" borderId="10" xfId="0" applyFont="1" applyFill="1" applyBorder="1" applyAlignment="1" applyProtection="1">
      <alignment vertical="center"/>
      <protection/>
    </xf>
    <xf numFmtId="177" fontId="4" fillId="4" borderId="12" xfId="0" applyNumberFormat="1" applyFont="1" applyFill="1" applyBorder="1" applyAlignment="1" applyProtection="1">
      <alignment horizontal="center" vertical="center"/>
      <protection/>
    </xf>
    <xf numFmtId="176" fontId="4" fillId="22" borderId="26" xfId="67" applyNumberFormat="1" applyFont="1" applyFill="1" applyBorder="1" applyAlignment="1" applyProtection="1">
      <alignment horizontal="center"/>
      <protection/>
    </xf>
    <xf numFmtId="0" fontId="4" fillId="22" borderId="21" xfId="0" applyFont="1" applyFill="1" applyBorder="1" applyAlignment="1">
      <alignment vertical="center"/>
    </xf>
    <xf numFmtId="0" fontId="4" fillId="22" borderId="10" xfId="0" applyFont="1" applyFill="1" applyBorder="1" applyAlignment="1">
      <alignment vertical="center"/>
    </xf>
    <xf numFmtId="176" fontId="4" fillId="22" borderId="16" xfId="0" applyNumberFormat="1" applyFont="1" applyFill="1" applyBorder="1" applyAlignment="1">
      <alignment horizontal="center" vertical="center"/>
    </xf>
    <xf numFmtId="173" fontId="4" fillId="7" borderId="29" xfId="0" applyNumberFormat="1" applyFont="1" applyFill="1" applyBorder="1" applyAlignment="1" applyProtection="1">
      <alignment horizontal="center" vertical="center"/>
      <protection/>
    </xf>
    <xf numFmtId="0" fontId="8" fillId="21" borderId="12" xfId="0" applyFont="1" applyFill="1" applyBorder="1" applyAlignment="1" applyProtection="1">
      <alignment vertical="center" shrinkToFit="1"/>
      <protection/>
    </xf>
    <xf numFmtId="164" fontId="4" fillId="18" borderId="12" xfId="0" applyNumberFormat="1" applyFont="1" applyFill="1" applyBorder="1" applyAlignment="1" applyProtection="1">
      <alignment/>
      <protection locked="0"/>
    </xf>
    <xf numFmtId="0" fontId="4" fillId="18" borderId="10" xfId="0" applyFont="1" applyFill="1" applyBorder="1" applyAlignment="1" applyProtection="1">
      <alignment/>
      <protection locked="0"/>
    </xf>
    <xf numFmtId="0" fontId="4" fillId="18" borderId="11" xfId="0" applyFont="1" applyFill="1" applyBorder="1" applyAlignment="1" applyProtection="1">
      <alignment/>
      <protection locked="0"/>
    </xf>
    <xf numFmtId="0" fontId="4" fillId="18" borderId="0" xfId="0" applyFont="1" applyFill="1" applyAlignment="1" applyProtection="1">
      <alignment/>
      <protection locked="0"/>
    </xf>
    <xf numFmtId="0" fontId="4" fillId="18" borderId="14" xfId="0" applyFont="1" applyFill="1" applyBorder="1" applyAlignment="1" applyProtection="1">
      <alignment horizontal="center"/>
      <protection locked="0"/>
    </xf>
    <xf numFmtId="0" fontId="4" fillId="18" borderId="12" xfId="0" applyFont="1" applyFill="1" applyBorder="1" applyAlignment="1" applyProtection="1">
      <alignment horizontal="center"/>
      <protection locked="0"/>
    </xf>
    <xf numFmtId="170" fontId="4" fillId="18" borderId="12" xfId="42" applyNumberFormat="1" applyFont="1" applyFill="1" applyBorder="1" applyAlignment="1" applyProtection="1">
      <alignment horizontal="center" vertical="center"/>
      <protection locked="0"/>
    </xf>
    <xf numFmtId="0" fontId="4" fillId="18" borderId="12" xfId="0" applyFont="1" applyFill="1" applyBorder="1" applyAlignment="1" applyProtection="1">
      <alignment/>
      <protection locked="0"/>
    </xf>
    <xf numFmtId="168" fontId="4" fillId="18" borderId="12" xfId="0" applyNumberFormat="1" applyFont="1" applyFill="1" applyBorder="1" applyAlignment="1" applyProtection="1">
      <alignment horizontal="center"/>
      <protection locked="0"/>
    </xf>
    <xf numFmtId="2" fontId="4" fillId="18" borderId="12" xfId="0" applyNumberFormat="1" applyFont="1" applyFill="1" applyBorder="1" applyAlignment="1" applyProtection="1">
      <alignment horizontal="center"/>
      <protection locked="0"/>
    </xf>
    <xf numFmtId="3" fontId="4" fillId="18" borderId="12" xfId="0" applyNumberFormat="1" applyFont="1" applyFill="1" applyBorder="1" applyAlignment="1" applyProtection="1">
      <alignment horizontal="center"/>
      <protection locked="0"/>
    </xf>
    <xf numFmtId="37" fontId="4" fillId="18" borderId="19" xfId="0" applyNumberFormat="1" applyFont="1" applyFill="1" applyBorder="1" applyAlignment="1" applyProtection="1">
      <alignment/>
      <protection locked="0"/>
    </xf>
    <xf numFmtId="0" fontId="4" fillId="18" borderId="12" xfId="0" applyFont="1" applyFill="1" applyBorder="1" applyAlignment="1" applyProtection="1">
      <alignment horizontal="left"/>
      <protection locked="0"/>
    </xf>
    <xf numFmtId="0" fontId="4" fillId="18" borderId="12" xfId="0" applyFont="1" applyFill="1" applyBorder="1" applyAlignment="1" applyProtection="1">
      <alignment horizontal="left"/>
      <protection locked="0"/>
    </xf>
    <xf numFmtId="0" fontId="4" fillId="18" borderId="0" xfId="0" applyFont="1" applyFill="1" applyAlignment="1" applyProtection="1">
      <alignment horizontal="left"/>
      <protection locked="0"/>
    </xf>
    <xf numFmtId="0" fontId="4" fillId="18" borderId="19" xfId="0" applyFont="1" applyFill="1" applyBorder="1" applyAlignment="1" applyProtection="1">
      <alignment/>
      <protection locked="0"/>
    </xf>
    <xf numFmtId="37" fontId="4" fillId="18" borderId="0" xfId="0" applyNumberFormat="1" applyFont="1" applyFill="1" applyAlignment="1" applyProtection="1">
      <alignment horizontal="center" vertical="center"/>
      <protection locked="0"/>
    </xf>
    <xf numFmtId="0" fontId="4" fillId="0" borderId="0" xfId="0" applyFont="1" applyFill="1" applyAlignment="1" applyProtection="1">
      <alignment vertical="center"/>
      <protection locked="0"/>
    </xf>
    <xf numFmtId="37" fontId="4" fillId="0" borderId="12" xfId="0" applyNumberFormat="1" applyFont="1" applyFill="1" applyBorder="1" applyAlignment="1" applyProtection="1">
      <alignment vertical="center"/>
      <protection locked="0"/>
    </xf>
    <xf numFmtId="0" fontId="4" fillId="18" borderId="15" xfId="0" applyFont="1" applyFill="1" applyBorder="1" applyAlignment="1" applyProtection="1">
      <alignment horizontal="left"/>
      <protection locked="0"/>
    </xf>
    <xf numFmtId="0" fontId="4" fillId="18" borderId="26" xfId="0" applyFont="1" applyFill="1" applyBorder="1" applyAlignment="1" applyProtection="1">
      <alignment horizontal="left"/>
      <protection locked="0"/>
    </xf>
    <xf numFmtId="0" fontId="4" fillId="18" borderId="0" xfId="0" applyFont="1" applyFill="1" applyAlignment="1" applyProtection="1">
      <alignment horizontal="center" vertical="center"/>
      <protection locked="0"/>
    </xf>
    <xf numFmtId="0" fontId="4" fillId="4" borderId="19" xfId="0" applyFont="1" applyFill="1" applyBorder="1" applyAlignment="1" applyProtection="1">
      <alignment horizontal="right" vertical="center"/>
      <protection locked="0"/>
    </xf>
    <xf numFmtId="0" fontId="4" fillId="4" borderId="12" xfId="0" applyFont="1" applyFill="1" applyBorder="1" applyAlignment="1" applyProtection="1">
      <alignment horizontal="right" vertical="center"/>
      <protection locked="0"/>
    </xf>
    <xf numFmtId="0" fontId="0" fillId="0" borderId="16" xfId="0" applyBorder="1" applyAlignment="1" applyProtection="1">
      <alignment vertical="center"/>
      <protection/>
    </xf>
    <xf numFmtId="1" fontId="4" fillId="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23" fillId="4" borderId="25" xfId="66" applyFont="1" applyFill="1" applyBorder="1" applyAlignment="1" applyProtection="1">
      <alignment horizontal="center" vertical="center"/>
      <protection/>
    </xf>
    <xf numFmtId="37" fontId="4" fillId="4" borderId="11" xfId="0" applyNumberFormat="1" applyFont="1" applyFill="1" applyBorder="1" applyAlignment="1" applyProtection="1">
      <alignment horizontal="center" vertical="center"/>
      <protection/>
    </xf>
    <xf numFmtId="0" fontId="0" fillId="0" borderId="17" xfId="0" applyBorder="1" applyAlignment="1">
      <alignment vertical="center"/>
    </xf>
    <xf numFmtId="0" fontId="4" fillId="4" borderId="21" xfId="0" applyFont="1" applyFill="1" applyBorder="1" applyAlignment="1" applyProtection="1">
      <alignment horizontal="center" vertical="center"/>
      <protection/>
    </xf>
    <xf numFmtId="37" fontId="13" fillId="4" borderId="0" xfId="0" applyNumberFormat="1" applyFont="1" applyFill="1" applyAlignment="1" applyProtection="1">
      <alignment horizontal="center" vertical="center"/>
      <protection/>
    </xf>
    <xf numFmtId="0" fontId="14" fillId="0" borderId="0" xfId="0" applyFont="1" applyAlignment="1">
      <alignment horizontal="center" vertical="center"/>
    </xf>
    <xf numFmtId="0" fontId="15" fillId="4" borderId="0" xfId="0" applyFont="1" applyFill="1" applyBorder="1" applyAlignment="1">
      <alignment vertical="center"/>
    </xf>
    <xf numFmtId="0" fontId="17" fillId="0" borderId="0" xfId="0" applyFont="1" applyAlignment="1">
      <alignment vertical="center"/>
    </xf>
    <xf numFmtId="37" fontId="11" fillId="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4" fillId="14" borderId="18" xfId="0" applyFont="1" applyFill="1" applyBorder="1" applyAlignment="1">
      <alignment vertical="center" wrapText="1"/>
    </xf>
    <xf numFmtId="0" fontId="0" fillId="0" borderId="18" xfId="0" applyBorder="1" applyAlignment="1">
      <alignment vertical="center" wrapText="1"/>
    </xf>
    <xf numFmtId="0" fontId="3" fillId="21" borderId="0" xfId="0" applyFont="1" applyFill="1" applyBorder="1" applyAlignment="1">
      <alignment horizontal="center" vertical="center"/>
    </xf>
    <xf numFmtId="0" fontId="2" fillId="21" borderId="0" xfId="0" applyFont="1" applyFill="1" applyBorder="1" applyAlignment="1">
      <alignment horizontal="center" vertical="center"/>
    </xf>
    <xf numFmtId="0" fontId="4" fillId="0" borderId="0" xfId="323" applyFont="1" applyAlignment="1">
      <alignment horizontal="left" vertical="center" wrapText="1"/>
      <protection/>
    </xf>
    <xf numFmtId="0" fontId="21" fillId="0" borderId="0" xfId="323" applyAlignment="1">
      <alignment horizontal="left" vertical="center" wrapText="1"/>
      <protection/>
    </xf>
    <xf numFmtId="0" fontId="11" fillId="0" borderId="0" xfId="323" applyFont="1" applyAlignment="1">
      <alignment horizontal="left" vertical="center"/>
      <protection/>
    </xf>
    <xf numFmtId="37" fontId="11" fillId="4" borderId="0" xfId="0" applyNumberFormat="1" applyFont="1" applyFill="1" applyAlignment="1" applyProtection="1">
      <alignment horizontal="center" vertical="center"/>
      <protection/>
    </xf>
    <xf numFmtId="0" fontId="2"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8" fillId="4" borderId="0" xfId="0" applyFont="1" applyFill="1" applyBorder="1" applyAlignment="1" applyProtection="1">
      <alignment horizontal="center" vertical="center" wrapText="1" shrinkToFit="1"/>
      <protection/>
    </xf>
    <xf numFmtId="0" fontId="0" fillId="4" borderId="10" xfId="0" applyFill="1" applyBorder="1" applyAlignment="1">
      <alignment horizontal="center" vertical="center" wrapText="1"/>
    </xf>
    <xf numFmtId="0" fontId="4" fillId="4" borderId="0" xfId="0" applyFont="1" applyFill="1" applyAlignment="1" applyProtection="1">
      <alignment horizontal="center" vertical="center"/>
      <protection/>
    </xf>
    <xf numFmtId="0" fontId="0" fillId="0" borderId="0" xfId="0" applyAlignment="1">
      <alignment vertical="center"/>
    </xf>
    <xf numFmtId="0" fontId="8" fillId="21"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4" fillId="0" borderId="0" xfId="0" applyFont="1" applyAlignment="1" applyProtection="1">
      <alignment horizontal="center" vertical="center"/>
      <protection/>
    </xf>
    <xf numFmtId="0" fontId="6" fillId="4" borderId="0" xfId="0" applyFont="1" applyFill="1" applyAlignment="1" applyProtection="1">
      <alignment horizontal="center" vertical="center"/>
      <protection/>
    </xf>
    <xf numFmtId="0" fontId="6" fillId="4" borderId="0" xfId="0" applyFont="1" applyFill="1" applyAlignment="1" applyProtection="1">
      <alignment horizontal="center" vertical="center" wrapText="1"/>
      <protection/>
    </xf>
    <xf numFmtId="37" fontId="3" fillId="4" borderId="0" xfId="0" applyNumberFormat="1" applyFont="1" applyFill="1" applyAlignment="1" applyProtection="1">
      <alignment horizontal="center" vertical="center"/>
      <protection/>
    </xf>
    <xf numFmtId="0" fontId="3" fillId="4" borderId="0" xfId="0" applyFont="1" applyFill="1" applyAlignment="1" applyProtection="1">
      <alignment horizontal="center" vertical="center"/>
      <protection/>
    </xf>
    <xf numFmtId="37" fontId="4" fillId="4" borderId="19" xfId="0" applyNumberFormat="1" applyFont="1" applyFill="1" applyBorder="1" applyAlignment="1" applyProtection="1">
      <alignment horizontal="center" vertical="center"/>
      <protection/>
    </xf>
    <xf numFmtId="0" fontId="24" fillId="0" borderId="18" xfId="66" applyFont="1" applyBorder="1" applyAlignment="1" applyProtection="1">
      <alignment horizontal="center" vertical="center"/>
      <protection/>
    </xf>
    <xf numFmtId="0" fontId="0" fillId="0" borderId="23" xfId="66" applyBorder="1" applyAlignment="1" applyProtection="1">
      <alignment vertical="center"/>
      <protection/>
    </xf>
    <xf numFmtId="0" fontId="23" fillId="4" borderId="18" xfId="66" applyFont="1" applyFill="1" applyBorder="1" applyAlignment="1" applyProtection="1">
      <alignment horizontal="center" vertical="center"/>
      <protection/>
    </xf>
    <xf numFmtId="3" fontId="4" fillId="4" borderId="18" xfId="68" applyNumberFormat="1" applyFont="1" applyFill="1" applyBorder="1" applyAlignment="1" applyProtection="1">
      <alignment horizontal="right" vertical="center"/>
      <protection/>
    </xf>
    <xf numFmtId="0" fontId="0" fillId="0" borderId="23" xfId="68" applyBorder="1" applyAlignment="1">
      <alignment horizontal="right" vertical="center"/>
      <protection/>
    </xf>
    <xf numFmtId="0" fontId="4" fillId="4" borderId="0" xfId="68" applyFont="1" applyFill="1" applyAlignment="1" applyProtection="1">
      <alignment horizontal="right" vertical="center"/>
      <protection/>
    </xf>
    <xf numFmtId="0" fontId="4" fillId="0" borderId="26" xfId="68" applyFont="1" applyBorder="1" applyAlignment="1">
      <alignment horizontal="right" vertical="center"/>
      <protection/>
    </xf>
    <xf numFmtId="0" fontId="4"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4" fillId="18" borderId="19" xfId="0" applyFont="1" applyFill="1" applyBorder="1" applyAlignment="1" applyProtection="1">
      <alignment horizontal="left"/>
      <protection locked="0"/>
    </xf>
    <xf numFmtId="0" fontId="0" fillId="0" borderId="17" xfId="0" applyBorder="1" applyAlignment="1" applyProtection="1">
      <alignment horizontal="left"/>
      <protection locked="0"/>
    </xf>
    <xf numFmtId="0" fontId="27" fillId="4" borderId="25" xfId="66" applyFont="1" applyFill="1" applyBorder="1" applyAlignment="1" applyProtection="1">
      <alignment horizontal="center" vertical="center"/>
      <protection/>
    </xf>
    <xf numFmtId="0" fontId="14" fillId="0" borderId="18" xfId="66" applyFont="1" applyBorder="1" applyAlignment="1" applyProtection="1">
      <alignment horizontal="center" vertical="center"/>
      <protection/>
    </xf>
    <xf numFmtId="0" fontId="14" fillId="0" borderId="23" xfId="66" applyFont="1" applyBorder="1" applyAlignment="1" applyProtection="1">
      <alignment horizontal="center" vertical="center"/>
      <protection/>
    </xf>
    <xf numFmtId="0" fontId="4" fillId="4" borderId="0" xfId="55" applyNumberFormat="1" applyFont="1" applyFill="1" applyBorder="1" applyAlignment="1" applyProtection="1">
      <alignment horizontal="right" vertical="center"/>
      <protection/>
    </xf>
    <xf numFmtId="0" fontId="4" fillId="0" borderId="0" xfId="55" applyFont="1" applyAlignment="1" applyProtection="1">
      <alignment horizontal="right" vertical="center"/>
      <protection/>
    </xf>
    <xf numFmtId="0" fontId="3" fillId="4" borderId="19" xfId="0" applyFont="1" applyFill="1" applyBorder="1" applyAlignment="1">
      <alignment vertical="center"/>
    </xf>
    <xf numFmtId="0" fontId="3" fillId="4" borderId="17" xfId="0" applyFont="1" applyFill="1" applyBorder="1" applyAlignment="1">
      <alignment vertical="center"/>
    </xf>
    <xf numFmtId="37" fontId="4" fillId="4" borderId="0" xfId="88" applyNumberFormat="1" applyFont="1" applyFill="1" applyAlignment="1" applyProtection="1">
      <alignment horizontal="center"/>
      <protection/>
    </xf>
    <xf numFmtId="0" fontId="3" fillId="4" borderId="10" xfId="0" applyNumberFormat="1" applyFont="1" applyFill="1" applyBorder="1" applyAlignment="1" applyProtection="1">
      <alignment horizontal="center" vertical="center"/>
      <protection locked="0"/>
    </xf>
    <xf numFmtId="0" fontId="11" fillId="4" borderId="25" xfId="67"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67" applyBorder="1" applyAlignment="1" applyProtection="1">
      <alignment horizontal="center"/>
      <protection/>
    </xf>
    <xf numFmtId="0" fontId="0" fillId="0" borderId="23" xfId="67" applyBorder="1" applyAlignment="1" applyProtection="1">
      <alignment horizontal="center"/>
      <protection/>
    </xf>
    <xf numFmtId="0" fontId="11" fillId="4" borderId="18" xfId="67" applyFont="1" applyFill="1" applyBorder="1" applyAlignment="1" applyProtection="1">
      <alignment horizontal="center"/>
      <protection/>
    </xf>
    <xf numFmtId="0" fontId="11" fillId="4" borderId="23" xfId="67"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4" fillId="0" borderId="0" xfId="0" applyFont="1" applyAlignment="1">
      <alignment horizontal="right"/>
    </xf>
    <xf numFmtId="0" fontId="4" fillId="0" borderId="0" xfId="0" applyFont="1" applyAlignment="1">
      <alignment horizontal="left" vertical="justify" wrapText="1"/>
    </xf>
    <xf numFmtId="0" fontId="4" fillId="0" borderId="0" xfId="0" applyFont="1" applyAlignment="1" applyProtection="1">
      <alignment horizontal="left" vertical="justify"/>
      <protection locked="0"/>
    </xf>
    <xf numFmtId="0" fontId="4" fillId="0" borderId="0" xfId="0" applyFont="1" applyAlignment="1">
      <alignment horizontal="center"/>
    </xf>
    <xf numFmtId="0" fontId="4" fillId="0" borderId="0" xfId="0" applyFont="1" applyAlignment="1">
      <alignment horizontal="center" wrapText="1"/>
    </xf>
  </cellXfs>
  <cellStyles count="3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2" xfId="59"/>
    <cellStyle name="Normal 10 3" xfId="60"/>
    <cellStyle name="Normal 10 4" xfId="61"/>
    <cellStyle name="Normal 10 5" xfId="62"/>
    <cellStyle name="Normal 10 6" xfId="63"/>
    <cellStyle name="Normal 11 2" xfId="64"/>
    <cellStyle name="Normal 11 3" xfId="65"/>
    <cellStyle name="Normal 12" xfId="66"/>
    <cellStyle name="Normal 12 10" xfId="67"/>
    <cellStyle name="Normal 12 2" xfId="68"/>
    <cellStyle name="Normal 12 2 2" xfId="69"/>
    <cellStyle name="Normal 12 3" xfId="70"/>
    <cellStyle name="Normal 12 4" xfId="71"/>
    <cellStyle name="Normal 12 5" xfId="72"/>
    <cellStyle name="Normal 12 6" xfId="73"/>
    <cellStyle name="Normal 12 7" xfId="74"/>
    <cellStyle name="Normal 12 8" xfId="75"/>
    <cellStyle name="Normal 12 9" xfId="76"/>
    <cellStyle name="Normal 13" xfId="77"/>
    <cellStyle name="Normal 13 10" xfId="78"/>
    <cellStyle name="Normal 13 2" xfId="79"/>
    <cellStyle name="Normal 13 2 2" xfId="80"/>
    <cellStyle name="Normal 13 3" xfId="81"/>
    <cellStyle name="Normal 13 4" xfId="82"/>
    <cellStyle name="Normal 13 5" xfId="83"/>
    <cellStyle name="Normal 13 6" xfId="84"/>
    <cellStyle name="Normal 13 7" xfId="85"/>
    <cellStyle name="Normal 13 8" xfId="86"/>
    <cellStyle name="Normal 13 9" xfId="87"/>
    <cellStyle name="Normal 14" xfId="88"/>
    <cellStyle name="Normal 14 2" xfId="89"/>
    <cellStyle name="Normal 14 3" xfId="90"/>
    <cellStyle name="Normal 14 4" xfId="91"/>
    <cellStyle name="Normal 14 5" xfId="92"/>
    <cellStyle name="Normal 14 6" xfId="93"/>
    <cellStyle name="Normal 15 2" xfId="94"/>
    <cellStyle name="Normal 15 3" xfId="95"/>
    <cellStyle name="Normal 16 2" xfId="96"/>
    <cellStyle name="Normal 16 3" xfId="97"/>
    <cellStyle name="Normal 17 2" xfId="98"/>
    <cellStyle name="Normal 17 3" xfId="99"/>
    <cellStyle name="Normal 18 2" xfId="100"/>
    <cellStyle name="Normal 18 2 2" xfId="101"/>
    <cellStyle name="Normal 18 2 3" xfId="102"/>
    <cellStyle name="Normal 18 3" xfId="103"/>
    <cellStyle name="Normal 18 4" xfId="104"/>
    <cellStyle name="Normal 18 5" xfId="105"/>
    <cellStyle name="Normal 18 6" xfId="106"/>
    <cellStyle name="Normal 19 2" xfId="107"/>
    <cellStyle name="Normal 19 2 2" xfId="108"/>
    <cellStyle name="Normal 19 2 3" xfId="109"/>
    <cellStyle name="Normal 19 3" xfId="110"/>
    <cellStyle name="Normal 19 4" xfId="111"/>
    <cellStyle name="Normal 19 5" xfId="112"/>
    <cellStyle name="Normal 19 6" xfId="113"/>
    <cellStyle name="Normal 2 10" xfId="114"/>
    <cellStyle name="Normal 2 10 10" xfId="115"/>
    <cellStyle name="Normal 2 10 2" xfId="116"/>
    <cellStyle name="Normal 2 10 2 2" xfId="117"/>
    <cellStyle name="Normal 2 10 3" xfId="118"/>
    <cellStyle name="Normal 2 10 3 2" xfId="119"/>
    <cellStyle name="Normal 2 10 4" xfId="120"/>
    <cellStyle name="Normal 2 10 4 2" xfId="121"/>
    <cellStyle name="Normal 2 10 5" xfId="122"/>
    <cellStyle name="Normal 2 10 5 2" xfId="123"/>
    <cellStyle name="Normal 2 10 6" xfId="124"/>
    <cellStyle name="Normal 2 10 6 2" xfId="125"/>
    <cellStyle name="Normal 2 10 7" xfId="126"/>
    <cellStyle name="Normal 2 10 7 2" xfId="127"/>
    <cellStyle name="Normal 2 10 8" xfId="128"/>
    <cellStyle name="Normal 2 10 8 2" xfId="129"/>
    <cellStyle name="Normal 2 10 9" xfId="130"/>
    <cellStyle name="Normal 2 11" xfId="131"/>
    <cellStyle name="Normal 2 11 10" xfId="132"/>
    <cellStyle name="Normal 2 11 2" xfId="133"/>
    <cellStyle name="Normal 2 11 2 2" xfId="134"/>
    <cellStyle name="Normal 2 11 3" xfId="135"/>
    <cellStyle name="Normal 2 11 3 2" xfId="136"/>
    <cellStyle name="Normal 2 11 4" xfId="137"/>
    <cellStyle name="Normal 2 11 4 2" xfId="138"/>
    <cellStyle name="Normal 2 11 5" xfId="139"/>
    <cellStyle name="Normal 2 11 5 2" xfId="140"/>
    <cellStyle name="Normal 2 11 6" xfId="141"/>
    <cellStyle name="Normal 2 11 6 2" xfId="142"/>
    <cellStyle name="Normal 2 11 7" xfId="143"/>
    <cellStyle name="Normal 2 11 7 2" xfId="144"/>
    <cellStyle name="Normal 2 11 8" xfId="145"/>
    <cellStyle name="Normal 2 11 8 2" xfId="146"/>
    <cellStyle name="Normal 2 11 9" xfId="147"/>
    <cellStyle name="Normal 2 12" xfId="148"/>
    <cellStyle name="Normal 2 13" xfId="149"/>
    <cellStyle name="Normal 2 14" xfId="150"/>
    <cellStyle name="Normal 2 2" xfId="151"/>
    <cellStyle name="Normal 2 2 10" xfId="152"/>
    <cellStyle name="Normal 2 2 10 2" xfId="153"/>
    <cellStyle name="Normal 2 2 11" xfId="154"/>
    <cellStyle name="Normal 2 2 11 2" xfId="155"/>
    <cellStyle name="Normal 2 2 12" xfId="156"/>
    <cellStyle name="Normal 2 2 12 2" xfId="157"/>
    <cellStyle name="Normal 2 2 13" xfId="158"/>
    <cellStyle name="Normal 2 2 13 2" xfId="159"/>
    <cellStyle name="Normal 2 2 14" xfId="160"/>
    <cellStyle name="Normal 2 2 14 2" xfId="161"/>
    <cellStyle name="Normal 2 2 15" xfId="162"/>
    <cellStyle name="Normal 2 2 15 2" xfId="163"/>
    <cellStyle name="Normal 2 2 16" xfId="164"/>
    <cellStyle name="Normal 2 2 17" xfId="165"/>
    <cellStyle name="Normal 2 2 18" xfId="166"/>
    <cellStyle name="Normal 2 2 19" xfId="167"/>
    <cellStyle name="Normal 2 2 2" xfId="168"/>
    <cellStyle name="Normal 2 2 2 2" xfId="169"/>
    <cellStyle name="Normal 2 2 2 2 2" xfId="170"/>
    <cellStyle name="Normal 2 2 2 3" xfId="171"/>
    <cellStyle name="Normal 2 2 2 3 2" xfId="172"/>
    <cellStyle name="Normal 2 2 2 4" xfId="173"/>
    <cellStyle name="Normal 2 2 2 4 2" xfId="174"/>
    <cellStyle name="Normal 2 2 2 5" xfId="175"/>
    <cellStyle name="Normal 2 2 2 5 2" xfId="176"/>
    <cellStyle name="Normal 2 2 2 6" xfId="177"/>
    <cellStyle name="Normal 2 2 2 6 2" xfId="178"/>
    <cellStyle name="Normal 2 2 2 7" xfId="179"/>
    <cellStyle name="Normal 2 2 2 8" xfId="180"/>
    <cellStyle name="Normal 2 2 20" xfId="181"/>
    <cellStyle name="Normal 2 2 21" xfId="182"/>
    <cellStyle name="Normal 2 2 3" xfId="183"/>
    <cellStyle name="Normal 2 2 3 2" xfId="184"/>
    <cellStyle name="Normal 2 2 4" xfId="185"/>
    <cellStyle name="Normal 2 2 4 2" xfId="186"/>
    <cellStyle name="Normal 2 2 5" xfId="187"/>
    <cellStyle name="Normal 2 2 5 2" xfId="188"/>
    <cellStyle name="Normal 2 2 6" xfId="189"/>
    <cellStyle name="Normal 2 2 6 2" xfId="190"/>
    <cellStyle name="Normal 2 2 7" xfId="191"/>
    <cellStyle name="Normal 2 2 7 2" xfId="192"/>
    <cellStyle name="Normal 2 2 8" xfId="193"/>
    <cellStyle name="Normal 2 2 8 2" xfId="194"/>
    <cellStyle name="Normal 2 2 9" xfId="195"/>
    <cellStyle name="Normal 2 2 9 2" xfId="196"/>
    <cellStyle name="Normal 2 3" xfId="197"/>
    <cellStyle name="Normal 2 3 10" xfId="198"/>
    <cellStyle name="Normal 2 3 11" xfId="199"/>
    <cellStyle name="Normal 2 3 2" xfId="200"/>
    <cellStyle name="Normal 2 3 2 2" xfId="201"/>
    <cellStyle name="Normal 2 3 3" xfId="202"/>
    <cellStyle name="Normal 2 3 3 2" xfId="203"/>
    <cellStyle name="Normal 2 3 4" xfId="204"/>
    <cellStyle name="Normal 2 3 5" xfId="205"/>
    <cellStyle name="Normal 2 3 6" xfId="206"/>
    <cellStyle name="Normal 2 3 7" xfId="207"/>
    <cellStyle name="Normal 2 3 8" xfId="208"/>
    <cellStyle name="Normal 2 3 9" xfId="209"/>
    <cellStyle name="Normal 2 4" xfId="210"/>
    <cellStyle name="Normal 2 4 10" xfId="211"/>
    <cellStyle name="Normal 2 4 11" xfId="212"/>
    <cellStyle name="Normal 2 4 2" xfId="213"/>
    <cellStyle name="Normal 2 4 2 2" xfId="214"/>
    <cellStyle name="Normal 2 4 3" xfId="215"/>
    <cellStyle name="Normal 2 4 3 2" xfId="216"/>
    <cellStyle name="Normal 2 4 4" xfId="217"/>
    <cellStyle name="Normal 2 4 5" xfId="218"/>
    <cellStyle name="Normal 2 4 6" xfId="219"/>
    <cellStyle name="Normal 2 4 7" xfId="220"/>
    <cellStyle name="Normal 2 4 8" xfId="221"/>
    <cellStyle name="Normal 2 4 9" xfId="222"/>
    <cellStyle name="Normal 2 5" xfId="223"/>
    <cellStyle name="Normal 2 5 10" xfId="224"/>
    <cellStyle name="Normal 2 5 11" xfId="225"/>
    <cellStyle name="Normal 2 5 2" xfId="226"/>
    <cellStyle name="Normal 2 5 2 2" xfId="227"/>
    <cellStyle name="Normal 2 5 3" xfId="228"/>
    <cellStyle name="Normal 2 5 3 2" xfId="229"/>
    <cellStyle name="Normal 2 5 4" xfId="230"/>
    <cellStyle name="Normal 2 5 5" xfId="231"/>
    <cellStyle name="Normal 2 5 6" xfId="232"/>
    <cellStyle name="Normal 2 5 7" xfId="233"/>
    <cellStyle name="Normal 2 5 8" xfId="234"/>
    <cellStyle name="Normal 2 5 9" xfId="235"/>
    <cellStyle name="Normal 2 6" xfId="236"/>
    <cellStyle name="Normal 2 6 10" xfId="237"/>
    <cellStyle name="Normal 2 6 11" xfId="238"/>
    <cellStyle name="Normal 2 6 2" xfId="239"/>
    <cellStyle name="Normal 2 6 2 2" xfId="240"/>
    <cellStyle name="Normal 2 6 3" xfId="241"/>
    <cellStyle name="Normal 2 6 3 2" xfId="242"/>
    <cellStyle name="Normal 2 6 4" xfId="243"/>
    <cellStyle name="Normal 2 6 5" xfId="244"/>
    <cellStyle name="Normal 2 6 6" xfId="245"/>
    <cellStyle name="Normal 2 6 7" xfId="246"/>
    <cellStyle name="Normal 2 6 8" xfId="247"/>
    <cellStyle name="Normal 2 6 9" xfId="248"/>
    <cellStyle name="Normal 2 7" xfId="249"/>
    <cellStyle name="Normal 2 7 10" xfId="250"/>
    <cellStyle name="Normal 2 7 2" xfId="251"/>
    <cellStyle name="Normal 2 7 2 2" xfId="252"/>
    <cellStyle name="Normal 2 7 3" xfId="253"/>
    <cellStyle name="Normal 2 7 3 2" xfId="254"/>
    <cellStyle name="Normal 2 7 4" xfId="255"/>
    <cellStyle name="Normal 2 7 4 2" xfId="256"/>
    <cellStyle name="Normal 2 7 5" xfId="257"/>
    <cellStyle name="Normal 2 7 5 2" xfId="258"/>
    <cellStyle name="Normal 2 7 6" xfId="259"/>
    <cellStyle name="Normal 2 7 6 2" xfId="260"/>
    <cellStyle name="Normal 2 7 7" xfId="261"/>
    <cellStyle name="Normal 2 7 7 2" xfId="262"/>
    <cellStyle name="Normal 2 7 8" xfId="263"/>
    <cellStyle name="Normal 2 7 8 2" xfId="264"/>
    <cellStyle name="Normal 2 7 9" xfId="265"/>
    <cellStyle name="Normal 2 8" xfId="266"/>
    <cellStyle name="Normal 2 8 10" xfId="267"/>
    <cellStyle name="Normal 2 8 2" xfId="268"/>
    <cellStyle name="Normal 2 8 2 2" xfId="269"/>
    <cellStyle name="Normal 2 8 3" xfId="270"/>
    <cellStyle name="Normal 2 8 3 2" xfId="271"/>
    <cellStyle name="Normal 2 8 4" xfId="272"/>
    <cellStyle name="Normal 2 8 4 2" xfId="273"/>
    <cellStyle name="Normal 2 8 5" xfId="274"/>
    <cellStyle name="Normal 2 8 5 2" xfId="275"/>
    <cellStyle name="Normal 2 8 6" xfId="276"/>
    <cellStyle name="Normal 2 8 6 2" xfId="277"/>
    <cellStyle name="Normal 2 8 7" xfId="278"/>
    <cellStyle name="Normal 2 8 7 2" xfId="279"/>
    <cellStyle name="Normal 2 8 8" xfId="280"/>
    <cellStyle name="Normal 2 8 8 2" xfId="281"/>
    <cellStyle name="Normal 2 8 9" xfId="282"/>
    <cellStyle name="Normal 2 9" xfId="283"/>
    <cellStyle name="Normal 2 9 10" xfId="284"/>
    <cellStyle name="Normal 2 9 2" xfId="285"/>
    <cellStyle name="Normal 2 9 2 2" xfId="286"/>
    <cellStyle name="Normal 2 9 3" xfId="287"/>
    <cellStyle name="Normal 2 9 3 2" xfId="288"/>
    <cellStyle name="Normal 2 9 4" xfId="289"/>
    <cellStyle name="Normal 2 9 4 2" xfId="290"/>
    <cellStyle name="Normal 2 9 5" xfId="291"/>
    <cellStyle name="Normal 2 9 5 2" xfId="292"/>
    <cellStyle name="Normal 2 9 6" xfId="293"/>
    <cellStyle name="Normal 2 9 6 2" xfId="294"/>
    <cellStyle name="Normal 2 9 7" xfId="295"/>
    <cellStyle name="Normal 2 9 7 2" xfId="296"/>
    <cellStyle name="Normal 2 9 8" xfId="297"/>
    <cellStyle name="Normal 2 9 8 2" xfId="298"/>
    <cellStyle name="Normal 2 9 9" xfId="299"/>
    <cellStyle name="Normal 20" xfId="300"/>
    <cellStyle name="Normal 20 2" xfId="301"/>
    <cellStyle name="Normal 20 3" xfId="302"/>
    <cellStyle name="Normal 22" xfId="303"/>
    <cellStyle name="Normal 22 2" xfId="304"/>
    <cellStyle name="Normal 22 3" xfId="305"/>
    <cellStyle name="Normal 23" xfId="306"/>
    <cellStyle name="Normal 23 2" xfId="307"/>
    <cellStyle name="Normal 23 3" xfId="308"/>
    <cellStyle name="Normal 24" xfId="309"/>
    <cellStyle name="Normal 24 2" xfId="310"/>
    <cellStyle name="Normal 24 3" xfId="311"/>
    <cellStyle name="Normal 25" xfId="312"/>
    <cellStyle name="Normal 25 2" xfId="313"/>
    <cellStyle name="Normal 25 3" xfId="314"/>
    <cellStyle name="Normal 3" xfId="315"/>
    <cellStyle name="Normal 3 2" xfId="316"/>
    <cellStyle name="Normal 4" xfId="317"/>
    <cellStyle name="Normal 4 2" xfId="318"/>
    <cellStyle name="Normal 5 2" xfId="319"/>
    <cellStyle name="Normal 5 3" xfId="320"/>
    <cellStyle name="Normal 6" xfId="321"/>
    <cellStyle name="Normal 6 2" xfId="322"/>
    <cellStyle name="Normal 7 2" xfId="323"/>
    <cellStyle name="Normal 7 3" xfId="324"/>
    <cellStyle name="Normal 8 2" xfId="325"/>
    <cellStyle name="Normal 9 2" xfId="326"/>
    <cellStyle name="Normal 9 3" xfId="327"/>
    <cellStyle name="Normal_debt" xfId="328"/>
    <cellStyle name="Normal_lpform" xfId="329"/>
    <cellStyle name="Note" xfId="330"/>
    <cellStyle name="Output" xfId="331"/>
    <cellStyle name="Percent" xfId="332"/>
    <cellStyle name="Title" xfId="333"/>
    <cellStyle name="Total" xfId="334"/>
    <cellStyle name="Warning Text" xfId="335"/>
  </cellStyles>
  <dxfs count="86">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657225</xdr:colOff>
      <xdr:row>40</xdr:row>
      <xdr:rowOff>66675</xdr:rowOff>
    </xdr:to>
    <xdr:pic>
      <xdr:nvPicPr>
        <xdr:cNvPr id="1" name="Picture 1"/>
        <xdr:cNvPicPr preferRelativeResize="1">
          <a:picLocks noChangeAspect="1"/>
        </xdr:cNvPicPr>
      </xdr:nvPicPr>
      <xdr:blipFill>
        <a:blip r:embed="rId1"/>
        <a:stretch>
          <a:fillRect/>
        </a:stretch>
      </xdr:blipFill>
      <xdr:spPr>
        <a:xfrm>
          <a:off x="0" y="0"/>
          <a:ext cx="6524625" cy="768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561975</xdr:colOff>
      <xdr:row>45</xdr:row>
      <xdr:rowOff>0</xdr:rowOff>
    </xdr:to>
    <xdr:pic>
      <xdr:nvPicPr>
        <xdr:cNvPr id="1" name="Picture 1"/>
        <xdr:cNvPicPr preferRelativeResize="1">
          <a:picLocks noChangeAspect="1"/>
        </xdr:cNvPicPr>
      </xdr:nvPicPr>
      <xdr:blipFill>
        <a:blip r:embed="rId1"/>
        <a:stretch>
          <a:fillRect/>
        </a:stretch>
      </xdr:blipFill>
      <xdr:spPr>
        <a:xfrm>
          <a:off x="0" y="0"/>
          <a:ext cx="7267575" cy="8572500"/>
        </a:xfrm>
        <a:prstGeom prst="rect">
          <a:avLst/>
        </a:prstGeom>
        <a:noFill/>
        <a:ln w="9525" cmpd="sng">
          <a:noFill/>
        </a:ln>
      </xdr:spPr>
    </xdr:pic>
    <xdr:clientData/>
  </xdr:twoCellAnchor>
  <xdr:twoCellAnchor>
    <xdr:from>
      <xdr:col>9</xdr:col>
      <xdr:colOff>0</xdr:colOff>
      <xdr:row>0</xdr:row>
      <xdr:rowOff>0</xdr:rowOff>
    </xdr:from>
    <xdr:to>
      <xdr:col>17</xdr:col>
      <xdr:colOff>285750</xdr:colOff>
      <xdr:row>43</xdr:row>
      <xdr:rowOff>38100</xdr:rowOff>
    </xdr:to>
    <xdr:pic>
      <xdr:nvPicPr>
        <xdr:cNvPr id="2" name="Picture 2"/>
        <xdr:cNvPicPr preferRelativeResize="1">
          <a:picLocks noChangeAspect="1"/>
        </xdr:cNvPicPr>
      </xdr:nvPicPr>
      <xdr:blipFill>
        <a:blip r:embed="rId2"/>
        <a:stretch>
          <a:fillRect/>
        </a:stretch>
      </xdr:blipFill>
      <xdr:spPr>
        <a:xfrm>
          <a:off x="7543800" y="0"/>
          <a:ext cx="6991350" cy="822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B23" sqref="B23"/>
    </sheetView>
  </sheetViews>
  <sheetFormatPr defaultColWidth="8.8984375" defaultRowHeight="15"/>
  <cols>
    <col min="1" max="1" width="15.796875" style="11" customWidth="1"/>
    <col min="2" max="2" width="20.796875" style="11" customWidth="1"/>
    <col min="3" max="3" width="9.796875" style="11" customWidth="1"/>
    <col min="4" max="4" width="15.09765625" style="11" customWidth="1"/>
    <col min="5" max="5" width="15.796875" style="11" customWidth="1"/>
    <col min="6" max="16384" width="8.8984375" style="11" customWidth="1"/>
  </cols>
  <sheetData>
    <row r="1" spans="1:5" ht="15.75">
      <c r="A1" s="9" t="s">
        <v>269</v>
      </c>
      <c r="B1" s="10"/>
      <c r="C1" s="10"/>
      <c r="D1" s="10"/>
      <c r="E1" s="10"/>
    </row>
    <row r="2" spans="1:5" ht="15.75">
      <c r="A2" s="12" t="s">
        <v>7</v>
      </c>
      <c r="B2" s="10"/>
      <c r="C2" s="10"/>
      <c r="D2" s="13" t="s">
        <v>280</v>
      </c>
      <c r="E2" s="14"/>
    </row>
    <row r="3" spans="1:5" ht="15.75">
      <c r="A3" s="12" t="s">
        <v>8</v>
      </c>
      <c r="B3" s="10"/>
      <c r="C3" s="10"/>
      <c r="D3" s="15" t="s">
        <v>281</v>
      </c>
      <c r="E3" s="16"/>
    </row>
    <row r="4" spans="1:5" ht="15.75">
      <c r="A4" s="17"/>
      <c r="B4" s="10"/>
      <c r="C4" s="10"/>
      <c r="D4" s="18"/>
      <c r="E4" s="10"/>
    </row>
    <row r="5" spans="1:5" ht="15.75">
      <c r="A5" s="12" t="s">
        <v>235</v>
      </c>
      <c r="B5" s="10"/>
      <c r="C5" s="19">
        <v>2012</v>
      </c>
      <c r="D5" s="18"/>
      <c r="E5" s="10"/>
    </row>
    <row r="6" spans="1:5" ht="15.75">
      <c r="A6" s="10"/>
      <c r="B6" s="10"/>
      <c r="C6" s="10"/>
      <c r="D6" s="10"/>
      <c r="E6" s="10"/>
    </row>
    <row r="7" spans="1:5" ht="15.75">
      <c r="A7" s="20" t="s">
        <v>364</v>
      </c>
      <c r="B7" s="21"/>
      <c r="C7" s="21"/>
      <c r="D7" s="21"/>
      <c r="E7" s="21"/>
    </row>
    <row r="8" spans="1:5" ht="15.75">
      <c r="A8" s="20" t="s">
        <v>363</v>
      </c>
      <c r="B8" s="21"/>
      <c r="C8" s="21"/>
      <c r="D8" s="21"/>
      <c r="E8" s="21"/>
    </row>
    <row r="9" spans="1:5" ht="15.75">
      <c r="A9" s="22"/>
      <c r="B9" s="21"/>
      <c r="C9" s="21"/>
      <c r="D9" s="21"/>
      <c r="E9" s="21"/>
    </row>
    <row r="10" spans="1:5" ht="16.5">
      <c r="A10" s="474" t="s">
        <v>3</v>
      </c>
      <c r="B10" s="475"/>
      <c r="C10" s="475"/>
      <c r="D10" s="475"/>
      <c r="E10" s="475"/>
    </row>
    <row r="11" spans="1:5" ht="15.75">
      <c r="A11" s="23"/>
      <c r="B11" s="23"/>
      <c r="C11" s="23"/>
      <c r="D11" s="23"/>
      <c r="E11" s="23"/>
    </row>
    <row r="12" spans="1:5" ht="15.75">
      <c r="A12" s="24" t="s">
        <v>4</v>
      </c>
      <c r="B12" s="25"/>
      <c r="C12" s="10"/>
      <c r="D12" s="10"/>
      <c r="E12" s="10"/>
    </row>
    <row r="13" spans="1:5" ht="15.75">
      <c r="A13" s="26" t="str">
        <f>CONCATENATE("the ",C5-1," Budget, Certificate Page:")</f>
        <v>the 2011 Budget, Certificate Page:</v>
      </c>
      <c r="B13" s="27"/>
      <c r="C13" s="28"/>
      <c r="D13" s="10"/>
      <c r="E13" s="10"/>
    </row>
    <row r="14" spans="1:5" ht="15.75">
      <c r="A14" s="26" t="s">
        <v>366</v>
      </c>
      <c r="B14" s="27"/>
      <c r="C14" s="28"/>
      <c r="D14" s="10"/>
      <c r="E14" s="10"/>
    </row>
    <row r="15" spans="1:5" ht="15.75">
      <c r="A15" s="29"/>
      <c r="B15" s="10"/>
      <c r="C15" s="10"/>
      <c r="D15" s="30">
        <f>C5-1</f>
        <v>2011</v>
      </c>
      <c r="E15" s="31">
        <f>$C$5-2</f>
        <v>2010</v>
      </c>
    </row>
    <row r="16" spans="1:5" ht="15.75">
      <c r="A16" s="17" t="s">
        <v>356</v>
      </c>
      <c r="B16" s="10"/>
      <c r="C16" s="32" t="s">
        <v>357</v>
      </c>
      <c r="D16" s="33" t="s">
        <v>365</v>
      </c>
      <c r="E16" s="34" t="s">
        <v>355</v>
      </c>
    </row>
    <row r="17" spans="1:5" ht="15.75">
      <c r="A17" s="10"/>
      <c r="B17" s="35" t="s">
        <v>358</v>
      </c>
      <c r="C17" s="36" t="s">
        <v>205</v>
      </c>
      <c r="D17" s="37">
        <v>160527</v>
      </c>
      <c r="E17" s="38">
        <v>81466</v>
      </c>
    </row>
    <row r="18" spans="1:5" ht="15.75">
      <c r="A18" s="10"/>
      <c r="B18" s="35" t="s">
        <v>282</v>
      </c>
      <c r="C18" s="36" t="s">
        <v>236</v>
      </c>
      <c r="D18" s="37">
        <v>55756</v>
      </c>
      <c r="E18" s="38"/>
    </row>
    <row r="19" spans="1:5" ht="15.75">
      <c r="A19" s="17" t="s">
        <v>2</v>
      </c>
      <c r="B19" s="10"/>
      <c r="C19" s="10"/>
      <c r="D19" s="39"/>
      <c r="E19" s="40"/>
    </row>
    <row r="20" spans="1:5" ht="15.75">
      <c r="A20" s="17"/>
      <c r="B20" s="41"/>
      <c r="C20" s="355"/>
      <c r="D20" s="38"/>
      <c r="E20" s="38"/>
    </row>
    <row r="21" spans="1:5" ht="15.75">
      <c r="A21" s="10"/>
      <c r="B21" s="41"/>
      <c r="C21" s="355"/>
      <c r="D21" s="38"/>
      <c r="E21" s="38"/>
    </row>
    <row r="22" spans="1:5" ht="15.75">
      <c r="A22" s="10"/>
      <c r="B22" s="42"/>
      <c r="C22" s="356"/>
      <c r="D22" s="38"/>
      <c r="E22" s="38"/>
    </row>
    <row r="23" spans="1:5" ht="15.75">
      <c r="A23" s="10"/>
      <c r="B23" s="42"/>
      <c r="C23" s="356"/>
      <c r="D23" s="38"/>
      <c r="E23" s="38"/>
    </row>
    <row r="24" spans="1:5" ht="15.75">
      <c r="A24" s="10"/>
      <c r="B24" s="42"/>
      <c r="C24" s="356"/>
      <c r="D24" s="38"/>
      <c r="E24" s="38"/>
    </row>
    <row r="25" spans="1:5" ht="15.75">
      <c r="A25" s="10"/>
      <c r="B25" s="42"/>
      <c r="C25" s="356"/>
      <c r="D25" s="38"/>
      <c r="E25" s="38"/>
    </row>
    <row r="26" spans="1:5" ht="15.75">
      <c r="A26" s="10"/>
      <c r="B26" s="42"/>
      <c r="C26" s="356"/>
      <c r="D26" s="38"/>
      <c r="E26" s="38"/>
    </row>
    <row r="27" spans="1:5" ht="15.75">
      <c r="A27" s="10"/>
      <c r="B27" s="42"/>
      <c r="C27" s="356"/>
      <c r="D27" s="38"/>
      <c r="E27" s="38"/>
    </row>
    <row r="28" spans="1:5" ht="15.75">
      <c r="A28" s="10"/>
      <c r="B28" s="42"/>
      <c r="C28" s="356"/>
      <c r="D28" s="38"/>
      <c r="E28" s="38"/>
    </row>
    <row r="29" spans="1:5" ht="15.75">
      <c r="A29" s="10"/>
      <c r="B29" s="42"/>
      <c r="C29" s="356"/>
      <c r="D29" s="38"/>
      <c r="E29" s="38"/>
    </row>
    <row r="30" spans="1:5" ht="15.75">
      <c r="A30" s="10"/>
      <c r="B30" s="42"/>
      <c r="C30" s="356"/>
      <c r="D30" s="38"/>
      <c r="E30" s="38"/>
    </row>
    <row r="31" spans="1:5" ht="15.75">
      <c r="A31" s="43" t="str">
        <f>CONCATENATE("Total Tax Levy Funds for ",C5-1," Budgeted Year")</f>
        <v>Total Tax Levy Funds for 2011 Budgeted Year</v>
      </c>
      <c r="B31" s="44"/>
      <c r="C31" s="44"/>
      <c r="D31" s="45"/>
      <c r="E31" s="46">
        <f>SUM(E17:E30)</f>
        <v>81466</v>
      </c>
    </row>
    <row r="32" spans="1:5" ht="15.75">
      <c r="A32" s="17"/>
      <c r="B32" s="10"/>
      <c r="C32" s="10"/>
      <c r="D32" s="47"/>
      <c r="E32" s="40"/>
    </row>
    <row r="33" spans="1:5" ht="15.75">
      <c r="A33" s="17" t="s">
        <v>237</v>
      </c>
      <c r="B33" s="10"/>
      <c r="C33" s="10"/>
      <c r="D33" s="10"/>
      <c r="E33" s="10"/>
    </row>
    <row r="34" spans="1:5" ht="15.75">
      <c r="A34" s="10"/>
      <c r="B34" s="48" t="s">
        <v>181</v>
      </c>
      <c r="C34" s="49"/>
      <c r="D34" s="37">
        <v>53092</v>
      </c>
      <c r="E34" s="49"/>
    </row>
    <row r="35" spans="1:5" ht="15.75">
      <c r="A35" s="10"/>
      <c r="B35" s="443" t="s">
        <v>283</v>
      </c>
      <c r="C35" s="49"/>
      <c r="D35" s="37">
        <v>111988</v>
      </c>
      <c r="E35" s="49"/>
    </row>
    <row r="36" spans="1:5" ht="15.75">
      <c r="A36" s="10"/>
      <c r="B36" s="443" t="s">
        <v>284</v>
      </c>
      <c r="C36" s="49"/>
      <c r="D36" s="37">
        <v>465714</v>
      </c>
      <c r="E36" s="49"/>
    </row>
    <row r="37" spans="1:5" ht="15.75">
      <c r="A37" s="10"/>
      <c r="B37" s="443" t="s">
        <v>285</v>
      </c>
      <c r="C37" s="49"/>
      <c r="D37" s="37">
        <v>122526</v>
      </c>
      <c r="E37" s="49"/>
    </row>
    <row r="38" spans="1:5" ht="15.75">
      <c r="A38" s="10"/>
      <c r="B38" s="443" t="s">
        <v>286</v>
      </c>
      <c r="C38" s="49"/>
      <c r="D38" s="37">
        <v>20169</v>
      </c>
      <c r="E38" s="49"/>
    </row>
    <row r="39" spans="1:5" ht="15.75">
      <c r="A39" s="10"/>
      <c r="B39" s="50"/>
      <c r="C39" s="49"/>
      <c r="D39" s="37"/>
      <c r="E39" s="49"/>
    </row>
    <row r="40" spans="1:5" ht="15.75">
      <c r="A40" s="51"/>
      <c r="B40" s="41"/>
      <c r="C40" s="52"/>
      <c r="D40" s="37"/>
      <c r="E40" s="53"/>
    </row>
    <row r="41" spans="1:5" ht="15.75">
      <c r="A41" s="51"/>
      <c r="B41" s="41"/>
      <c r="C41" s="49"/>
      <c r="D41" s="37"/>
      <c r="E41" s="53"/>
    </row>
    <row r="42" spans="1:5" ht="15.75">
      <c r="A42" s="51"/>
      <c r="B42" s="53"/>
      <c r="C42" s="49"/>
      <c r="D42" s="53"/>
      <c r="E42" s="53"/>
    </row>
    <row r="43" spans="1:5" ht="15.75">
      <c r="A43" s="51" t="s">
        <v>275</v>
      </c>
      <c r="B43" s="49"/>
      <c r="C43" s="49"/>
      <c r="D43" s="49"/>
      <c r="E43" s="53"/>
    </row>
    <row r="44" spans="1:5" ht="15.75">
      <c r="A44" s="54">
        <v>1</v>
      </c>
      <c r="B44" s="41"/>
      <c r="C44" s="49"/>
      <c r="D44" s="37"/>
      <c r="E44" s="53"/>
    </row>
    <row r="45" spans="1:5" ht="15.75">
      <c r="A45" s="54">
        <v>2</v>
      </c>
      <c r="B45" s="41"/>
      <c r="C45" s="49"/>
      <c r="D45" s="37"/>
      <c r="E45" s="53"/>
    </row>
    <row r="46" spans="1:5" ht="15.75">
      <c r="A46" s="54">
        <v>3</v>
      </c>
      <c r="B46" s="41"/>
      <c r="C46" s="49"/>
      <c r="D46" s="37"/>
      <c r="E46" s="53"/>
    </row>
    <row r="47" spans="1:5" ht="15.75">
      <c r="A47" s="54">
        <v>4</v>
      </c>
      <c r="B47" s="41"/>
      <c r="C47" s="49"/>
      <c r="D47" s="37"/>
      <c r="E47" s="53"/>
    </row>
    <row r="48" spans="1:5" ht="15.75">
      <c r="A48" s="43" t="str">
        <f>CONCATENATE("Total Expenditures for ",C5-1," Budgeted Year")</f>
        <v>Total Expenditures for 2011 Budgeted Year</v>
      </c>
      <c r="B48" s="44"/>
      <c r="C48" s="44"/>
      <c r="D48" s="46">
        <f>SUM(D17:D18,D20:D30,D34:D41,D44:D47)</f>
        <v>989772</v>
      </c>
      <c r="E48" s="10"/>
    </row>
    <row r="49" spans="1:5" ht="15.75">
      <c r="A49" s="51"/>
      <c r="B49" s="49"/>
      <c r="C49" s="49"/>
      <c r="D49" s="10"/>
      <c r="E49" s="10"/>
    </row>
    <row r="50" spans="1:5" ht="15.75">
      <c r="A50" s="51" t="s">
        <v>276</v>
      </c>
      <c r="B50" s="49"/>
      <c r="C50" s="49"/>
      <c r="D50" s="49"/>
      <c r="E50" s="10"/>
    </row>
    <row r="51" spans="1:5" ht="15.75">
      <c r="A51" s="54">
        <v>1</v>
      </c>
      <c r="B51" s="41" t="s">
        <v>291</v>
      </c>
      <c r="C51" s="49"/>
      <c r="D51" s="49"/>
      <c r="E51" s="10"/>
    </row>
    <row r="52" spans="1:5" ht="15.75">
      <c r="A52" s="54">
        <v>2</v>
      </c>
      <c r="B52" s="41" t="s">
        <v>380</v>
      </c>
      <c r="C52" s="49"/>
      <c r="D52" s="49"/>
      <c r="E52" s="10"/>
    </row>
    <row r="53" spans="1:5" ht="15.75">
      <c r="A53" s="54">
        <v>3</v>
      </c>
      <c r="B53" s="41" t="s">
        <v>300</v>
      </c>
      <c r="C53" s="49"/>
      <c r="D53" s="49"/>
      <c r="E53" s="10"/>
    </row>
    <row r="54" spans="1:5" ht="15.75">
      <c r="A54" s="54">
        <v>4</v>
      </c>
      <c r="B54" s="41" t="s">
        <v>381</v>
      </c>
      <c r="C54" s="49"/>
      <c r="D54" s="49"/>
      <c r="E54" s="10"/>
    </row>
    <row r="55" spans="1:5" ht="15.75">
      <c r="A55" s="54">
        <v>5</v>
      </c>
      <c r="B55" s="41"/>
      <c r="C55" s="49"/>
      <c r="D55" s="49"/>
      <c r="E55" s="10"/>
    </row>
    <row r="56" spans="1:5" ht="15.75">
      <c r="A56" s="51" t="s">
        <v>247</v>
      </c>
      <c r="B56" s="49"/>
      <c r="C56" s="49"/>
      <c r="D56" s="49"/>
      <c r="E56" s="10"/>
    </row>
    <row r="57" spans="1:5" ht="15.75">
      <c r="A57" s="54">
        <v>1</v>
      </c>
      <c r="B57" s="41"/>
      <c r="C57" s="49"/>
      <c r="D57" s="49"/>
      <c r="E57" s="10"/>
    </row>
    <row r="58" spans="1:5" ht="15.75">
      <c r="A58" s="54">
        <v>2</v>
      </c>
      <c r="B58" s="41"/>
      <c r="C58" s="49"/>
      <c r="D58" s="49"/>
      <c r="E58" s="10"/>
    </row>
    <row r="59" spans="1:5" ht="15.75">
      <c r="A59" s="54">
        <v>3</v>
      </c>
      <c r="B59" s="41"/>
      <c r="C59" s="49"/>
      <c r="D59" s="49"/>
      <c r="E59" s="10"/>
    </row>
    <row r="60" spans="1:5" ht="15.75">
      <c r="A60" s="54">
        <v>4</v>
      </c>
      <c r="B60" s="41"/>
      <c r="C60" s="49"/>
      <c r="D60" s="49"/>
      <c r="E60" s="10"/>
    </row>
    <row r="61" spans="1:5" ht="18" customHeight="1">
      <c r="A61" s="54">
        <v>5</v>
      </c>
      <c r="B61" s="41"/>
      <c r="C61" s="10"/>
      <c r="D61" s="10"/>
      <c r="E61" s="10"/>
    </row>
    <row r="62" spans="1:5" ht="15.75">
      <c r="A62" s="10"/>
      <c r="B62" s="10"/>
      <c r="C62" s="10"/>
      <c r="D62" s="55" t="str">
        <f>CONCATENATE("",C5-3," Tax Rate")</f>
        <v>2009 Tax Rate</v>
      </c>
      <c r="E62" s="10"/>
    </row>
    <row r="63" spans="1:5" ht="15.75">
      <c r="A63" s="56" t="str">
        <f>CONCATENATE("From the ",C5-1," Budget, Budget Summary Page")</f>
        <v>From the 2011 Budget, Budget Summary Page</v>
      </c>
      <c r="B63" s="25"/>
      <c r="C63" s="10"/>
      <c r="D63" s="57" t="str">
        <f>CONCATENATE("(",C5-2," Column)")</f>
        <v>(2010 Column)</v>
      </c>
      <c r="E63" s="10"/>
    </row>
    <row r="64" spans="1:5" ht="15.75">
      <c r="A64" s="10"/>
      <c r="B64" s="58" t="str">
        <f>B17</f>
        <v>General</v>
      </c>
      <c r="C64" s="59"/>
      <c r="D64" s="60">
        <v>51.677</v>
      </c>
      <c r="E64" s="10"/>
    </row>
    <row r="65" spans="1:5" ht="15.75">
      <c r="A65" s="10"/>
      <c r="B65" s="58" t="str">
        <f>B18</f>
        <v>Bond &amp; Interest</v>
      </c>
      <c r="C65" s="59"/>
      <c r="D65" s="60"/>
      <c r="E65" s="10"/>
    </row>
    <row r="66" spans="1:5" ht="15.75">
      <c r="A66" s="10"/>
      <c r="B66" s="58">
        <f>B20</f>
        <v>0</v>
      </c>
      <c r="C66" s="36"/>
      <c r="D66" s="60"/>
      <c r="E66" s="10"/>
    </row>
    <row r="67" spans="1:5" ht="15.75">
      <c r="A67" s="10"/>
      <c r="B67" s="58">
        <f aca="true" t="shared" si="0" ref="B67:B76">B21</f>
        <v>0</v>
      </c>
      <c r="C67" s="36"/>
      <c r="D67" s="60"/>
      <c r="E67" s="10"/>
    </row>
    <row r="68" spans="1:5" ht="15.75">
      <c r="A68" s="10"/>
      <c r="B68" s="58">
        <f t="shared" si="0"/>
        <v>0</v>
      </c>
      <c r="C68" s="36"/>
      <c r="D68" s="60"/>
      <c r="E68" s="10"/>
    </row>
    <row r="69" spans="1:5" ht="15.75">
      <c r="A69" s="10"/>
      <c r="B69" s="58">
        <f t="shared" si="0"/>
        <v>0</v>
      </c>
      <c r="C69" s="36"/>
      <c r="D69" s="60"/>
      <c r="E69" s="10"/>
    </row>
    <row r="70" spans="1:5" ht="15.75">
      <c r="A70" s="10"/>
      <c r="B70" s="58">
        <f t="shared" si="0"/>
        <v>0</v>
      </c>
      <c r="C70" s="36"/>
      <c r="D70" s="60"/>
      <c r="E70" s="10"/>
    </row>
    <row r="71" spans="1:5" ht="15.75">
      <c r="A71" s="10"/>
      <c r="B71" s="58">
        <f t="shared" si="0"/>
        <v>0</v>
      </c>
      <c r="C71" s="36"/>
      <c r="D71" s="60"/>
      <c r="E71" s="10"/>
    </row>
    <row r="72" spans="1:5" ht="15.75">
      <c r="A72" s="10"/>
      <c r="B72" s="58">
        <f t="shared" si="0"/>
        <v>0</v>
      </c>
      <c r="C72" s="36"/>
      <c r="D72" s="60"/>
      <c r="E72" s="10"/>
    </row>
    <row r="73" spans="1:5" ht="15.75">
      <c r="A73" s="10"/>
      <c r="B73" s="58">
        <f t="shared" si="0"/>
        <v>0</v>
      </c>
      <c r="C73" s="36"/>
      <c r="D73" s="60"/>
      <c r="E73" s="10"/>
    </row>
    <row r="74" spans="1:5" ht="15.75">
      <c r="A74" s="10"/>
      <c r="B74" s="58">
        <f t="shared" si="0"/>
        <v>0</v>
      </c>
      <c r="C74" s="36"/>
      <c r="D74" s="60"/>
      <c r="E74" s="10"/>
    </row>
    <row r="75" spans="1:5" ht="15.75">
      <c r="A75" s="10"/>
      <c r="B75" s="58">
        <f t="shared" si="0"/>
        <v>0</v>
      </c>
      <c r="C75" s="36"/>
      <c r="D75" s="60"/>
      <c r="E75" s="10"/>
    </row>
    <row r="76" spans="1:5" ht="15.75">
      <c r="A76" s="10"/>
      <c r="B76" s="58">
        <f t="shared" si="0"/>
        <v>0</v>
      </c>
      <c r="C76" s="36"/>
      <c r="D76" s="60"/>
      <c r="E76" s="10"/>
    </row>
    <row r="77" spans="1:5" ht="15.75">
      <c r="A77" s="17" t="s">
        <v>359</v>
      </c>
      <c r="B77" s="10"/>
      <c r="C77" s="10"/>
      <c r="D77" s="61">
        <f>SUM(D64:D76)</f>
        <v>51.677</v>
      </c>
      <c r="E77" s="10"/>
    </row>
    <row r="78" spans="1:5" ht="15.75">
      <c r="A78" s="10"/>
      <c r="B78" s="10"/>
      <c r="C78" s="10"/>
      <c r="D78" s="10"/>
      <c r="E78" s="10"/>
    </row>
    <row r="79" spans="1:5" ht="15.75">
      <c r="A79" s="62" t="str">
        <f>CONCATENATE("Total Tax Levied (",C5-2," budget column)")</f>
        <v>Total Tax Levied (2010 budget column)</v>
      </c>
      <c r="B79" s="63"/>
      <c r="C79" s="44"/>
      <c r="D79" s="64"/>
      <c r="E79" s="38">
        <v>79195</v>
      </c>
    </row>
    <row r="80" spans="1:5" ht="15.75">
      <c r="A80" s="62" t="str">
        <f>CONCATENATE("Assessed Valuation  (",C5-2," budget column)")</f>
        <v>Assessed Valuation  (2010 budget column)</v>
      </c>
      <c r="B80" s="65"/>
      <c r="C80" s="66"/>
      <c r="D80" s="67"/>
      <c r="E80" s="38">
        <v>1532497</v>
      </c>
    </row>
    <row r="81" spans="1:5" ht="15.75">
      <c r="A81" s="10"/>
      <c r="B81" s="10"/>
      <c r="C81" s="10"/>
      <c r="D81" s="28"/>
      <c r="E81" s="39"/>
    </row>
    <row r="82" spans="1:5" ht="15.75">
      <c r="A82" s="25" t="s">
        <v>11</v>
      </c>
      <c r="B82" s="25"/>
      <c r="C82" s="68"/>
      <c r="D82" s="69">
        <f>C5-3</f>
        <v>2009</v>
      </c>
      <c r="E82" s="70">
        <f>C5-2</f>
        <v>2010</v>
      </c>
    </row>
    <row r="83" spans="1:5" ht="15.75">
      <c r="A83" s="63" t="s">
        <v>238</v>
      </c>
      <c r="B83" s="63"/>
      <c r="C83" s="71"/>
      <c r="D83" s="37">
        <v>0</v>
      </c>
      <c r="E83" s="37"/>
    </row>
    <row r="84" spans="1:5" ht="15.75">
      <c r="A84" s="65" t="s">
        <v>239</v>
      </c>
      <c r="B84" s="65"/>
      <c r="C84" s="72"/>
      <c r="D84" s="37">
        <v>0</v>
      </c>
      <c r="E84" s="37"/>
    </row>
    <row r="85" spans="1:5" ht="15.75">
      <c r="A85" s="65" t="s">
        <v>240</v>
      </c>
      <c r="B85" s="65"/>
      <c r="C85" s="72"/>
      <c r="D85" s="37">
        <v>473763</v>
      </c>
      <c r="E85" s="37">
        <v>437027</v>
      </c>
    </row>
    <row r="86" spans="1:5" ht="15.75">
      <c r="A86" s="65" t="s">
        <v>241</v>
      </c>
      <c r="B86" s="65"/>
      <c r="C86" s="72"/>
      <c r="D86" s="37">
        <v>0</v>
      </c>
      <c r="E86" s="37"/>
    </row>
    <row r="93" spans="1:5" s="73" customFormat="1" ht="15.75">
      <c r="A93" s="11"/>
      <c r="B93" s="11"/>
      <c r="C93" s="11"/>
      <c r="D93" s="11"/>
      <c r="E93" s="11"/>
    </row>
  </sheetData>
  <sheetProtection/>
  <mergeCells count="1">
    <mergeCell ref="A10:E10"/>
  </mergeCells>
  <printOptions/>
  <pageMargins left="0.5" right="0.5" top="1" bottom="0.5" header="0.5" footer="0.25"/>
  <pageSetup blackAndWhite="1" fitToHeight="2" fitToWidth="1" horizontalDpi="120" verticalDpi="120" orientation="portrait" scale="82" r:id="rId1"/>
</worksheet>
</file>

<file path=xl/worksheets/sheet10.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G31" sqref="G31"/>
    </sheetView>
  </sheetViews>
  <sheetFormatPr defaultColWidth="8.8984375" defaultRowHeight="15"/>
  <cols>
    <col min="1" max="1" width="23.59765625" style="11" customWidth="1"/>
    <col min="2" max="4" width="9.796875" style="11" customWidth="1"/>
    <col min="5" max="5" width="18.296875" style="11" customWidth="1"/>
    <col min="6" max="8" width="15.796875" style="11" customWidth="1"/>
    <col min="9" max="16384" width="8.8984375" style="11" customWidth="1"/>
  </cols>
  <sheetData>
    <row r="1" spans="1:8" ht="15.75">
      <c r="A1" s="144" t="str">
        <f>inputPrYr!$D$2</f>
        <v>City of LaHarpe</v>
      </c>
      <c r="B1" s="10"/>
      <c r="C1" s="10"/>
      <c r="D1" s="10"/>
      <c r="E1" s="10"/>
      <c r="F1" s="10"/>
      <c r="G1" s="10"/>
      <c r="H1" s="205">
        <f>inputPrYr!$C$5</f>
        <v>2012</v>
      </c>
    </row>
    <row r="2" spans="1:8" ht="15.75">
      <c r="A2" s="144"/>
      <c r="B2" s="10"/>
      <c r="C2" s="10"/>
      <c r="D2" s="10"/>
      <c r="E2" s="10"/>
      <c r="F2" s="10"/>
      <c r="G2" s="10"/>
      <c r="H2" s="139"/>
    </row>
    <row r="3" spans="1:8" ht="15.75">
      <c r="A3" s="10"/>
      <c r="B3" s="10"/>
      <c r="C3" s="10"/>
      <c r="D3" s="10"/>
      <c r="E3" s="10"/>
      <c r="F3" s="10"/>
      <c r="G3" s="10"/>
      <c r="H3" s="110"/>
    </row>
    <row r="4" spans="1:8" ht="15.75">
      <c r="A4" s="179" t="s">
        <v>143</v>
      </c>
      <c r="B4" s="21"/>
      <c r="C4" s="21"/>
      <c r="D4" s="21"/>
      <c r="E4" s="21"/>
      <c r="F4" s="21"/>
      <c r="G4" s="21"/>
      <c r="H4" s="21"/>
    </row>
    <row r="5" spans="1:8" ht="15.75">
      <c r="A5" s="44"/>
      <c r="B5" s="180"/>
      <c r="C5" s="180"/>
      <c r="D5" s="180"/>
      <c r="E5" s="180"/>
      <c r="F5" s="180"/>
      <c r="G5" s="180"/>
      <c r="H5" s="180"/>
    </row>
    <row r="6" spans="1:8" ht="15.75">
      <c r="A6" s="10"/>
      <c r="B6" s="124"/>
      <c r="C6" s="124"/>
      <c r="D6" s="124"/>
      <c r="E6" s="159" t="s">
        <v>359</v>
      </c>
      <c r="F6" s="124"/>
      <c r="G6" s="124"/>
      <c r="H6" s="124"/>
    </row>
    <row r="7" spans="1:8" ht="15.75">
      <c r="A7" s="10"/>
      <c r="B7" s="118"/>
      <c r="C7" s="118" t="s">
        <v>131</v>
      </c>
      <c r="D7" s="118" t="s">
        <v>132</v>
      </c>
      <c r="E7" s="118" t="s">
        <v>75</v>
      </c>
      <c r="F7" s="118" t="s">
        <v>134</v>
      </c>
      <c r="G7" s="118" t="s">
        <v>135</v>
      </c>
      <c r="H7" s="118" t="s">
        <v>135</v>
      </c>
    </row>
    <row r="8" spans="1:8" ht="15.75">
      <c r="A8" s="10"/>
      <c r="B8" s="118" t="s">
        <v>136</v>
      </c>
      <c r="C8" s="118" t="s">
        <v>137</v>
      </c>
      <c r="D8" s="118" t="s">
        <v>120</v>
      </c>
      <c r="E8" s="118" t="s">
        <v>138</v>
      </c>
      <c r="F8" s="118" t="s">
        <v>183</v>
      </c>
      <c r="G8" s="118" t="s">
        <v>139</v>
      </c>
      <c r="H8" s="118" t="s">
        <v>139</v>
      </c>
    </row>
    <row r="9" spans="1:8" ht="15.75">
      <c r="A9" s="206" t="s">
        <v>140</v>
      </c>
      <c r="B9" s="121" t="s">
        <v>117</v>
      </c>
      <c r="C9" s="207" t="s">
        <v>141</v>
      </c>
      <c r="D9" s="121" t="s">
        <v>97</v>
      </c>
      <c r="E9" s="207" t="s">
        <v>207</v>
      </c>
      <c r="F9" s="208" t="str">
        <f>CONCATENATE("Jan 1 ",H1-1,"")</f>
        <v>Jan 1 2011</v>
      </c>
      <c r="G9" s="121">
        <f>H1-1</f>
        <v>2011</v>
      </c>
      <c r="H9" s="121">
        <f>H1</f>
        <v>2012</v>
      </c>
    </row>
    <row r="10" spans="1:8" ht="15.75">
      <c r="A10" s="42" t="s">
        <v>390</v>
      </c>
      <c r="B10" s="321">
        <v>40723</v>
      </c>
      <c r="C10" s="210">
        <v>36</v>
      </c>
      <c r="D10" s="187">
        <v>3.5</v>
      </c>
      <c r="E10" s="188">
        <v>9575</v>
      </c>
      <c r="F10" s="188">
        <v>0</v>
      </c>
      <c r="G10" s="188">
        <v>1960</v>
      </c>
      <c r="H10" s="188">
        <v>3360</v>
      </c>
    </row>
    <row r="11" spans="1:8" ht="15.75">
      <c r="A11" s="42"/>
      <c r="B11" s="209"/>
      <c r="C11" s="210"/>
      <c r="D11" s="187"/>
      <c r="E11" s="188"/>
      <c r="F11" s="188"/>
      <c r="G11" s="188"/>
      <c r="H11" s="188"/>
    </row>
    <row r="12" spans="1:8" ht="15.75">
      <c r="A12" s="42"/>
      <c r="B12" s="209"/>
      <c r="C12" s="210"/>
      <c r="D12" s="187"/>
      <c r="E12" s="188"/>
      <c r="F12" s="188"/>
      <c r="G12" s="188"/>
      <c r="H12" s="188"/>
    </row>
    <row r="13" spans="1:8" ht="15.75">
      <c r="A13" s="42"/>
      <c r="B13" s="209"/>
      <c r="C13" s="210"/>
      <c r="D13" s="187"/>
      <c r="E13" s="188"/>
      <c r="F13" s="188"/>
      <c r="G13" s="188"/>
      <c r="H13" s="188"/>
    </row>
    <row r="14" spans="1:8" ht="15.75">
      <c r="A14" s="42"/>
      <c r="B14" s="321"/>
      <c r="C14" s="210"/>
      <c r="D14" s="187"/>
      <c r="E14" s="188"/>
      <c r="F14" s="188"/>
      <c r="G14" s="188"/>
      <c r="H14" s="188"/>
    </row>
    <row r="15" spans="1:8" ht="15.75">
      <c r="A15" s="42"/>
      <c r="B15" s="209"/>
      <c r="C15" s="210"/>
      <c r="D15" s="187"/>
      <c r="E15" s="188"/>
      <c r="F15" s="188"/>
      <c r="G15" s="188"/>
      <c r="H15" s="188"/>
    </row>
    <row r="16" spans="1:8" ht="15.75">
      <c r="A16" s="42"/>
      <c r="B16" s="209"/>
      <c r="C16" s="210"/>
      <c r="D16" s="187"/>
      <c r="E16" s="188"/>
      <c r="F16" s="188"/>
      <c r="G16" s="188"/>
      <c r="H16" s="188"/>
    </row>
    <row r="17" spans="1:8" ht="15.75">
      <c r="A17" s="42"/>
      <c r="B17" s="209"/>
      <c r="C17" s="210"/>
      <c r="D17" s="187"/>
      <c r="E17" s="188"/>
      <c r="F17" s="188"/>
      <c r="G17" s="188"/>
      <c r="H17" s="188"/>
    </row>
    <row r="18" spans="1:8" ht="15.75">
      <c r="A18" s="42"/>
      <c r="B18" s="209"/>
      <c r="C18" s="210"/>
      <c r="D18" s="187"/>
      <c r="E18" s="188"/>
      <c r="F18" s="188"/>
      <c r="G18" s="188"/>
      <c r="H18" s="188"/>
    </row>
    <row r="19" spans="1:8" ht="15.75">
      <c r="A19" s="42"/>
      <c r="B19" s="209"/>
      <c r="C19" s="210"/>
      <c r="D19" s="187"/>
      <c r="E19" s="188"/>
      <c r="F19" s="188"/>
      <c r="G19" s="188"/>
      <c r="H19" s="188"/>
    </row>
    <row r="20" spans="1:8" ht="15.75">
      <c r="A20" s="42"/>
      <c r="B20" s="209"/>
      <c r="C20" s="210"/>
      <c r="D20" s="187"/>
      <c r="E20" s="188"/>
      <c r="F20" s="188"/>
      <c r="G20" s="188"/>
      <c r="H20" s="188"/>
    </row>
    <row r="21" spans="1:8" ht="15.75">
      <c r="A21" s="42"/>
      <c r="B21" s="209"/>
      <c r="C21" s="210"/>
      <c r="D21" s="187"/>
      <c r="E21" s="188"/>
      <c r="F21" s="188"/>
      <c r="G21" s="188"/>
      <c r="H21" s="188"/>
    </row>
    <row r="22" spans="1:8" ht="15.75">
      <c r="A22" s="42"/>
      <c r="B22" s="209"/>
      <c r="C22" s="210"/>
      <c r="D22" s="187"/>
      <c r="E22" s="188"/>
      <c r="F22" s="188"/>
      <c r="G22" s="188"/>
      <c r="H22" s="188"/>
    </row>
    <row r="23" spans="1:8" ht="15.75">
      <c r="A23" s="42"/>
      <c r="B23" s="209"/>
      <c r="C23" s="210"/>
      <c r="D23" s="187"/>
      <c r="E23" s="188"/>
      <c r="F23" s="188"/>
      <c r="G23" s="188"/>
      <c r="H23" s="188"/>
    </row>
    <row r="24" spans="1:8" ht="15.75">
      <c r="A24" s="42"/>
      <c r="B24" s="209"/>
      <c r="C24" s="210"/>
      <c r="D24" s="187"/>
      <c r="E24" s="188"/>
      <c r="F24" s="188"/>
      <c r="G24" s="188"/>
      <c r="H24" s="188"/>
    </row>
    <row r="25" spans="1:8" ht="15.75">
      <c r="A25" s="42"/>
      <c r="B25" s="209"/>
      <c r="C25" s="210"/>
      <c r="D25" s="187"/>
      <c r="E25" s="188"/>
      <c r="F25" s="188"/>
      <c r="G25" s="188"/>
      <c r="H25" s="188"/>
    </row>
    <row r="26" spans="1:8" ht="15.75">
      <c r="A26" s="42"/>
      <c r="B26" s="209"/>
      <c r="C26" s="210"/>
      <c r="D26" s="187"/>
      <c r="E26" s="188"/>
      <c r="F26" s="188"/>
      <c r="G26" s="188"/>
      <c r="H26" s="188"/>
    </row>
    <row r="27" spans="1:8" ht="15.75">
      <c r="A27" s="42"/>
      <c r="B27" s="209"/>
      <c r="C27" s="210"/>
      <c r="D27" s="187"/>
      <c r="E27" s="188"/>
      <c r="F27" s="188"/>
      <c r="G27" s="188"/>
      <c r="H27" s="188"/>
    </row>
    <row r="28" spans="1:8" ht="16.5" thickBot="1">
      <c r="A28" s="211" t="s">
        <v>70</v>
      </c>
      <c r="B28" s="143"/>
      <c r="C28" s="143"/>
      <c r="D28" s="143"/>
      <c r="E28" s="143"/>
      <c r="F28" s="212">
        <f>SUM(F10:F27)</f>
        <v>0</v>
      </c>
      <c r="G28" s="212">
        <f>SUM(G10:G27)</f>
        <v>1960</v>
      </c>
      <c r="H28" s="212">
        <f>SUM(H10:H27)</f>
        <v>3360</v>
      </c>
    </row>
    <row r="29" spans="1:8" ht="16.5" thickTop="1">
      <c r="A29" s="10"/>
      <c r="B29" s="10"/>
      <c r="C29" s="10"/>
      <c r="D29" s="10"/>
      <c r="E29" s="10"/>
      <c r="F29" s="10"/>
      <c r="G29" s="144"/>
      <c r="H29" s="144"/>
    </row>
    <row r="30" spans="1:8" ht="15.75">
      <c r="A30" s="213" t="s">
        <v>26</v>
      </c>
      <c r="B30" s="214"/>
      <c r="C30" s="214"/>
      <c r="D30" s="214"/>
      <c r="E30" s="214"/>
      <c r="F30" s="214"/>
      <c r="G30" s="144"/>
      <c r="H30" s="144"/>
    </row>
  </sheetData>
  <sheetProtection sheet="1"/>
  <printOptions/>
  <pageMargins left="0.25" right="0.25" top="1" bottom="0.5" header="0.5" footer="0.5"/>
  <pageSetup blackAndWhite="1" fitToHeight="1" fitToWidth="1" horizontalDpi="120" verticalDpi="120" orientation="landscape" scale="86"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dimension ref="B1:J147"/>
  <sheetViews>
    <sheetView zoomScalePageLayoutView="0" workbookViewId="0" topLeftCell="A115">
      <selection activeCell="E34" sqref="E34"/>
    </sheetView>
  </sheetViews>
  <sheetFormatPr defaultColWidth="8.8984375" defaultRowHeight="15"/>
  <cols>
    <col min="1" max="1" width="2.3984375" style="11" customWidth="1"/>
    <col min="2" max="2" width="31.09765625" style="11" customWidth="1"/>
    <col min="3" max="4" width="15.796875" style="11" customWidth="1"/>
    <col min="5" max="5" width="16.19921875" style="11" customWidth="1"/>
    <col min="6" max="6" width="6.8984375" style="11" customWidth="1"/>
    <col min="7" max="7" width="7.09765625" style="11" customWidth="1"/>
    <col min="8" max="8" width="8.8984375" style="11" customWidth="1"/>
    <col min="9" max="9" width="5" style="11" customWidth="1"/>
    <col min="10" max="10" width="7.796875" style="11" customWidth="1"/>
    <col min="11" max="16384" width="8.8984375" style="11" customWidth="1"/>
  </cols>
  <sheetData>
    <row r="1" spans="2:5" ht="15.75">
      <c r="B1" s="144" t="str">
        <f>inputPrYr!D2</f>
        <v>City of LaHarpe</v>
      </c>
      <c r="C1" s="10"/>
      <c r="D1" s="10"/>
      <c r="E1" s="205">
        <f>inputPrYr!C5</f>
        <v>2012</v>
      </c>
    </row>
    <row r="2" spans="2:5" ht="15.75">
      <c r="B2" s="10"/>
      <c r="C2" s="10"/>
      <c r="D2" s="10"/>
      <c r="E2" s="139"/>
    </row>
    <row r="3" spans="2:5" ht="15.75">
      <c r="B3" s="29"/>
      <c r="C3" s="10"/>
      <c r="D3" s="10"/>
      <c r="E3" s="110"/>
    </row>
    <row r="4" spans="2:5" ht="15.75">
      <c r="B4" s="29" t="s">
        <v>147</v>
      </c>
      <c r="C4" s="215"/>
      <c r="D4" s="215"/>
      <c r="E4" s="215"/>
    </row>
    <row r="5" spans="2:5" ht="15.75">
      <c r="B5" s="142" t="s">
        <v>82</v>
      </c>
      <c r="C5" s="431" t="s">
        <v>101</v>
      </c>
      <c r="D5" s="432" t="s">
        <v>226</v>
      </c>
      <c r="E5" s="433" t="s">
        <v>227</v>
      </c>
    </row>
    <row r="6" spans="2:5" ht="15.75">
      <c r="B6" s="341" t="str">
        <f>inputPrYr!B17</f>
        <v>General</v>
      </c>
      <c r="C6" s="323">
        <f>E1-2</f>
        <v>2010</v>
      </c>
      <c r="D6" s="323">
        <f>E1-1</f>
        <v>2011</v>
      </c>
      <c r="E6" s="216">
        <f>E1</f>
        <v>2012</v>
      </c>
    </row>
    <row r="7" spans="2:5" ht="15.75">
      <c r="B7" s="217" t="s">
        <v>202</v>
      </c>
      <c r="C7" s="218">
        <v>48831</v>
      </c>
      <c r="D7" s="322">
        <f>C116</f>
        <v>31681</v>
      </c>
      <c r="E7" s="186">
        <f>D116</f>
        <v>60685</v>
      </c>
    </row>
    <row r="8" spans="2:5" ht="15.75">
      <c r="B8" s="220" t="s">
        <v>204</v>
      </c>
      <c r="C8" s="130"/>
      <c r="D8" s="130"/>
      <c r="E8" s="58"/>
    </row>
    <row r="9" spans="2:5" ht="15.75">
      <c r="B9" s="217" t="s">
        <v>83</v>
      </c>
      <c r="C9" s="218">
        <v>69777</v>
      </c>
      <c r="D9" s="322">
        <f>inputPrYr!E17</f>
        <v>81466</v>
      </c>
      <c r="E9" s="222" t="s">
        <v>71</v>
      </c>
    </row>
    <row r="10" spans="2:5" ht="15.75">
      <c r="B10" s="217" t="s">
        <v>84</v>
      </c>
      <c r="C10" s="218">
        <v>2833</v>
      </c>
      <c r="D10" s="218">
        <v>2000</v>
      </c>
      <c r="E10" s="223">
        <v>2000</v>
      </c>
    </row>
    <row r="11" spans="2:5" ht="15.75">
      <c r="B11" s="217" t="s">
        <v>85</v>
      </c>
      <c r="C11" s="218">
        <v>17776</v>
      </c>
      <c r="D11" s="218">
        <v>18971</v>
      </c>
      <c r="E11" s="186">
        <f>mvalloc!C7</f>
        <v>19695</v>
      </c>
    </row>
    <row r="12" spans="2:5" ht="15.75">
      <c r="B12" s="217" t="s">
        <v>86</v>
      </c>
      <c r="C12" s="218">
        <v>295</v>
      </c>
      <c r="D12" s="218">
        <v>374</v>
      </c>
      <c r="E12" s="186">
        <f>mvalloc!D7</f>
        <v>374</v>
      </c>
    </row>
    <row r="13" spans="2:5" ht="15.75">
      <c r="B13" s="217" t="s">
        <v>179</v>
      </c>
      <c r="C13" s="218">
        <v>250</v>
      </c>
      <c r="D13" s="218">
        <v>161</v>
      </c>
      <c r="E13" s="186">
        <f>mvalloc!E7</f>
        <v>164</v>
      </c>
    </row>
    <row r="14" spans="2:5" ht="15.75">
      <c r="B14" s="217" t="s">
        <v>180</v>
      </c>
      <c r="C14" s="218"/>
      <c r="D14" s="218"/>
      <c r="E14" s="186">
        <f>inputOth!E16</f>
        <v>0</v>
      </c>
    </row>
    <row r="15" spans="2:5" ht="15.75">
      <c r="B15" s="217" t="s">
        <v>231</v>
      </c>
      <c r="C15" s="218"/>
      <c r="D15" s="218"/>
      <c r="E15" s="186">
        <f>inputOth!E42</f>
        <v>0</v>
      </c>
    </row>
    <row r="16" spans="2:5" ht="15.75">
      <c r="B16" s="217" t="s">
        <v>232</v>
      </c>
      <c r="C16" s="218"/>
      <c r="D16" s="218"/>
      <c r="E16" s="186">
        <f>inputOth!E43</f>
        <v>0</v>
      </c>
    </row>
    <row r="17" spans="2:5" ht="15.75">
      <c r="B17" s="130" t="s">
        <v>233</v>
      </c>
      <c r="C17" s="218"/>
      <c r="D17" s="218"/>
      <c r="E17" s="186">
        <f>mvalloc!F7</f>
        <v>0</v>
      </c>
    </row>
    <row r="18" spans="2:5" ht="15.75">
      <c r="B18" s="454" t="s">
        <v>304</v>
      </c>
      <c r="C18" s="218">
        <v>800</v>
      </c>
      <c r="D18" s="218">
        <v>300</v>
      </c>
      <c r="E18" s="38">
        <v>300</v>
      </c>
    </row>
    <row r="19" spans="2:5" ht="15.75">
      <c r="B19" s="454" t="s">
        <v>374</v>
      </c>
      <c r="C19" s="218">
        <v>10210</v>
      </c>
      <c r="D19" s="218">
        <v>10210</v>
      </c>
      <c r="E19" s="38">
        <v>10210</v>
      </c>
    </row>
    <row r="20" spans="2:5" ht="15.75">
      <c r="B20" s="454" t="s">
        <v>300</v>
      </c>
      <c r="C20" s="218">
        <v>24644</v>
      </c>
      <c r="D20" s="218">
        <v>27620</v>
      </c>
      <c r="E20" s="38">
        <v>28000</v>
      </c>
    </row>
    <row r="21" spans="2:5" ht="15.75">
      <c r="B21" s="454" t="s">
        <v>301</v>
      </c>
      <c r="C21" s="218">
        <v>550</v>
      </c>
      <c r="D21" s="218">
        <v>380</v>
      </c>
      <c r="E21" s="38">
        <v>380</v>
      </c>
    </row>
    <row r="22" spans="2:5" ht="15.75">
      <c r="B22" s="454" t="s">
        <v>386</v>
      </c>
      <c r="C22" s="218">
        <v>5904</v>
      </c>
      <c r="D22" s="218">
        <v>0</v>
      </c>
      <c r="E22" s="38">
        <v>0</v>
      </c>
    </row>
    <row r="23" spans="2:5" ht="15.75">
      <c r="B23" s="454" t="s">
        <v>23</v>
      </c>
      <c r="C23" s="218">
        <v>12066</v>
      </c>
      <c r="D23" s="218">
        <v>3237</v>
      </c>
      <c r="E23" s="38">
        <v>3000</v>
      </c>
    </row>
    <row r="24" spans="2:5" ht="15.75">
      <c r="B24" s="454" t="s">
        <v>302</v>
      </c>
      <c r="C24" s="218">
        <v>3211</v>
      </c>
      <c r="D24" s="218">
        <v>2172</v>
      </c>
      <c r="E24" s="38">
        <v>4000</v>
      </c>
    </row>
    <row r="25" spans="2:5" ht="15.75">
      <c r="B25" s="454" t="s">
        <v>387</v>
      </c>
      <c r="C25" s="218"/>
      <c r="D25" s="218">
        <v>756</v>
      </c>
      <c r="E25" s="38">
        <v>760</v>
      </c>
    </row>
    <row r="26" spans="2:5" ht="15.75">
      <c r="B26" s="221" t="s">
        <v>388</v>
      </c>
      <c r="C26" s="218"/>
      <c r="D26" s="218">
        <v>2300</v>
      </c>
      <c r="E26" s="38">
        <v>2300</v>
      </c>
    </row>
    <row r="27" spans="2:5" ht="15.75">
      <c r="B27" s="221"/>
      <c r="C27" s="218"/>
      <c r="D27" s="218"/>
      <c r="E27" s="38"/>
    </row>
    <row r="28" spans="2:5" ht="15.75">
      <c r="B28" s="221"/>
      <c r="C28" s="218"/>
      <c r="D28" s="218"/>
      <c r="E28" s="38"/>
    </row>
    <row r="29" spans="2:5" ht="15.75">
      <c r="B29" s="221"/>
      <c r="C29" s="218"/>
      <c r="D29" s="218"/>
      <c r="E29" s="38"/>
    </row>
    <row r="30" spans="2:5" ht="15.75">
      <c r="B30" s="221"/>
      <c r="C30" s="218"/>
      <c r="D30" s="218"/>
      <c r="E30" s="38"/>
    </row>
    <row r="31" spans="2:5" ht="15.75">
      <c r="B31" s="221"/>
      <c r="C31" s="218"/>
      <c r="D31" s="218"/>
      <c r="E31" s="38"/>
    </row>
    <row r="32" spans="2:5" ht="15.75">
      <c r="B32" s="221"/>
      <c r="C32" s="218"/>
      <c r="D32" s="218"/>
      <c r="E32" s="38"/>
    </row>
    <row r="33" spans="2:5" ht="15.75">
      <c r="B33" s="221"/>
      <c r="C33" s="218"/>
      <c r="D33" s="218"/>
      <c r="E33" s="38"/>
    </row>
    <row r="34" spans="2:5" ht="15.75">
      <c r="B34" s="221"/>
      <c r="C34" s="218"/>
      <c r="D34" s="218"/>
      <c r="E34" s="38"/>
    </row>
    <row r="35" spans="2:5" ht="15.75">
      <c r="B35" s="221"/>
      <c r="C35" s="218"/>
      <c r="D35" s="218"/>
      <c r="E35" s="38"/>
    </row>
    <row r="36" spans="2:5" ht="15.75">
      <c r="B36" s="221"/>
      <c r="C36" s="218"/>
      <c r="D36" s="218"/>
      <c r="E36" s="38"/>
    </row>
    <row r="37" spans="2:5" ht="15.75">
      <c r="B37" s="221"/>
      <c r="C37" s="218"/>
      <c r="D37" s="218"/>
      <c r="E37" s="38"/>
    </row>
    <row r="38" spans="2:5" ht="15.75">
      <c r="B38" s="221"/>
      <c r="C38" s="218"/>
      <c r="D38" s="218"/>
      <c r="E38" s="38"/>
    </row>
    <row r="39" spans="2:5" ht="15.75">
      <c r="B39" s="221"/>
      <c r="C39" s="218"/>
      <c r="D39" s="218"/>
      <c r="E39" s="38"/>
    </row>
    <row r="40" spans="2:5" ht="15.75">
      <c r="B40" s="221"/>
      <c r="C40" s="218"/>
      <c r="D40" s="218"/>
      <c r="E40" s="38"/>
    </row>
    <row r="41" spans="2:5" ht="15.75">
      <c r="B41" s="221"/>
      <c r="C41" s="218"/>
      <c r="D41" s="218"/>
      <c r="E41" s="38"/>
    </row>
    <row r="42" spans="2:5" ht="15.75">
      <c r="B42" s="221"/>
      <c r="C42" s="218"/>
      <c r="D42" s="218"/>
      <c r="E42" s="38"/>
    </row>
    <row r="43" spans="2:5" ht="15.75">
      <c r="B43" s="221"/>
      <c r="C43" s="218"/>
      <c r="D43" s="218"/>
      <c r="E43" s="38"/>
    </row>
    <row r="44" spans="2:5" ht="15.75">
      <c r="B44" s="221"/>
      <c r="C44" s="218"/>
      <c r="D44" s="218"/>
      <c r="E44" s="38"/>
    </row>
    <row r="45" spans="2:5" ht="15.75">
      <c r="B45" s="221"/>
      <c r="C45" s="218"/>
      <c r="D45" s="218"/>
      <c r="E45" s="38"/>
    </row>
    <row r="46" spans="2:5" ht="15.75">
      <c r="B46" s="221"/>
      <c r="C46" s="218"/>
      <c r="D46" s="218"/>
      <c r="E46" s="38"/>
    </row>
    <row r="47" spans="2:5" ht="15.75">
      <c r="B47" s="221"/>
      <c r="C47" s="218"/>
      <c r="D47" s="218"/>
      <c r="E47" s="38"/>
    </row>
    <row r="48" spans="2:5" ht="15.75">
      <c r="B48" s="221"/>
      <c r="C48" s="218"/>
      <c r="D48" s="218"/>
      <c r="E48" s="38"/>
    </row>
    <row r="49" spans="2:5" ht="15.75">
      <c r="B49" s="221"/>
      <c r="C49" s="218"/>
      <c r="D49" s="218"/>
      <c r="E49" s="38"/>
    </row>
    <row r="50" spans="2:5" ht="15.75">
      <c r="B50" s="221"/>
      <c r="C50" s="218"/>
      <c r="D50" s="218"/>
      <c r="E50" s="38"/>
    </row>
    <row r="51" spans="2:5" ht="15.75">
      <c r="B51" s="221"/>
      <c r="C51" s="218"/>
      <c r="D51" s="218"/>
      <c r="E51" s="38"/>
    </row>
    <row r="52" spans="2:5" ht="15.75">
      <c r="B52" s="423" t="s">
        <v>87</v>
      </c>
      <c r="C52" s="218"/>
      <c r="D52" s="218"/>
      <c r="E52" s="38"/>
    </row>
    <row r="53" spans="2:5" ht="15.75">
      <c r="B53" s="224" t="s">
        <v>88</v>
      </c>
      <c r="C53" s="218">
        <v>1343</v>
      </c>
      <c r="D53" s="218">
        <v>1200</v>
      </c>
      <c r="E53" s="38">
        <v>1200</v>
      </c>
    </row>
    <row r="54" spans="2:5" ht="15.75">
      <c r="B54" s="130" t="s">
        <v>23</v>
      </c>
      <c r="C54" s="218"/>
      <c r="D54" s="38"/>
      <c r="E54" s="219"/>
    </row>
    <row r="55" spans="2:5" ht="15.75">
      <c r="B55" s="217" t="s">
        <v>378</v>
      </c>
      <c r="C55" s="320">
        <f>IF(C56*0.1&lt;C54,"Exceed 10% Rule","")</f>
      </c>
      <c r="D55" s="327">
        <f>IF(D56*0.1&lt;D54,"Exceed 10% Rule","")</f>
      </c>
      <c r="E55" s="225">
        <f>IF(E56*0.1+E122&lt;E54,"Exceed 10% Rule","")</f>
      </c>
    </row>
    <row r="56" spans="2:5" ht="15.75">
      <c r="B56" s="226" t="s">
        <v>89</v>
      </c>
      <c r="C56" s="337">
        <f>SUM(C9:C54)</f>
        <v>149659</v>
      </c>
      <c r="D56" s="337">
        <f>SUM(D9:D54)</f>
        <v>151147</v>
      </c>
      <c r="E56" s="227">
        <f>SUM(E10:E54)</f>
        <v>72383</v>
      </c>
    </row>
    <row r="57" spans="2:5" ht="15.75">
      <c r="B57" s="226" t="s">
        <v>90</v>
      </c>
      <c r="C57" s="337">
        <f>C7+C56</f>
        <v>198490</v>
      </c>
      <c r="D57" s="337">
        <f>D7+D56</f>
        <v>182828</v>
      </c>
      <c r="E57" s="227">
        <f>E7+E56</f>
        <v>133068</v>
      </c>
    </row>
    <row r="58" spans="2:5" ht="15.75">
      <c r="B58" s="10"/>
      <c r="C58" s="10"/>
      <c r="D58" s="10"/>
      <c r="E58" s="10"/>
    </row>
    <row r="59" spans="2:5" ht="15.75">
      <c r="B59" s="492" t="s">
        <v>222</v>
      </c>
      <c r="C59" s="492"/>
      <c r="D59" s="492"/>
      <c r="E59" s="492"/>
    </row>
    <row r="60" spans="2:5" ht="15.75">
      <c r="B60" s="143"/>
      <c r="C60" s="143"/>
      <c r="D60" s="143"/>
      <c r="E60" s="143"/>
    </row>
    <row r="61" spans="2:5" ht="15.75">
      <c r="B61" s="144" t="str">
        <f>inputPrYr!D2</f>
        <v>City of LaHarpe</v>
      </c>
      <c r="C61" s="10"/>
      <c r="D61" s="10"/>
      <c r="E61" s="139"/>
    </row>
    <row r="62" spans="2:5" ht="15.75">
      <c r="B62" s="10"/>
      <c r="C62" s="10"/>
      <c r="D62" s="10"/>
      <c r="E62" s="110"/>
    </row>
    <row r="63" spans="2:5" ht="15.75">
      <c r="B63" s="211" t="s">
        <v>146</v>
      </c>
      <c r="C63" s="180"/>
      <c r="D63" s="180"/>
      <c r="E63" s="180"/>
    </row>
    <row r="64" spans="2:5" ht="15.75">
      <c r="B64" s="10" t="s">
        <v>82</v>
      </c>
      <c r="C64" s="431" t="s">
        <v>101</v>
      </c>
      <c r="D64" s="432" t="s">
        <v>226</v>
      </c>
      <c r="E64" s="433" t="s">
        <v>227</v>
      </c>
    </row>
    <row r="65" spans="2:5" ht="15.75">
      <c r="B65" s="164" t="str">
        <f>inputPrYr!B17</f>
        <v>General</v>
      </c>
      <c r="C65" s="323">
        <f>C6</f>
        <v>2010</v>
      </c>
      <c r="D65" s="323">
        <f>D6</f>
        <v>2011</v>
      </c>
      <c r="E65" s="216">
        <f>E6</f>
        <v>2012</v>
      </c>
    </row>
    <row r="66" spans="2:5" ht="15.75">
      <c r="B66" s="228" t="s">
        <v>90</v>
      </c>
      <c r="C66" s="322">
        <f>C57</f>
        <v>198490</v>
      </c>
      <c r="D66" s="322">
        <f>D57</f>
        <v>182828</v>
      </c>
      <c r="E66" s="186">
        <f>E57</f>
        <v>133068</v>
      </c>
    </row>
    <row r="67" spans="2:5" ht="15.75">
      <c r="B67" s="217" t="s">
        <v>92</v>
      </c>
      <c r="C67" s="58"/>
      <c r="D67" s="130"/>
      <c r="E67" s="58"/>
    </row>
    <row r="68" spans="2:5" ht="15.75">
      <c r="B68" s="229" t="str">
        <f>GenDetail!A7</f>
        <v>General and Administrative Department</v>
      </c>
      <c r="C68" s="46">
        <f>GenDetail!B12</f>
        <v>64636</v>
      </c>
      <c r="D68" s="339">
        <f>GenDetail!C12</f>
        <v>44673</v>
      </c>
      <c r="E68" s="46">
        <f>GenDetail!D12</f>
        <v>52771</v>
      </c>
    </row>
    <row r="69" spans="2:6" ht="15.75">
      <c r="B69" s="339" t="s">
        <v>317</v>
      </c>
      <c r="C69" s="46">
        <f>GenDetail!B18</f>
        <v>9293</v>
      </c>
      <c r="D69" s="339">
        <f>GenDetail!C18</f>
        <v>15186</v>
      </c>
      <c r="E69" s="46">
        <f>GenDetail!D18</f>
        <v>27444</v>
      </c>
      <c r="F69" s="460"/>
    </row>
    <row r="70" spans="2:5" ht="15.75">
      <c r="B70" s="229" t="str">
        <f>GenDetail!A19</f>
        <v>Incentive Program Houses Department</v>
      </c>
      <c r="C70" s="46">
        <f>GenDetail!B21</f>
        <v>0</v>
      </c>
      <c r="D70" s="339">
        <f>GenDetail!C21</f>
        <v>0</v>
      </c>
      <c r="E70" s="46">
        <f>GenDetail!D21</f>
        <v>5000</v>
      </c>
    </row>
    <row r="71" spans="2:5" ht="15.75">
      <c r="B71" s="229" t="str">
        <f>GenDetail!A22</f>
        <v>Parks and Recreation Department</v>
      </c>
      <c r="C71" s="46">
        <f>GenDetail!B25</f>
        <v>297</v>
      </c>
      <c r="D71" s="339">
        <f>GenDetail!C25</f>
        <v>5000</v>
      </c>
      <c r="E71" s="46">
        <f>GenDetail!D25</f>
        <v>5000</v>
      </c>
    </row>
    <row r="72" spans="2:5" ht="15.75">
      <c r="B72" s="229" t="str">
        <f>GenDetail!A26</f>
        <v>Streets Department</v>
      </c>
      <c r="C72" s="46">
        <f>GenDetail!B29</f>
        <v>211</v>
      </c>
      <c r="D72" s="339">
        <f>GenDetail!C29</f>
        <v>658</v>
      </c>
      <c r="E72" s="46">
        <f>GenDetail!D29</f>
        <v>1000</v>
      </c>
    </row>
    <row r="73" spans="2:5" ht="15.75">
      <c r="B73" s="339" t="s">
        <v>384</v>
      </c>
      <c r="C73" s="46">
        <f>GenDetail!B32</f>
        <v>56033</v>
      </c>
      <c r="D73" s="339">
        <f>GenDetail!C32</f>
        <v>0</v>
      </c>
      <c r="E73" s="46">
        <f>GenDetail!D32</f>
        <v>39731</v>
      </c>
    </row>
    <row r="74" spans="2:5" ht="15.75">
      <c r="B74" s="229" t="str">
        <f>GenDetail!A33</f>
        <v>Law Enforcement Department</v>
      </c>
      <c r="C74" s="46">
        <f>GenDetail!B38</f>
        <v>11463</v>
      </c>
      <c r="D74" s="339">
        <f>GenDetail!C38</f>
        <v>18761</v>
      </c>
      <c r="E74" s="46">
        <f>GenDetail!D38</f>
        <v>38860</v>
      </c>
    </row>
    <row r="75" spans="2:5" ht="15.75">
      <c r="B75" s="229" t="str">
        <f>GenDetail!A39</f>
        <v>Code Enforcement Department</v>
      </c>
      <c r="C75" s="46">
        <f>GenDetail!B43</f>
        <v>5226</v>
      </c>
      <c r="D75" s="339">
        <f>GenDetail!C43</f>
        <v>3110</v>
      </c>
      <c r="E75" s="46">
        <f>GenDetail!D43</f>
        <v>3806</v>
      </c>
    </row>
    <row r="76" spans="2:5" ht="15.75">
      <c r="B76" s="229" t="str">
        <f>GenDetail!A44</f>
        <v>Employee Benefits Department</v>
      </c>
      <c r="C76" s="46">
        <v>19650</v>
      </c>
      <c r="D76" s="339">
        <f>GenDetail!C49</f>
        <v>18788</v>
      </c>
      <c r="E76" s="46">
        <f>GenDetail!D49</f>
        <v>25000</v>
      </c>
    </row>
    <row r="77" spans="2:5" ht="15.75">
      <c r="B77" s="229" t="str">
        <f>GenDetail!A50</f>
        <v>Miscellaneous Department</v>
      </c>
      <c r="C77" s="46">
        <f>GenDetail!B53</f>
        <v>0</v>
      </c>
      <c r="D77" s="339">
        <f>GenDetail!C53</f>
        <v>1505</v>
      </c>
      <c r="E77" s="46">
        <f>GenDetail!D53</f>
        <v>2000</v>
      </c>
    </row>
    <row r="78" spans="2:5" ht="15.75">
      <c r="B78" s="229" t="s">
        <v>316</v>
      </c>
      <c r="C78" s="46">
        <f>GenDetail!B56</f>
        <v>0</v>
      </c>
      <c r="D78" s="339">
        <f>GenDetail!C56</f>
        <v>4400</v>
      </c>
      <c r="E78" s="46">
        <f>GenDetail!D56</f>
        <v>4600</v>
      </c>
    </row>
    <row r="79" spans="2:5" ht="15.75">
      <c r="B79" s="229" t="s">
        <v>389</v>
      </c>
      <c r="C79" s="46">
        <f>GenDetail!B58</f>
        <v>0</v>
      </c>
      <c r="D79" s="339">
        <f>GenDetail!C58</f>
        <v>5000</v>
      </c>
      <c r="E79" s="46">
        <f>GenDetail!D58</f>
        <v>5000</v>
      </c>
    </row>
    <row r="80" spans="2:6" ht="15.75">
      <c r="B80" s="230" t="s">
        <v>43</v>
      </c>
      <c r="C80" s="247">
        <f>SUM(C68:C77)</f>
        <v>166809</v>
      </c>
      <c r="D80" s="386">
        <f>SUM(D68:D79)</f>
        <v>117081</v>
      </c>
      <c r="E80" s="247">
        <f>SUM(E68:E79)</f>
        <v>210212</v>
      </c>
      <c r="F80" s="231"/>
    </row>
    <row r="81" spans="2:5" ht="15.75">
      <c r="B81" s="462"/>
      <c r="C81" s="38"/>
      <c r="D81" s="218"/>
      <c r="E81" s="38"/>
    </row>
    <row r="82" spans="2:5" ht="15.75">
      <c r="B82" s="456"/>
      <c r="C82" s="38"/>
      <c r="D82" s="218"/>
      <c r="E82" s="38"/>
    </row>
    <row r="83" spans="2:5" ht="15.75">
      <c r="B83" s="224"/>
      <c r="C83" s="463"/>
      <c r="D83" s="218"/>
      <c r="E83" s="38"/>
    </row>
    <row r="84" spans="2:5" ht="15.75">
      <c r="B84" s="462"/>
      <c r="C84" s="38"/>
      <c r="D84" s="218"/>
      <c r="E84" s="38"/>
    </row>
    <row r="85" spans="2:5" ht="15.75">
      <c r="B85" s="456"/>
      <c r="C85" s="38"/>
      <c r="D85" s="218"/>
      <c r="E85" s="38"/>
    </row>
    <row r="86" spans="2:5" ht="15.75">
      <c r="B86" s="456"/>
      <c r="C86" s="38"/>
      <c r="D86" s="218"/>
      <c r="E86" s="38"/>
    </row>
    <row r="87" spans="2:5" ht="15.75">
      <c r="B87" s="456"/>
      <c r="C87" s="38"/>
      <c r="D87" s="218"/>
      <c r="E87" s="38"/>
    </row>
    <row r="88" spans="2:5" ht="15.75">
      <c r="B88" s="456"/>
      <c r="C88" s="38"/>
      <c r="D88" s="218"/>
      <c r="E88" s="38"/>
    </row>
    <row r="89" spans="2:5" ht="15.75">
      <c r="B89" s="232"/>
      <c r="C89" s="38"/>
      <c r="D89" s="218"/>
      <c r="E89" s="38"/>
    </row>
    <row r="90" spans="2:5" ht="15.75">
      <c r="B90" s="462"/>
      <c r="C90" s="38"/>
      <c r="D90" s="218"/>
      <c r="E90" s="38"/>
    </row>
    <row r="91" spans="2:5" ht="15.75">
      <c r="B91" s="456"/>
      <c r="C91" s="38"/>
      <c r="D91" s="218"/>
      <c r="E91" s="38"/>
    </row>
    <row r="92" spans="2:5" ht="15.75">
      <c r="B92" s="456"/>
      <c r="C92" s="38"/>
      <c r="D92" s="218"/>
      <c r="E92" s="38"/>
    </row>
    <row r="93" spans="2:5" ht="15.75">
      <c r="B93" s="232"/>
      <c r="C93" s="38"/>
      <c r="D93" s="218"/>
      <c r="E93" s="38"/>
    </row>
    <row r="94" spans="2:5" ht="15.75">
      <c r="B94" s="511"/>
      <c r="C94" s="512"/>
      <c r="D94" s="218"/>
      <c r="E94" s="38"/>
    </row>
    <row r="95" spans="2:5" ht="15.75">
      <c r="B95" s="232"/>
      <c r="C95" s="38"/>
      <c r="D95" s="218"/>
      <c r="E95" s="38"/>
    </row>
    <row r="96" spans="2:5" ht="15.75">
      <c r="B96" s="232"/>
      <c r="C96" s="38"/>
      <c r="D96" s="218"/>
      <c r="E96" s="38"/>
    </row>
    <row r="97" spans="2:5" ht="15.75">
      <c r="B97" s="232"/>
      <c r="C97" s="38"/>
      <c r="D97" s="218"/>
      <c r="E97" s="38"/>
    </row>
    <row r="98" spans="2:5" ht="15.75">
      <c r="B98" s="232"/>
      <c r="C98" s="38"/>
      <c r="D98" s="218"/>
      <c r="E98" s="38"/>
    </row>
    <row r="99" spans="2:5" ht="15.75">
      <c r="B99" s="232"/>
      <c r="C99" s="38"/>
      <c r="D99" s="218"/>
      <c r="E99" s="38"/>
    </row>
    <row r="100" spans="2:5" ht="15.75">
      <c r="B100" s="232"/>
      <c r="C100" s="38"/>
      <c r="D100" s="218"/>
      <c r="E100" s="38"/>
    </row>
    <row r="101" spans="2:5" ht="15.75">
      <c r="B101" s="232"/>
      <c r="C101" s="38"/>
      <c r="D101" s="218"/>
      <c r="E101" s="38"/>
    </row>
    <row r="102" spans="2:5" ht="15.75">
      <c r="B102" s="232"/>
      <c r="C102" s="38"/>
      <c r="D102" s="218"/>
      <c r="E102" s="38"/>
    </row>
    <row r="103" spans="2:5" ht="15.75">
      <c r="B103" s="232"/>
      <c r="C103" s="38"/>
      <c r="D103" s="218"/>
      <c r="E103" s="38"/>
    </row>
    <row r="104" spans="2:5" ht="15.75">
      <c r="B104" s="232"/>
      <c r="C104" s="38"/>
      <c r="D104" s="218"/>
      <c r="E104" s="38"/>
    </row>
    <row r="105" spans="2:5" ht="15.75">
      <c r="B105" s="232"/>
      <c r="C105" s="38"/>
      <c r="D105" s="218"/>
      <c r="E105" s="38"/>
    </row>
    <row r="106" spans="2:5" ht="15.75">
      <c r="B106" s="232"/>
      <c r="C106" s="38"/>
      <c r="D106" s="218"/>
      <c r="E106" s="38"/>
    </row>
    <row r="107" spans="2:5" ht="15.75">
      <c r="B107" s="232"/>
      <c r="C107" s="38"/>
      <c r="D107" s="218"/>
      <c r="E107" s="38"/>
    </row>
    <row r="108" spans="2:5" ht="15.75">
      <c r="B108" s="232"/>
      <c r="C108" s="38"/>
      <c r="D108" s="218"/>
      <c r="E108" s="38"/>
    </row>
    <row r="109" spans="2:5" ht="15.75">
      <c r="B109" s="232"/>
      <c r="C109" s="38"/>
      <c r="D109" s="218"/>
      <c r="E109" s="38"/>
    </row>
    <row r="110" spans="2:5" ht="15.75">
      <c r="B110" s="232"/>
      <c r="C110" s="38"/>
      <c r="D110" s="218"/>
      <c r="E110" s="38"/>
    </row>
    <row r="111" spans="2:5" ht="15.75">
      <c r="B111" s="232"/>
      <c r="C111" s="38"/>
      <c r="D111" s="218"/>
      <c r="E111" s="38"/>
    </row>
    <row r="112" spans="2:5" ht="15.75" customHeight="1">
      <c r="B112" s="233" t="s">
        <v>24</v>
      </c>
      <c r="C112" s="218"/>
      <c r="D112" s="218">
        <v>5062</v>
      </c>
      <c r="E112" s="46">
        <f>nhood!E6</f>
        <v>5730</v>
      </c>
    </row>
    <row r="113" spans="2:5" ht="15.75">
      <c r="B113" s="233" t="s">
        <v>23</v>
      </c>
      <c r="C113" s="218"/>
      <c r="D113" s="218"/>
      <c r="E113" s="38"/>
    </row>
    <row r="114" spans="2:10" ht="15.75">
      <c r="B114" s="233" t="s">
        <v>379</v>
      </c>
      <c r="C114" s="320">
        <f>IF(C115*0.1&lt;C113,"Exceed 10% Rule","")</f>
      </c>
      <c r="D114" s="327">
        <f>IF(D115*0.1&lt;D113,"Exceed 10% Rule","")</f>
      </c>
      <c r="E114" s="246">
        <f>IF(E115*0.1&lt;E113,"Exceed 10% Rule","")</f>
      </c>
      <c r="G114" s="470" t="str">
        <f>CONCATENATE("Projected Carryover Into ",E1+1,"")</f>
        <v>Projected Carryover Into 2013</v>
      </c>
      <c r="H114" s="502"/>
      <c r="I114" s="502"/>
      <c r="J114" s="503"/>
    </row>
    <row r="115" spans="2:10" ht="15.75">
      <c r="B115" s="226" t="s">
        <v>95</v>
      </c>
      <c r="C115" s="337">
        <f>SUM(C80:C113)</f>
        <v>166809</v>
      </c>
      <c r="D115" s="337">
        <f>SUM(D80:D113)</f>
        <v>122143</v>
      </c>
      <c r="E115" s="227">
        <f>SUM(E80:E113)</f>
        <v>215942</v>
      </c>
      <c r="G115" s="371"/>
      <c r="H115" s="365"/>
      <c r="I115" s="365"/>
      <c r="J115" s="372"/>
    </row>
    <row r="116" spans="2:10" ht="15.75">
      <c r="B116" s="122" t="s">
        <v>203</v>
      </c>
      <c r="C116" s="339">
        <f>C57-C115</f>
        <v>31681</v>
      </c>
      <c r="D116" s="339">
        <f>D57-D115</f>
        <v>60685</v>
      </c>
      <c r="E116" s="245" t="s">
        <v>71</v>
      </c>
      <c r="G116" s="373">
        <f>D116</f>
        <v>60685</v>
      </c>
      <c r="H116" s="374" t="str">
        <f>CONCATENATE("",E1-1," Ending Cash Balance (est.)")</f>
        <v>2011 Ending Cash Balance (est.)</v>
      </c>
      <c r="I116" s="375"/>
      <c r="J116" s="372"/>
    </row>
    <row r="117" spans="2:10" ht="15.75">
      <c r="B117" s="110" t="str">
        <f>CONCATENATE("",$E$1-2,"/",$E$1-1," Budget Authority Amount:")</f>
        <v>2010/2011 Budget Authority Amount:</v>
      </c>
      <c r="C117" s="176">
        <f>inputOth!B62</f>
        <v>212670</v>
      </c>
      <c r="D117" s="235">
        <f>inputPrYr!D17</f>
        <v>160527</v>
      </c>
      <c r="E117" s="245" t="s">
        <v>71</v>
      </c>
      <c r="F117" s="236"/>
      <c r="G117" s="373">
        <f>E56</f>
        <v>72383</v>
      </c>
      <c r="H117" s="376" t="str">
        <f>CONCATENATE("",E1," Non-AV Receipts (est.)")</f>
        <v>2012 Non-AV Receipts (est.)</v>
      </c>
      <c r="I117" s="375"/>
      <c r="J117" s="372"/>
    </row>
    <row r="118" spans="2:10" ht="15.75">
      <c r="B118" s="110"/>
      <c r="C118" s="505" t="s">
        <v>38</v>
      </c>
      <c r="D118" s="506"/>
      <c r="E118" s="38"/>
      <c r="F118" s="357">
        <f>IF((E115/0.95)-E115&lt;E118,"Exceeds 5% ","")</f>
      </c>
      <c r="G118" s="377">
        <f>E122</f>
        <v>82874</v>
      </c>
      <c r="H118" s="376" t="str">
        <f>CONCATENATE("",E1," Ad Valorem Tax (est.)")</f>
        <v>2012 Ad Valorem Tax (est.)</v>
      </c>
      <c r="I118" s="375"/>
      <c r="J118" s="372"/>
    </row>
    <row r="119" spans="2:10" ht="15.75">
      <c r="B119" s="344" t="str">
        <f>CONCATENATE(C146,"     ",D146)</f>
        <v>     </v>
      </c>
      <c r="C119" s="507" t="s">
        <v>39</v>
      </c>
      <c r="D119" s="508"/>
      <c r="E119" s="186">
        <f>E115+E118</f>
        <v>215942</v>
      </c>
      <c r="G119" s="373">
        <f>SUM(G116:G118)</f>
        <v>215942</v>
      </c>
      <c r="H119" s="376" t="str">
        <f>CONCATENATE("Total ",E1," Resources Available")</f>
        <v>Total 2012 Resources Available</v>
      </c>
      <c r="I119" s="375"/>
      <c r="J119" s="372"/>
    </row>
    <row r="120" spans="2:10" ht="15.75">
      <c r="B120" s="344" t="str">
        <f>CONCATENATE(C147,"     ",D147)</f>
        <v>     </v>
      </c>
      <c r="C120" s="237"/>
      <c r="D120" s="139" t="s">
        <v>96</v>
      </c>
      <c r="E120" s="46">
        <f>IF(E119-E57&gt;0,E119-E57,0)</f>
        <v>82874</v>
      </c>
      <c r="G120" s="378"/>
      <c r="H120" s="376"/>
      <c r="I120" s="376"/>
      <c r="J120" s="372"/>
    </row>
    <row r="121" spans="2:10" ht="15.75">
      <c r="B121" s="110"/>
      <c r="C121" s="329" t="s">
        <v>40</v>
      </c>
      <c r="D121" s="345">
        <f>inputOth!E48</f>
        <v>0</v>
      </c>
      <c r="E121" s="46">
        <f>ROUND(IF(D121&gt;0,(E120*D121),0),0)</f>
        <v>0</v>
      </c>
      <c r="G121" s="377">
        <f>C115*0.05+C115</f>
        <v>175149.45</v>
      </c>
      <c r="H121" s="376" t="str">
        <f>CONCATENATE("Less ",E1-2," Expenditures + 5%")</f>
        <v>Less 2010 Expenditures + 5%</v>
      </c>
      <c r="I121" s="375"/>
      <c r="J121" s="372"/>
    </row>
    <row r="122" spans="2:10" ht="16.5" thickBot="1">
      <c r="B122" s="10"/>
      <c r="C122" s="509" t="str">
        <f>CONCATENATE("Amount of  ",$E$1-1," Ad Valorem Tax")</f>
        <v>Amount of  2011 Ad Valorem Tax</v>
      </c>
      <c r="D122" s="510"/>
      <c r="E122" s="326">
        <f>E120+E121</f>
        <v>82874</v>
      </c>
      <c r="G122" s="383">
        <f>G119-G121</f>
        <v>40792.54999999999</v>
      </c>
      <c r="H122" s="379" t="str">
        <f>CONCATENATE("Projected ",E1+1," Carryover (est.)")</f>
        <v>Projected 2013 Carryover (est.)</v>
      </c>
      <c r="I122" s="380"/>
      <c r="J122" s="381"/>
    </row>
    <row r="123" spans="2:10" ht="16.5" thickTop="1">
      <c r="B123" s="10"/>
      <c r="C123" s="10"/>
      <c r="D123" s="10"/>
      <c r="E123" s="10"/>
      <c r="G123" s="363"/>
      <c r="H123" s="363"/>
      <c r="I123" s="363"/>
      <c r="J123" s="363"/>
    </row>
    <row r="124" spans="2:10" ht="15.75">
      <c r="B124" s="492" t="s">
        <v>223</v>
      </c>
      <c r="C124" s="492"/>
      <c r="D124" s="492"/>
      <c r="E124" s="492"/>
      <c r="G124" s="391">
        <f>IF(inputOth!E7=0,"",ROUND(general!E122/inputOth!E7*1000,3))</f>
        <v>53.442</v>
      </c>
      <c r="H124" s="393" t="str">
        <f>CONCATENATE("Projected ",E1-1," Mill Rate (est.)")</f>
        <v>Projected 2011 Mill Rate (est.)</v>
      </c>
      <c r="I124" s="392"/>
      <c r="J124" s="72"/>
    </row>
    <row r="126" spans="2:10" ht="15.75">
      <c r="B126" s="73"/>
      <c r="G126" s="470" t="str">
        <f>CONCATENATE("Desired Carryover Into ",E1+1,"")</f>
        <v>Desired Carryover Into 2013</v>
      </c>
      <c r="H126" s="504"/>
      <c r="I126" s="504"/>
      <c r="J126" s="503"/>
    </row>
    <row r="127" spans="7:10" ht="15.75">
      <c r="G127" s="371"/>
      <c r="H127" s="365"/>
      <c r="I127" s="365"/>
      <c r="J127" s="372"/>
    </row>
    <row r="128" spans="7:10" ht="15.75">
      <c r="G128" s="382" t="s">
        <v>46</v>
      </c>
      <c r="H128" s="376"/>
      <c r="I128" s="376"/>
      <c r="J128" s="370">
        <v>0</v>
      </c>
    </row>
    <row r="129" spans="2:10" ht="15.75">
      <c r="B129" s="7"/>
      <c r="C129" s="7"/>
      <c r="G129" s="395" t="s">
        <v>47</v>
      </c>
      <c r="H129" s="364"/>
      <c r="I129" s="366"/>
      <c r="J129" s="394">
        <f>IF(J128=0,"",ROUND((J128+E122-G122)/inputOth!E7*1000,3)-general!G124)</f>
      </c>
    </row>
    <row r="130" spans="7:10" ht="15.75">
      <c r="G130" s="369" t="str">
        <f>CONCATENATE("",E1," Total Expenditures Must Be:")</f>
        <v>2012 Total Expenditures Must Be:</v>
      </c>
      <c r="H130" s="368"/>
      <c r="I130" s="367"/>
      <c r="J130" s="384">
        <f>IF((J128&gt;0),(E115+J128-G122),0)</f>
        <v>0</v>
      </c>
    </row>
    <row r="146" spans="3:4" ht="15.75" hidden="1">
      <c r="C146" s="11">
        <f>IF(C115&gt;C117,"See Tab A","")</f>
      </c>
      <c r="D146" s="11">
        <f>IF(D115&gt;D117,"See Tab C","")</f>
      </c>
    </row>
    <row r="147" spans="3:4" ht="15.75" hidden="1">
      <c r="C147" s="11">
        <f>IF(C116&lt;0,"See Tab B","")</f>
      </c>
      <c r="D147" s="11">
        <f>IF(D116&lt;0,"See Tab D","")</f>
      </c>
    </row>
  </sheetData>
  <sheetProtection/>
  <mergeCells count="8">
    <mergeCell ref="B59:E59"/>
    <mergeCell ref="G114:J114"/>
    <mergeCell ref="G126:J126"/>
    <mergeCell ref="C118:D118"/>
    <mergeCell ref="C119:D119"/>
    <mergeCell ref="B124:E124"/>
    <mergeCell ref="C122:D122"/>
    <mergeCell ref="B94:C94"/>
  </mergeCells>
  <conditionalFormatting sqref="E118">
    <cfRule type="cellIs" priority="2" dxfId="7" operator="greaterThan" stopIfTrue="1">
      <formula>$E$115/0.95-$E$115</formula>
    </cfRule>
  </conditionalFormatting>
  <conditionalFormatting sqref="E113">
    <cfRule type="cellIs" priority="3" dxfId="7" operator="greaterThan" stopIfTrue="1">
      <formula>$E$115*0.1</formula>
    </cfRule>
  </conditionalFormatting>
  <conditionalFormatting sqref="D115">
    <cfRule type="cellIs" priority="4" dxfId="2" operator="greaterThan" stopIfTrue="1">
      <formula>$D$117</formula>
    </cfRule>
  </conditionalFormatting>
  <conditionalFormatting sqref="C115">
    <cfRule type="cellIs" priority="5" dxfId="2" operator="greaterThan" stopIfTrue="1">
      <formula>$C$117</formula>
    </cfRule>
  </conditionalFormatting>
  <conditionalFormatting sqref="C116">
    <cfRule type="cellIs" priority="6" dxfId="2" operator="lessThan" stopIfTrue="1">
      <formula>0</formula>
    </cfRule>
  </conditionalFormatting>
  <conditionalFormatting sqref="C113">
    <cfRule type="cellIs" priority="7" dxfId="2" operator="greaterThan" stopIfTrue="1">
      <formula>$C$115*0.1</formula>
    </cfRule>
  </conditionalFormatting>
  <conditionalFormatting sqref="D113">
    <cfRule type="cellIs" priority="8" dxfId="2" operator="greaterThan" stopIfTrue="1">
      <formula>$D$115*0.1</formula>
    </cfRule>
  </conditionalFormatting>
  <conditionalFormatting sqref="D54">
    <cfRule type="cellIs" priority="9" dxfId="2" operator="greaterThan" stopIfTrue="1">
      <formula>$D$56*0.1</formula>
    </cfRule>
  </conditionalFormatting>
  <conditionalFormatting sqref="C54">
    <cfRule type="cellIs" priority="10" dxfId="2" operator="greaterThan" stopIfTrue="1">
      <formula>$C$56*0.1</formula>
    </cfRule>
  </conditionalFormatting>
  <conditionalFormatting sqref="E54">
    <cfRule type="cellIs" priority="11" dxfId="7" operator="greaterThan" stopIfTrue="1">
      <formula>$E$56*0.1+E122</formula>
    </cfRule>
  </conditionalFormatting>
  <conditionalFormatting sqref="D116">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D62"/>
  <sheetViews>
    <sheetView zoomScalePageLayoutView="0" workbookViewId="0" topLeftCell="A1">
      <selection activeCell="D18" sqref="D18"/>
    </sheetView>
  </sheetViews>
  <sheetFormatPr defaultColWidth="8.8984375" defaultRowHeight="15"/>
  <cols>
    <col min="1" max="1" width="28.296875" style="7" customWidth="1"/>
    <col min="2" max="3" width="15.796875" style="7" customWidth="1"/>
    <col min="4" max="4" width="16.09765625" style="7" customWidth="1"/>
    <col min="5" max="16384" width="8.8984375" style="7" customWidth="1"/>
  </cols>
  <sheetData>
    <row r="1" spans="1:4" ht="15.75">
      <c r="A1" s="144" t="str">
        <f>inputPrYr!D2</f>
        <v>City of LaHarpe</v>
      </c>
      <c r="B1" s="10"/>
      <c r="C1" s="142"/>
      <c r="D1" s="10">
        <f>inputPrYr!C5</f>
        <v>2012</v>
      </c>
    </row>
    <row r="2" spans="1:4" ht="15.75">
      <c r="A2" s="10"/>
      <c r="B2" s="10"/>
      <c r="C2" s="10"/>
      <c r="D2" s="142"/>
    </row>
    <row r="3" spans="1:4" ht="15.75">
      <c r="A3" s="29"/>
      <c r="B3" s="239"/>
      <c r="C3" s="239"/>
      <c r="D3" s="239"/>
    </row>
    <row r="4" spans="1:4" ht="15.75">
      <c r="A4" s="142" t="s">
        <v>82</v>
      </c>
      <c r="B4" s="434" t="s">
        <v>101</v>
      </c>
      <c r="C4" s="433" t="s">
        <v>226</v>
      </c>
      <c r="D4" s="433" t="s">
        <v>227</v>
      </c>
    </row>
    <row r="5" spans="1:4" ht="15.75">
      <c r="A5" s="435" t="s">
        <v>28</v>
      </c>
      <c r="B5" s="216">
        <f>D1-2</f>
        <v>2010</v>
      </c>
      <c r="C5" s="216">
        <f>D1-1</f>
        <v>2011</v>
      </c>
      <c r="D5" s="216">
        <f>D1</f>
        <v>2012</v>
      </c>
    </row>
    <row r="6" spans="1:4" ht="15.75">
      <c r="A6" s="184" t="s">
        <v>92</v>
      </c>
      <c r="B6" s="58"/>
      <c r="C6" s="58"/>
      <c r="D6" s="58"/>
    </row>
    <row r="7" spans="1:4" ht="15.75">
      <c r="A7" s="455" t="s">
        <v>305</v>
      </c>
      <c r="B7" s="58"/>
      <c r="C7" s="58"/>
      <c r="D7" s="58"/>
    </row>
    <row r="8" spans="1:4" ht="15.75">
      <c r="A8" s="456" t="s">
        <v>306</v>
      </c>
      <c r="B8" s="223">
        <v>17795</v>
      </c>
      <c r="C8" s="223">
        <v>20734</v>
      </c>
      <c r="D8" s="223">
        <v>21771</v>
      </c>
    </row>
    <row r="9" spans="1:4" ht="15.75">
      <c r="A9" s="456" t="s">
        <v>307</v>
      </c>
      <c r="B9" s="223">
        <v>24850</v>
      </c>
      <c r="C9" s="223">
        <v>19509</v>
      </c>
      <c r="D9" s="223">
        <v>23000</v>
      </c>
    </row>
    <row r="10" spans="1:4" ht="15.75">
      <c r="A10" s="456" t="s">
        <v>93</v>
      </c>
      <c r="B10" s="223">
        <v>21991</v>
      </c>
      <c r="C10" s="223">
        <v>4430</v>
      </c>
      <c r="D10" s="223">
        <v>6000</v>
      </c>
    </row>
    <row r="11" spans="1:4" ht="15.75">
      <c r="A11" s="241" t="s">
        <v>94</v>
      </c>
      <c r="B11" s="223">
        <v>0</v>
      </c>
      <c r="C11" s="223">
        <v>0</v>
      </c>
      <c r="D11" s="223">
        <v>2000</v>
      </c>
    </row>
    <row r="12" spans="1:4" ht="15.75">
      <c r="A12" s="184" t="s">
        <v>359</v>
      </c>
      <c r="B12" s="234">
        <f>SUM(B8:B11)</f>
        <v>64636</v>
      </c>
      <c r="C12" s="234">
        <f>SUM(C8:C11)</f>
        <v>44673</v>
      </c>
      <c r="D12" s="234">
        <f>SUM(D8:D11)</f>
        <v>52771</v>
      </c>
    </row>
    <row r="13" spans="1:4" ht="15.75">
      <c r="A13" s="241" t="s">
        <v>317</v>
      </c>
      <c r="B13" s="58"/>
      <c r="C13" s="58"/>
      <c r="D13" s="58"/>
    </row>
    <row r="14" spans="1:4" ht="15.75">
      <c r="A14" s="241" t="s">
        <v>306</v>
      </c>
      <c r="B14" s="223">
        <v>2850</v>
      </c>
      <c r="C14" s="223">
        <v>3090</v>
      </c>
      <c r="D14" s="223">
        <v>3244</v>
      </c>
    </row>
    <row r="15" spans="1:4" ht="15.75">
      <c r="A15" s="241" t="s">
        <v>307</v>
      </c>
      <c r="B15" s="223">
        <v>0</v>
      </c>
      <c r="C15" s="223">
        <v>0</v>
      </c>
      <c r="D15" s="223">
        <v>2000</v>
      </c>
    </row>
    <row r="16" spans="1:4" ht="15.75">
      <c r="A16" s="456" t="s">
        <v>93</v>
      </c>
      <c r="B16" s="223">
        <v>6443</v>
      </c>
      <c r="C16" s="223">
        <v>2096</v>
      </c>
      <c r="D16" s="223">
        <v>2200</v>
      </c>
    </row>
    <row r="17" spans="1:4" ht="15.75">
      <c r="A17" s="456" t="s">
        <v>94</v>
      </c>
      <c r="B17" s="223">
        <v>0</v>
      </c>
      <c r="C17" s="223">
        <v>10000</v>
      </c>
      <c r="D17" s="223">
        <v>20000</v>
      </c>
    </row>
    <row r="18" spans="1:4" ht="15.75">
      <c r="A18" s="184" t="s">
        <v>359</v>
      </c>
      <c r="B18" s="234">
        <f>SUM(B14:B17)</f>
        <v>9293</v>
      </c>
      <c r="C18" s="234">
        <f>SUM(C14:C17)</f>
        <v>15186</v>
      </c>
      <c r="D18" s="234">
        <f>SUM(D14:D17)</f>
        <v>27444</v>
      </c>
    </row>
    <row r="19" spans="1:4" ht="15.75">
      <c r="A19" s="456" t="s">
        <v>308</v>
      </c>
      <c r="B19" s="144"/>
      <c r="C19" s="144"/>
      <c r="D19" s="144"/>
    </row>
    <row r="20" spans="1:4" ht="15.75">
      <c r="A20" s="456" t="s">
        <v>309</v>
      </c>
      <c r="B20" s="223">
        <v>0</v>
      </c>
      <c r="C20" s="223">
        <v>0</v>
      </c>
      <c r="D20" s="223">
        <v>5000</v>
      </c>
    </row>
    <row r="21" spans="1:4" ht="15.75">
      <c r="A21" s="184" t="s">
        <v>359</v>
      </c>
      <c r="B21" s="234">
        <f>SUM(B20:B20)</f>
        <v>0</v>
      </c>
      <c r="C21" s="234">
        <f>SUM(C20:C20)</f>
        <v>0</v>
      </c>
      <c r="D21" s="234">
        <f>SUM(D20:D20)</f>
        <v>5000</v>
      </c>
    </row>
    <row r="22" spans="1:4" ht="15.75">
      <c r="A22" s="457" t="s">
        <v>310</v>
      </c>
      <c r="B22" s="144"/>
      <c r="C22" s="144"/>
      <c r="D22" s="144"/>
    </row>
    <row r="23" spans="1:4" ht="15.75">
      <c r="A23" s="456" t="s">
        <v>93</v>
      </c>
      <c r="B23" s="223">
        <v>297</v>
      </c>
      <c r="C23" s="223">
        <v>5000</v>
      </c>
      <c r="D23" s="223">
        <v>5000</v>
      </c>
    </row>
    <row r="24" spans="1:4" ht="15.75">
      <c r="A24" s="241"/>
      <c r="B24" s="223"/>
      <c r="C24" s="223"/>
      <c r="D24" s="223"/>
    </row>
    <row r="25" spans="1:4" ht="15.75">
      <c r="A25" s="184" t="s">
        <v>359</v>
      </c>
      <c r="B25" s="234">
        <f>SUM(B23:B24)</f>
        <v>297</v>
      </c>
      <c r="C25" s="234">
        <f>SUM(C23:C24)</f>
        <v>5000</v>
      </c>
      <c r="D25" s="234">
        <f>SUM(D23:D24)</f>
        <v>5000</v>
      </c>
    </row>
    <row r="26" spans="1:4" ht="15.75">
      <c r="A26" s="457" t="s">
        <v>311</v>
      </c>
      <c r="B26" s="144"/>
      <c r="C26" s="144"/>
      <c r="D26" s="144"/>
    </row>
    <row r="27" spans="1:4" ht="15.75">
      <c r="A27" s="456" t="s">
        <v>93</v>
      </c>
      <c r="B27" s="223">
        <v>211</v>
      </c>
      <c r="C27" s="223">
        <v>0</v>
      </c>
      <c r="D27" s="223">
        <v>0</v>
      </c>
    </row>
    <row r="28" spans="1:4" ht="15.75">
      <c r="A28" s="241" t="s">
        <v>309</v>
      </c>
      <c r="B28" s="223">
        <v>0</v>
      </c>
      <c r="C28" s="223">
        <v>658</v>
      </c>
      <c r="D28" s="223">
        <v>1000</v>
      </c>
    </row>
    <row r="29" spans="1:4" ht="15.75">
      <c r="A29" s="184" t="s">
        <v>359</v>
      </c>
      <c r="B29" s="234">
        <f>SUM(B26:B28)</f>
        <v>211</v>
      </c>
      <c r="C29" s="234">
        <f>SUM(C26:C28)</f>
        <v>658</v>
      </c>
      <c r="D29" s="234">
        <f>SUM(D26:D28)</f>
        <v>1000</v>
      </c>
    </row>
    <row r="30" spans="1:4" ht="15.75">
      <c r="A30" s="241" t="s">
        <v>318</v>
      </c>
      <c r="B30" s="461"/>
      <c r="C30" s="461"/>
      <c r="D30" s="461"/>
    </row>
    <row r="31" spans="1:4" ht="15.75">
      <c r="A31" s="241" t="s">
        <v>319</v>
      </c>
      <c r="B31" s="223">
        <v>56033</v>
      </c>
      <c r="C31" s="223">
        <v>0</v>
      </c>
      <c r="D31" s="223">
        <v>39731</v>
      </c>
    </row>
    <row r="32" spans="1:4" ht="15.75">
      <c r="A32" s="184" t="s">
        <v>359</v>
      </c>
      <c r="B32" s="234">
        <f>SUM(B31)</f>
        <v>56033</v>
      </c>
      <c r="C32" s="234">
        <f>SUM(C31)</f>
        <v>0</v>
      </c>
      <c r="D32" s="234">
        <f>SUM(D31)</f>
        <v>39731</v>
      </c>
    </row>
    <row r="33" spans="1:4" ht="15.75">
      <c r="A33" s="457" t="s">
        <v>312</v>
      </c>
      <c r="B33" s="144"/>
      <c r="C33" s="144"/>
      <c r="D33" s="144"/>
    </row>
    <row r="34" spans="1:4" ht="15.75">
      <c r="A34" s="456" t="s">
        <v>306</v>
      </c>
      <c r="B34" s="223">
        <v>1904</v>
      </c>
      <c r="C34" s="223">
        <v>9200</v>
      </c>
      <c r="D34" s="223">
        <v>21000</v>
      </c>
    </row>
    <row r="35" spans="1:4" ht="15.75">
      <c r="A35" s="456" t="s">
        <v>309</v>
      </c>
      <c r="B35" s="223">
        <v>4878</v>
      </c>
      <c r="C35" s="223">
        <v>3170</v>
      </c>
      <c r="D35" s="223">
        <v>3500</v>
      </c>
    </row>
    <row r="36" spans="1:4" ht="15.75">
      <c r="A36" s="456" t="s">
        <v>93</v>
      </c>
      <c r="B36" s="223">
        <v>4681</v>
      </c>
      <c r="C36" s="223">
        <v>4431</v>
      </c>
      <c r="D36" s="223">
        <v>6000</v>
      </c>
    </row>
    <row r="37" spans="1:4" ht="15.75">
      <c r="A37" s="241" t="s">
        <v>94</v>
      </c>
      <c r="B37" s="223">
        <v>0</v>
      </c>
      <c r="C37" s="223">
        <v>1960</v>
      </c>
      <c r="D37" s="223">
        <v>8360</v>
      </c>
    </row>
    <row r="38" spans="1:4" ht="15.75">
      <c r="A38" s="184" t="s">
        <v>359</v>
      </c>
      <c r="B38" s="234">
        <f>SUM(B34:B37)</f>
        <v>11463</v>
      </c>
      <c r="C38" s="234">
        <f>SUM(C34:C37)</f>
        <v>18761</v>
      </c>
      <c r="D38" s="234">
        <f>SUM(D34:D37)</f>
        <v>38860</v>
      </c>
    </row>
    <row r="39" spans="1:4" ht="15.75">
      <c r="A39" s="457" t="s">
        <v>313</v>
      </c>
      <c r="B39" s="144"/>
      <c r="C39" s="144"/>
      <c r="D39" s="144"/>
    </row>
    <row r="40" spans="1:4" ht="15.75">
      <c r="A40" s="456" t="s">
        <v>306</v>
      </c>
      <c r="B40" s="223">
        <v>3448</v>
      </c>
      <c r="C40" s="223">
        <v>2196</v>
      </c>
      <c r="D40" s="223">
        <v>2306</v>
      </c>
    </row>
    <row r="41" spans="1:4" ht="15.75">
      <c r="A41" s="456" t="s">
        <v>93</v>
      </c>
      <c r="B41" s="223">
        <v>1778</v>
      </c>
      <c r="C41" s="223">
        <v>914</v>
      </c>
      <c r="D41" s="223">
        <v>1500</v>
      </c>
    </row>
    <row r="42" spans="1:4" ht="15.75">
      <c r="A42" s="241"/>
      <c r="B42" s="223"/>
      <c r="C42" s="223"/>
      <c r="D42" s="223"/>
    </row>
    <row r="43" spans="1:4" ht="15.75">
      <c r="A43" s="184" t="s">
        <v>359</v>
      </c>
      <c r="B43" s="234">
        <f>SUM(B40:B42)</f>
        <v>5226</v>
      </c>
      <c r="C43" s="234">
        <f>SUM(C40:C42)</f>
        <v>3110</v>
      </c>
      <c r="D43" s="234">
        <f>SUM(D40:D42)</f>
        <v>3806</v>
      </c>
    </row>
    <row r="44" spans="1:4" ht="15.75">
      <c r="A44" s="457" t="s">
        <v>314</v>
      </c>
      <c r="B44" s="144"/>
      <c r="C44" s="144"/>
      <c r="D44" s="144"/>
    </row>
    <row r="45" spans="1:4" ht="15.75">
      <c r="A45" s="456" t="s">
        <v>306</v>
      </c>
      <c r="B45" s="223"/>
      <c r="C45" s="223">
        <v>18788</v>
      </c>
      <c r="D45" s="223">
        <v>25000</v>
      </c>
    </row>
    <row r="46" spans="1:4" ht="15.75">
      <c r="A46" s="456"/>
      <c r="B46" s="223"/>
      <c r="C46" s="223"/>
      <c r="D46" s="223"/>
    </row>
    <row r="47" spans="1:4" ht="15.75">
      <c r="A47" s="241"/>
      <c r="B47" s="223"/>
      <c r="C47" s="223"/>
      <c r="D47" s="223"/>
    </row>
    <row r="48" spans="1:4" ht="15.75">
      <c r="A48" s="241"/>
      <c r="B48" s="223"/>
      <c r="C48" s="223"/>
      <c r="D48" s="223"/>
    </row>
    <row r="49" spans="1:4" ht="15.75">
      <c r="A49" s="184" t="s">
        <v>359</v>
      </c>
      <c r="B49" s="234">
        <f>SUM(B45:B48)</f>
        <v>0</v>
      </c>
      <c r="C49" s="234">
        <f>SUM(C45:C48)</f>
        <v>18788</v>
      </c>
      <c r="D49" s="234">
        <f>SUM(D45:D48)</f>
        <v>25000</v>
      </c>
    </row>
    <row r="50" spans="1:4" ht="15.75">
      <c r="A50" s="457" t="s">
        <v>315</v>
      </c>
      <c r="B50" s="144"/>
      <c r="C50" s="144"/>
      <c r="D50" s="144"/>
    </row>
    <row r="51" spans="1:4" ht="15.75">
      <c r="A51" s="456" t="s">
        <v>309</v>
      </c>
      <c r="B51" s="223"/>
      <c r="C51" s="223">
        <v>1505</v>
      </c>
      <c r="D51" s="223">
        <v>2000</v>
      </c>
    </row>
    <row r="52" spans="1:4" ht="15.75">
      <c r="A52" s="241"/>
      <c r="B52" s="223"/>
      <c r="C52" s="223">
        <v>0</v>
      </c>
      <c r="D52" s="223">
        <v>0</v>
      </c>
    </row>
    <row r="53" spans="1:4" ht="15.75">
      <c r="A53" s="184" t="s">
        <v>359</v>
      </c>
      <c r="B53" s="234">
        <f>SUM(B50:B52)</f>
        <v>0</v>
      </c>
      <c r="C53" s="234">
        <f>SUM(C51:C52)</f>
        <v>1505</v>
      </c>
      <c r="D53" s="234">
        <f>SUM(D51:D52)</f>
        <v>2000</v>
      </c>
    </row>
    <row r="54" spans="1:4" ht="15.75">
      <c r="A54" s="457" t="s">
        <v>385</v>
      </c>
      <c r="B54" s="144"/>
      <c r="C54" s="144"/>
      <c r="D54" s="144"/>
    </row>
    <row r="55" spans="1:4" ht="15.75">
      <c r="A55" s="456" t="s">
        <v>309</v>
      </c>
      <c r="B55" s="223"/>
      <c r="C55" s="223">
        <v>4400</v>
      </c>
      <c r="D55" s="223">
        <v>4600</v>
      </c>
    </row>
    <row r="56" spans="1:4" ht="15.75">
      <c r="A56" s="184" t="s">
        <v>359</v>
      </c>
      <c r="B56" s="234">
        <f>SUM(B53:B55)</f>
        <v>0</v>
      </c>
      <c r="C56" s="234">
        <f>SUM(C55)</f>
        <v>4400</v>
      </c>
      <c r="D56" s="234">
        <f>SUM(D55)</f>
        <v>4600</v>
      </c>
    </row>
    <row r="57" spans="1:4" ht="15.75">
      <c r="A57" s="241" t="s">
        <v>389</v>
      </c>
      <c r="B57" s="223">
        <v>0</v>
      </c>
      <c r="C57" s="223">
        <v>5000</v>
      </c>
      <c r="D57" s="223">
        <v>5000</v>
      </c>
    </row>
    <row r="58" spans="1:4" ht="15.75">
      <c r="A58" s="184" t="s">
        <v>359</v>
      </c>
      <c r="B58" s="234">
        <f>SUM(B55:B57)</f>
        <v>0</v>
      </c>
      <c r="C58" s="234">
        <f>SUM(C57)</f>
        <v>5000</v>
      </c>
      <c r="D58" s="234">
        <f>SUM(D57)</f>
        <v>5000</v>
      </c>
    </row>
    <row r="59" spans="1:4" ht="15.75">
      <c r="A59" s="10"/>
      <c r="B59" s="144"/>
      <c r="C59" s="144"/>
      <c r="D59" s="144"/>
    </row>
    <row r="60" spans="1:4" ht="16.5" thickBot="1">
      <c r="A60" s="184" t="s">
        <v>99</v>
      </c>
      <c r="B60" s="243">
        <f>B18+B21+B25+B32+B38+B43+B49+B58</f>
        <v>82312</v>
      </c>
      <c r="C60" s="243">
        <f>C12+C18+C21+C25+C29+C32+C38+C43+C49+C53+C56+C58</f>
        <v>117081</v>
      </c>
      <c r="D60" s="243">
        <f>D12+D18+D21+D25+D29+D32+D38+D43+D49+D53+D56+D58</f>
        <v>210212</v>
      </c>
    </row>
    <row r="61" spans="1:4" ht="16.5" thickTop="1">
      <c r="A61" s="244" t="s">
        <v>27</v>
      </c>
      <c r="B61" s="144"/>
      <c r="C61" s="144"/>
      <c r="D61" s="144"/>
    </row>
    <row r="62" spans="1:4" ht="15.75">
      <c r="A62" s="110" t="s">
        <v>98</v>
      </c>
      <c r="B62" s="459" t="s">
        <v>224</v>
      </c>
      <c r="C62" s="144"/>
      <c r="D62" s="144"/>
    </row>
  </sheetData>
  <sheetProtection/>
  <printOptions/>
  <pageMargins left="0.5" right="0.5" top="1" bottom="0.5" header="0.5" footer="0.5"/>
  <pageSetup blackAndWhite="1" fitToHeight="1" fitToWidth="1" horizontalDpi="300" verticalDpi="300" orientation="portrait" scale="68"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dimension ref="B1:I87"/>
  <sheetViews>
    <sheetView zoomScalePageLayoutView="0" workbookViewId="0" topLeftCell="A22">
      <selection activeCell="A27" sqref="A27:IV27"/>
    </sheetView>
  </sheetViews>
  <sheetFormatPr defaultColWidth="8.8984375" defaultRowHeight="15"/>
  <cols>
    <col min="1" max="1" width="2.3984375" style="11" customWidth="1"/>
    <col min="2" max="2" width="31.09765625" style="11" customWidth="1"/>
    <col min="3" max="4" width="15.796875" style="11" customWidth="1"/>
    <col min="5" max="5" width="16.19921875" style="11" customWidth="1"/>
    <col min="6" max="6" width="6.69921875" style="11" customWidth="1"/>
    <col min="7" max="7" width="9.09765625" style="11" customWidth="1"/>
    <col min="8" max="16384" width="8.8984375" style="11" customWidth="1"/>
  </cols>
  <sheetData>
    <row r="1" spans="2:5" ht="15.75">
      <c r="B1" s="144" t="str">
        <f>(inputPrYr!D2)</f>
        <v>City of LaHarpe</v>
      </c>
      <c r="C1" s="144"/>
      <c r="D1" s="10"/>
      <c r="E1" s="178">
        <f>inputPrYr!$C$5</f>
        <v>2012</v>
      </c>
    </row>
    <row r="2" spans="2:5" ht="15.75">
      <c r="B2" s="10"/>
      <c r="C2" s="10"/>
      <c r="D2" s="10"/>
      <c r="E2" s="139"/>
    </row>
    <row r="3" spans="2:5" ht="15.75">
      <c r="B3" s="29" t="s">
        <v>147</v>
      </c>
      <c r="C3" s="29"/>
      <c r="D3" s="332"/>
      <c r="E3" s="331"/>
    </row>
    <row r="4" spans="2:5" ht="15.75">
      <c r="B4" s="17" t="s">
        <v>82</v>
      </c>
      <c r="C4" s="431" t="s">
        <v>101</v>
      </c>
      <c r="D4" s="432" t="s">
        <v>226</v>
      </c>
      <c r="E4" s="433" t="s">
        <v>227</v>
      </c>
    </row>
    <row r="5" spans="2:5" ht="15.75">
      <c r="B5" s="340" t="str">
        <f>inputPrYr!B18</f>
        <v>Bond &amp; Interest</v>
      </c>
      <c r="C5" s="323">
        <f>inputPrYr!$C$5-2</f>
        <v>2010</v>
      </c>
      <c r="D5" s="323">
        <f>inputPrYr!$C$5-1</f>
        <v>2011</v>
      </c>
      <c r="E5" s="172">
        <f>inputPrYr!$C$5</f>
        <v>2012</v>
      </c>
    </row>
    <row r="6" spans="2:5" ht="15.75">
      <c r="B6" s="122" t="s">
        <v>202</v>
      </c>
      <c r="C6" s="338">
        <v>4571</v>
      </c>
      <c r="D6" s="322">
        <f>C32</f>
        <v>0</v>
      </c>
      <c r="E6" s="186">
        <f>D32</f>
        <v>0</v>
      </c>
    </row>
    <row r="7" spans="2:5" ht="15.75">
      <c r="B7" s="122" t="s">
        <v>204</v>
      </c>
      <c r="C7" s="130"/>
      <c r="D7" s="322"/>
      <c r="E7" s="186"/>
    </row>
    <row r="8" spans="2:5" ht="15.75">
      <c r="B8" s="122" t="s">
        <v>83</v>
      </c>
      <c r="C8" s="336"/>
      <c r="D8" s="322">
        <f>inputPrYr!E18</f>
        <v>0</v>
      </c>
      <c r="E8" s="245" t="s">
        <v>71</v>
      </c>
    </row>
    <row r="9" spans="2:5" ht="15.75">
      <c r="B9" s="122" t="s">
        <v>84</v>
      </c>
      <c r="C9" s="336"/>
      <c r="D9" s="218"/>
      <c r="E9" s="38"/>
    </row>
    <row r="10" spans="2:5" ht="15.75">
      <c r="B10" s="122" t="s">
        <v>85</v>
      </c>
      <c r="C10" s="336"/>
      <c r="D10" s="218"/>
      <c r="E10" s="186" t="str">
        <f>mvalloc!C8</f>
        <v>  </v>
      </c>
    </row>
    <row r="11" spans="2:5" ht="15.75">
      <c r="B11" s="122" t="s">
        <v>86</v>
      </c>
      <c r="C11" s="336"/>
      <c r="D11" s="218"/>
      <c r="E11" s="186" t="str">
        <f>mvalloc!D8</f>
        <v> </v>
      </c>
    </row>
    <row r="12" spans="2:5" ht="15.75">
      <c r="B12" s="233" t="s">
        <v>179</v>
      </c>
      <c r="C12" s="336"/>
      <c r="D12" s="218"/>
      <c r="E12" s="186" t="str">
        <f>mvalloc!E8</f>
        <v> </v>
      </c>
    </row>
    <row r="13" spans="2:5" ht="15.75">
      <c r="B13" s="233" t="s">
        <v>233</v>
      </c>
      <c r="C13" s="336"/>
      <c r="D13" s="218"/>
      <c r="E13" s="186" t="str">
        <f>mvalloc!F9</f>
        <v> </v>
      </c>
    </row>
    <row r="14" spans="2:5" ht="15.75">
      <c r="B14" s="458" t="s">
        <v>320</v>
      </c>
      <c r="C14" s="336">
        <v>18585</v>
      </c>
      <c r="D14" s="218">
        <v>18504</v>
      </c>
      <c r="E14" s="38">
        <v>18504</v>
      </c>
    </row>
    <row r="15" spans="2:5" ht="15.75">
      <c r="B15" s="458" t="s">
        <v>321</v>
      </c>
      <c r="C15" s="336"/>
      <c r="D15" s="218"/>
      <c r="E15" s="38"/>
    </row>
    <row r="16" spans="2:5" ht="15.75">
      <c r="B16" s="458" t="s">
        <v>322</v>
      </c>
      <c r="C16" s="336">
        <v>28030</v>
      </c>
      <c r="D16" s="218">
        <v>32682</v>
      </c>
      <c r="E16" s="38">
        <v>32682</v>
      </c>
    </row>
    <row r="17" spans="2:5" ht="15.75">
      <c r="B17" s="251" t="s">
        <v>88</v>
      </c>
      <c r="C17" s="336"/>
      <c r="D17" s="218"/>
      <c r="E17" s="38"/>
    </row>
    <row r="18" spans="2:5" ht="15.75">
      <c r="B18" s="122" t="s">
        <v>23</v>
      </c>
      <c r="C18" s="336"/>
      <c r="D18" s="218"/>
      <c r="E18" s="38"/>
    </row>
    <row r="19" spans="2:5" ht="15.75">
      <c r="B19" s="122" t="s">
        <v>378</v>
      </c>
      <c r="C19" s="324">
        <f>IF(C20*0.1&lt;C18,"Exceed 10% Rule","")</f>
      </c>
      <c r="D19" s="342">
        <f>IF(D20*0.1&lt;D18,"Exceed 10% Rule","")</f>
      </c>
      <c r="E19" s="246">
        <f>IF(E21*0.01+E38&lt;E18,"Exceed 10% Rule","")</f>
      </c>
    </row>
    <row r="20" spans="2:5" ht="15.75">
      <c r="B20" s="226" t="s">
        <v>89</v>
      </c>
      <c r="C20" s="325">
        <f>SUM(C8:C18)</f>
        <v>46615</v>
      </c>
      <c r="D20" s="325">
        <f>SUM(D8:D18)</f>
        <v>51186</v>
      </c>
      <c r="E20" s="249">
        <f>SUM(E8:E18)</f>
        <v>51186</v>
      </c>
    </row>
    <row r="21" spans="2:5" ht="15.75">
      <c r="B21" s="226" t="s">
        <v>90</v>
      </c>
      <c r="C21" s="325">
        <f>C6+C20</f>
        <v>51186</v>
      </c>
      <c r="D21" s="325">
        <f>D6+D20</f>
        <v>51186</v>
      </c>
      <c r="E21" s="249">
        <f>E6+E20</f>
        <v>51186</v>
      </c>
    </row>
    <row r="22" spans="2:5" ht="15.75">
      <c r="B22" s="122" t="s">
        <v>92</v>
      </c>
      <c r="C22" s="122"/>
      <c r="D22" s="322"/>
      <c r="E22" s="186"/>
    </row>
    <row r="23" spans="2:5" ht="15.75">
      <c r="B23" s="224"/>
      <c r="C23" s="336"/>
      <c r="D23" s="218"/>
      <c r="E23" s="38"/>
    </row>
    <row r="24" spans="2:5" ht="15.75">
      <c r="B24" s="458" t="s">
        <v>323</v>
      </c>
      <c r="C24" s="336"/>
      <c r="D24" s="218"/>
      <c r="E24" s="38"/>
    </row>
    <row r="25" spans="2:5" ht="15.75">
      <c r="B25" s="458" t="s">
        <v>324</v>
      </c>
      <c r="C25" s="336">
        <v>37887</v>
      </c>
      <c r="D25" s="218">
        <v>39074</v>
      </c>
      <c r="E25" s="38">
        <v>40299</v>
      </c>
    </row>
    <row r="26" spans="2:5" ht="15.75">
      <c r="B26" s="458" t="s">
        <v>325</v>
      </c>
      <c r="C26" s="336">
        <f>12230+1069</f>
        <v>13299</v>
      </c>
      <c r="D26" s="218">
        <v>12112</v>
      </c>
      <c r="E26" s="38">
        <v>10887</v>
      </c>
    </row>
    <row r="27" spans="2:5" ht="15.75">
      <c r="B27" s="224"/>
      <c r="C27" s="336"/>
      <c r="D27" s="218"/>
      <c r="E27" s="38"/>
    </row>
    <row r="28" spans="2:5" ht="15.75">
      <c r="B28" s="334" t="s">
        <v>24</v>
      </c>
      <c r="C28" s="336"/>
      <c r="D28" s="218"/>
      <c r="E28" s="186">
        <f>nhood!E7</f>
      </c>
    </row>
    <row r="29" spans="2:5" ht="15.75">
      <c r="B29" s="334" t="s">
        <v>23</v>
      </c>
      <c r="C29" s="336"/>
      <c r="D29" s="218"/>
      <c r="E29" s="38"/>
    </row>
    <row r="30" spans="2:9" ht="16.5">
      <c r="B30" s="334" t="s">
        <v>42</v>
      </c>
      <c r="C30" s="335">
        <f>IF(C31*0.1&lt;C29,"Exceed 10% Rule","")</f>
      </c>
      <c r="D30" s="343">
        <f>IF(D31*0.1&lt;D29,"Exceed 10% Rule","")</f>
      </c>
      <c r="E30" s="333">
        <f>IF(E31*0.1&lt;E29,"Exceed 10% Rule","")</f>
      </c>
      <c r="G30" s="513" t="str">
        <f>CONCATENATE("Projected Carryover Into ",E1+1,"")</f>
        <v>Projected Carryover Into 2013</v>
      </c>
      <c r="H30" s="514"/>
      <c r="I30" s="515"/>
    </row>
    <row r="31" spans="2:9" ht="15.75">
      <c r="B31" s="226" t="s">
        <v>95</v>
      </c>
      <c r="C31" s="337">
        <f>SUM(C23:C29)</f>
        <v>51186</v>
      </c>
      <c r="D31" s="337">
        <f>SUM(D23:D29)</f>
        <v>51186</v>
      </c>
      <c r="E31" s="227">
        <f>SUM(E23:E29)</f>
        <v>51186</v>
      </c>
      <c r="G31" s="371"/>
      <c r="H31" s="365"/>
      <c r="I31" s="372"/>
    </row>
    <row r="32" spans="2:9" ht="15.75">
      <c r="B32" s="122" t="s">
        <v>203</v>
      </c>
      <c r="C32" s="339">
        <f>C21-C31</f>
        <v>0</v>
      </c>
      <c r="D32" s="339">
        <f>D21-D31</f>
        <v>0</v>
      </c>
      <c r="E32" s="245" t="s">
        <v>71</v>
      </c>
      <c r="G32" s="396">
        <f>D32</f>
        <v>0</v>
      </c>
      <c r="H32" s="397" t="str">
        <f>CONCATENATE("",E1-1," Ending Cash Balance (est.)")</f>
        <v>2011 Ending Cash Balance (est.)</v>
      </c>
      <c r="I32" s="372"/>
    </row>
    <row r="33" spans="2:9" ht="15.75">
      <c r="B33" s="110" t="str">
        <f>CONCATENATE("",E1-2,"/",E1-1," Budget Authority Amount:")</f>
        <v>2010/2011 Budget Authority Amount:</v>
      </c>
      <c r="C33" s="176">
        <f>inputOth!B63</f>
        <v>54237</v>
      </c>
      <c r="D33" s="235">
        <f>inputPrYr!D18</f>
        <v>55756</v>
      </c>
      <c r="E33" s="245" t="s">
        <v>71</v>
      </c>
      <c r="F33" s="236"/>
      <c r="G33" s="396">
        <f>E20</f>
        <v>51186</v>
      </c>
      <c r="H33" s="398" t="str">
        <f>CONCATENATE("",E1," Non-AV Receipts (est.)")</f>
        <v>2012 Non-AV Receipts (est.)</v>
      </c>
      <c r="I33" s="372"/>
    </row>
    <row r="34" spans="2:9" ht="15.75">
      <c r="B34" s="110"/>
      <c r="C34" s="505" t="s">
        <v>38</v>
      </c>
      <c r="D34" s="506"/>
      <c r="E34" s="38"/>
      <c r="F34" s="357">
        <f>IF(E31/0.95-E31&lt;E34,"Exceeds 5%","")</f>
      </c>
      <c r="G34" s="399">
        <f>E38</f>
        <v>0</v>
      </c>
      <c r="H34" s="398" t="str">
        <f>CONCATENATE("",E1," Ad Valorem Tax (est.)")</f>
        <v>2012 Ad Valorem Tax (est.)</v>
      </c>
      <c r="I34" s="372"/>
    </row>
    <row r="35" spans="2:9" ht="15.75">
      <c r="B35" s="344" t="str">
        <f>CONCATENATE(C83,"     ",D83)</f>
        <v>     </v>
      </c>
      <c r="C35" s="507" t="s">
        <v>39</v>
      </c>
      <c r="D35" s="508"/>
      <c r="E35" s="186">
        <f>E31+E34</f>
        <v>51186</v>
      </c>
      <c r="G35" s="396">
        <f>SUM(G32:G34)</f>
        <v>51186</v>
      </c>
      <c r="H35" s="398" t="str">
        <f>CONCATENATE("Total ",E1," Resources Available")</f>
        <v>Total 2012 Resources Available</v>
      </c>
      <c r="I35" s="372"/>
    </row>
    <row r="36" spans="2:9" ht="15.75">
      <c r="B36" s="344" t="str">
        <f>CONCATENATE(C84,"     ",D84)</f>
        <v>     </v>
      </c>
      <c r="C36" s="237"/>
      <c r="D36" s="139" t="s">
        <v>96</v>
      </c>
      <c r="E36" s="46">
        <f>IF(E35-E21&gt;0,E35-E21,0)</f>
        <v>0</v>
      </c>
      <c r="G36" s="400"/>
      <c r="H36" s="398"/>
      <c r="I36" s="372"/>
    </row>
    <row r="37" spans="2:9" ht="15.75">
      <c r="B37" s="139"/>
      <c r="C37" s="329" t="s">
        <v>40</v>
      </c>
      <c r="D37" s="345">
        <f>inputOth!E48</f>
        <v>0</v>
      </c>
      <c r="E37" s="186">
        <f>ROUND(IF($D$37&gt;0,($E$36*$D$37),0),0)</f>
        <v>0</v>
      </c>
      <c r="G37" s="399">
        <f>C31</f>
        <v>51186</v>
      </c>
      <c r="H37" s="398" t="str">
        <f>CONCATENATE("Less ",E1-2," Expenditures")</f>
        <v>Less 2010 Expenditures</v>
      </c>
      <c r="I37" s="372"/>
    </row>
    <row r="38" spans="2:9" ht="15.75">
      <c r="B38" s="10"/>
      <c r="C38" s="516" t="str">
        <f>CONCATENATE("Amount of  ",E1-1," Ad Valorem Tax")</f>
        <v>Amount of  2011 Ad Valorem Tax</v>
      </c>
      <c r="D38" s="517"/>
      <c r="E38" s="247">
        <f>E36+E37</f>
        <v>0</v>
      </c>
      <c r="G38" s="389">
        <f>SUM(G35-G37)</f>
        <v>0</v>
      </c>
      <c r="H38" s="390" t="str">
        <f>CONCATENATE("Projected ",E1+1," carryover (est.)")</f>
        <v>Projected 2013 carryover (est.)</v>
      </c>
      <c r="I38" s="381"/>
    </row>
    <row r="39" spans="2:5" ht="15.75">
      <c r="B39" s="17"/>
      <c r="C39" s="17"/>
      <c r="D39" s="332"/>
      <c r="E39" s="332"/>
    </row>
    <row r="40" spans="2:5" ht="15.75">
      <c r="B40" s="17" t="s">
        <v>82</v>
      </c>
      <c r="C40" s="431" t="s">
        <v>101</v>
      </c>
      <c r="D40" s="432" t="s">
        <v>226</v>
      </c>
      <c r="E40" s="433" t="s">
        <v>227</v>
      </c>
    </row>
    <row r="41" spans="2:5" ht="15.75">
      <c r="B41" s="341">
        <f>inputPrYr!B20</f>
        <v>0</v>
      </c>
      <c r="C41" s="323">
        <f>inputPrYr!$C$5-2</f>
        <v>2010</v>
      </c>
      <c r="D41" s="323">
        <f>inputPrYr!$C$5-1</f>
        <v>2011</v>
      </c>
      <c r="E41" s="172">
        <f>inputPrYr!$C$5</f>
        <v>2012</v>
      </c>
    </row>
    <row r="42" spans="2:5" ht="15.75">
      <c r="B42" s="122" t="s">
        <v>202</v>
      </c>
      <c r="C42" s="336"/>
      <c r="D42" s="322">
        <f>C68</f>
        <v>0</v>
      </c>
      <c r="E42" s="186">
        <f>D68</f>
        <v>0</v>
      </c>
    </row>
    <row r="43" spans="2:5" ht="15.75">
      <c r="B43" s="133" t="s">
        <v>204</v>
      </c>
      <c r="C43" s="122"/>
      <c r="D43" s="322"/>
      <c r="E43" s="186"/>
    </row>
    <row r="44" spans="2:5" ht="15.75">
      <c r="B44" s="122" t="s">
        <v>83</v>
      </c>
      <c r="C44" s="336"/>
      <c r="D44" s="322">
        <f>inputPrYr!E20</f>
        <v>0</v>
      </c>
      <c r="E44" s="245" t="s">
        <v>71</v>
      </c>
    </row>
    <row r="45" spans="2:5" ht="15.75">
      <c r="B45" s="122" t="s">
        <v>84</v>
      </c>
      <c r="C45" s="336"/>
      <c r="D45" s="218"/>
      <c r="E45" s="38"/>
    </row>
    <row r="46" spans="2:5" ht="15.75">
      <c r="B46" s="122" t="s">
        <v>85</v>
      </c>
      <c r="C46" s="336"/>
      <c r="D46" s="218"/>
      <c r="E46" s="186" t="str">
        <f>mvalloc!C9</f>
        <v>  </v>
      </c>
    </row>
    <row r="47" spans="2:5" ht="15.75">
      <c r="B47" s="122" t="s">
        <v>86</v>
      </c>
      <c r="C47" s="336"/>
      <c r="D47" s="218"/>
      <c r="E47" s="186" t="str">
        <f>mvalloc!D9</f>
        <v> </v>
      </c>
    </row>
    <row r="48" spans="2:5" ht="15.75">
      <c r="B48" s="233" t="s">
        <v>179</v>
      </c>
      <c r="C48" s="336"/>
      <c r="D48" s="218"/>
      <c r="E48" s="186" t="str">
        <f>mvalloc!E9</f>
        <v> </v>
      </c>
    </row>
    <row r="49" spans="2:5" ht="15.75">
      <c r="B49" s="233" t="s">
        <v>233</v>
      </c>
      <c r="C49" s="336"/>
      <c r="D49" s="218"/>
      <c r="E49" s="186">
        <f>mvalloc!F4</f>
        <v>0</v>
      </c>
    </row>
    <row r="50" spans="2:5" ht="15.75">
      <c r="B50" s="224"/>
      <c r="C50" s="336"/>
      <c r="D50" s="218"/>
      <c r="E50" s="38"/>
    </row>
    <row r="51" spans="2:5" ht="15.75">
      <c r="B51" s="224"/>
      <c r="C51" s="336"/>
      <c r="D51" s="218"/>
      <c r="E51" s="38"/>
    </row>
    <row r="52" spans="2:5" ht="15.75">
      <c r="B52" s="251" t="s">
        <v>88</v>
      </c>
      <c r="C52" s="336"/>
      <c r="D52" s="218"/>
      <c r="E52" s="38"/>
    </row>
    <row r="53" spans="2:5" ht="15.75">
      <c r="B53" s="122" t="s">
        <v>23</v>
      </c>
      <c r="C53" s="336"/>
      <c r="D53" s="218"/>
      <c r="E53" s="38"/>
    </row>
    <row r="54" spans="2:5" ht="15.75">
      <c r="B54" s="122" t="s">
        <v>378</v>
      </c>
      <c r="C54" s="324">
        <f>IF(C55*0.1&lt;C53,"Exceed 10% Rule","")</f>
      </c>
      <c r="D54" s="342">
        <f>IF(D55*0.1&lt;D53,"Exceed 10% Rule","")</f>
      </c>
      <c r="E54" s="246">
        <f>IF(E56*0.01+E74&lt;E53,"Exceed 10% Rule","")</f>
      </c>
    </row>
    <row r="55" spans="2:5" ht="15.75">
      <c r="B55" s="226" t="s">
        <v>89</v>
      </c>
      <c r="C55" s="337">
        <f>SUM(C44:C53)</f>
        <v>0</v>
      </c>
      <c r="D55" s="337">
        <f>SUM(D44:D53)</f>
        <v>0</v>
      </c>
      <c r="E55" s="227">
        <f>SUM(E44:E53)</f>
        <v>0</v>
      </c>
    </row>
    <row r="56" spans="2:5" ht="15.75">
      <c r="B56" s="226" t="s">
        <v>90</v>
      </c>
      <c r="C56" s="337">
        <f>C42+C55</f>
        <v>0</v>
      </c>
      <c r="D56" s="337">
        <f>D42+D55</f>
        <v>0</v>
      </c>
      <c r="E56" s="227">
        <f>E42+E55</f>
        <v>0</v>
      </c>
    </row>
    <row r="57" spans="2:5" ht="15.75">
      <c r="B57" s="122" t="s">
        <v>92</v>
      </c>
      <c r="C57" s="122"/>
      <c r="D57" s="322"/>
      <c r="E57" s="186"/>
    </row>
    <row r="58" spans="2:5" ht="15.75">
      <c r="B58" s="224"/>
      <c r="C58" s="336"/>
      <c r="D58" s="218"/>
      <c r="E58" s="38"/>
    </row>
    <row r="59" spans="2:5" ht="15.75">
      <c r="B59" s="224"/>
      <c r="C59" s="336"/>
      <c r="D59" s="218"/>
      <c r="E59" s="38"/>
    </row>
    <row r="60" spans="2:5" ht="15.75">
      <c r="B60" s="224"/>
      <c r="C60" s="336"/>
      <c r="D60" s="218"/>
      <c r="E60" s="38"/>
    </row>
    <row r="61" spans="2:5" ht="15.75">
      <c r="B61" s="224"/>
      <c r="C61" s="336"/>
      <c r="D61" s="218"/>
      <c r="E61" s="38"/>
    </row>
    <row r="62" spans="2:5" ht="15.75">
      <c r="B62" s="224"/>
      <c r="C62" s="336"/>
      <c r="D62" s="218"/>
      <c r="E62" s="38"/>
    </row>
    <row r="63" spans="2:5" ht="15.75">
      <c r="B63" s="224"/>
      <c r="C63" s="336"/>
      <c r="D63" s="218"/>
      <c r="E63" s="38"/>
    </row>
    <row r="64" spans="2:5" ht="15.75">
      <c r="B64" s="233" t="s">
        <v>24</v>
      </c>
      <c r="C64" s="336"/>
      <c r="D64" s="218"/>
      <c r="E64" s="186">
        <f>nhood!E8</f>
      </c>
    </row>
    <row r="65" spans="2:5" ht="15.75">
      <c r="B65" s="233" t="s">
        <v>23</v>
      </c>
      <c r="C65" s="336"/>
      <c r="D65" s="218"/>
      <c r="E65" s="38"/>
    </row>
    <row r="66" spans="2:5" ht="15.75">
      <c r="B66" s="233" t="s">
        <v>41</v>
      </c>
      <c r="C66" s="324">
        <f>IF(C67*0.1&lt;C65,"Exceed 10% Rule","")</f>
      </c>
      <c r="D66" s="342">
        <f>IF(D67*0.1&lt;D65,"Exceed 10% Rule","")</f>
      </c>
      <c r="E66" s="246">
        <f>IF(E67*0.1&lt;E65,"Exceed 10% Rule","")</f>
      </c>
    </row>
    <row r="67" spans="2:5" ht="15.75">
      <c r="B67" s="226" t="s">
        <v>95</v>
      </c>
      <c r="C67" s="337">
        <f>SUM(C58:C65)</f>
        <v>0</v>
      </c>
      <c r="D67" s="337">
        <f>SUM(D58:D65)</f>
        <v>0</v>
      </c>
      <c r="E67" s="227">
        <f>SUM(E58:E65)</f>
        <v>0</v>
      </c>
    </row>
    <row r="68" spans="2:5" ht="15.75">
      <c r="B68" s="122" t="s">
        <v>203</v>
      </c>
      <c r="C68" s="339">
        <f>C56-C67</f>
        <v>0</v>
      </c>
      <c r="D68" s="339">
        <f>D56-D67</f>
        <v>0</v>
      </c>
      <c r="E68" s="245" t="s">
        <v>71</v>
      </c>
    </row>
    <row r="69" spans="2:6" ht="15.75">
      <c r="B69" s="110" t="str">
        <f>CONCATENATE("",E1-2,"/",E1-1," Budget Authority Amount:")</f>
        <v>2010/2011 Budget Authority Amount:</v>
      </c>
      <c r="C69" s="176">
        <f>inputOth!B64</f>
        <v>0</v>
      </c>
      <c r="D69" s="176">
        <f>inputPrYr!D20</f>
        <v>0</v>
      </c>
      <c r="E69" s="245" t="s">
        <v>71</v>
      </c>
      <c r="F69" s="236"/>
    </row>
    <row r="70" spans="2:6" ht="15.75">
      <c r="B70" s="110"/>
      <c r="C70" s="505" t="s">
        <v>38</v>
      </c>
      <c r="D70" s="506"/>
      <c r="E70" s="38"/>
      <c r="F70" s="236">
        <f>IF(E67/0.95-E67&lt;E70,"Exceeds 5%","")</f>
      </c>
    </row>
    <row r="71" spans="2:5" ht="15.75">
      <c r="B71" s="344" t="str">
        <f>CONCATENATE(C86,"     ",D86)</f>
        <v>     </v>
      </c>
      <c r="C71" s="507" t="s">
        <v>39</v>
      </c>
      <c r="D71" s="508"/>
      <c r="E71" s="186">
        <f>E67+E70</f>
        <v>0</v>
      </c>
    </row>
    <row r="72" spans="2:5" ht="15.75">
      <c r="B72" s="344" t="str">
        <f>CONCATENATE(C87,"     ",D87)</f>
        <v>     </v>
      </c>
      <c r="C72" s="237"/>
      <c r="D72" s="139" t="s">
        <v>96</v>
      </c>
      <c r="E72" s="46">
        <f>IF(E71-E56&gt;0,E71-E56,0)</f>
        <v>0</v>
      </c>
    </row>
    <row r="73" spans="2:5" ht="15.75">
      <c r="B73" s="139"/>
      <c r="C73" s="329" t="s">
        <v>40</v>
      </c>
      <c r="D73" s="345">
        <f>inputOth!$E$48</f>
        <v>0</v>
      </c>
      <c r="E73" s="186">
        <f>ROUND(IF($D$73&gt;0,($E$72*$D$73),0),0)</f>
        <v>0</v>
      </c>
    </row>
    <row r="74" spans="2:5" ht="15.75">
      <c r="B74" s="10"/>
      <c r="C74" s="516" t="str">
        <f>CONCATENATE("Amount of  ",E1-1," Ad Valorem Tax")</f>
        <v>Amount of  2011 Ad Valorem Tax</v>
      </c>
      <c r="D74" s="517"/>
      <c r="E74" s="247">
        <f>E72+E73</f>
        <v>0</v>
      </c>
    </row>
    <row r="75" spans="2:5" ht="15.75">
      <c r="B75" s="10"/>
      <c r="C75" s="330"/>
      <c r="D75" s="139"/>
      <c r="E75" s="139"/>
    </row>
    <row r="76" spans="2:5" ht="15.75">
      <c r="B76" s="110" t="s">
        <v>98</v>
      </c>
      <c r="C76" s="459">
        <v>8</v>
      </c>
      <c r="D76" s="68"/>
      <c r="E76" s="10"/>
    </row>
    <row r="77" ht="15.75">
      <c r="B77" s="328"/>
    </row>
    <row r="78" ht="15.75">
      <c r="C78" s="73"/>
    </row>
    <row r="79" ht="15.75">
      <c r="B79" s="73"/>
    </row>
    <row r="83" spans="3:4" ht="15.75" hidden="1">
      <c r="C83" s="11">
        <f>IF(C31&gt;C33,"See Tab A","")</f>
      </c>
      <c r="D83" s="11">
        <f>IF(D31&gt;D33,"See Tab C","")</f>
      </c>
    </row>
    <row r="84" spans="3:4" ht="15.75" hidden="1">
      <c r="C84" s="11">
        <f>IF(C32&lt;0,"See Tab B","")</f>
      </c>
      <c r="D84" s="11">
        <f>IF(D32&lt;0,"See Tab D","")</f>
      </c>
    </row>
    <row r="85" ht="15.75" hidden="1"/>
    <row r="86" spans="3:4" ht="15.75" hidden="1">
      <c r="C86" s="11">
        <f>IF(C67&gt;C69,"See Tab A","")</f>
      </c>
      <c r="D86" s="11">
        <f>IF(D67&gt;D69,"See Tab C","")</f>
      </c>
    </row>
    <row r="87" spans="3:4" ht="15.75" hidden="1">
      <c r="C87" s="11">
        <f>IF(C68&lt;0,"See Tab B","")</f>
      </c>
      <c r="D87" s="11">
        <f>IF(D68&lt;0,"See Tab D","")</f>
      </c>
    </row>
  </sheetData>
  <sheetProtection/>
  <mergeCells count="7">
    <mergeCell ref="G30:I30"/>
    <mergeCell ref="C74:D74"/>
    <mergeCell ref="C70:D70"/>
    <mergeCell ref="C71:D71"/>
    <mergeCell ref="C34:D34"/>
    <mergeCell ref="C35:D35"/>
    <mergeCell ref="C38:D38"/>
  </mergeCells>
  <conditionalFormatting sqref="E65">
    <cfRule type="cellIs" priority="20" dxfId="7" operator="greaterThan" stopIfTrue="1">
      <formula>$E$67*0.1</formula>
    </cfRule>
  </conditionalFormatting>
  <conditionalFormatting sqref="E70">
    <cfRule type="cellIs" priority="19" dxfId="7" operator="greaterThan" stopIfTrue="1">
      <formula>$E$67/0.95-$E$67</formula>
    </cfRule>
  </conditionalFormatting>
  <conditionalFormatting sqref="E29">
    <cfRule type="cellIs" priority="18" dxfId="7" operator="greaterThan" stopIfTrue="1">
      <formula>$E$31*0.1</formula>
    </cfRule>
  </conditionalFormatting>
  <conditionalFormatting sqref="E34">
    <cfRule type="cellIs" priority="17" dxfId="7" operator="greaterThan" stopIfTrue="1">
      <formula>$E$31/0.95-$E$31</formula>
    </cfRule>
  </conditionalFormatting>
  <conditionalFormatting sqref="C67">
    <cfRule type="cellIs" priority="16" dxfId="2" operator="greaterThan" stopIfTrue="1">
      <formula>$C$69</formula>
    </cfRule>
  </conditionalFormatting>
  <conditionalFormatting sqref="C68 C32">
    <cfRule type="cellIs" priority="15" dxfId="2" operator="lessThan" stopIfTrue="1">
      <formula>0</formula>
    </cfRule>
  </conditionalFormatting>
  <conditionalFormatting sqref="D67">
    <cfRule type="cellIs" priority="14" dxfId="2" operator="greaterThan" stopIfTrue="1">
      <formula>$D$69</formula>
    </cfRule>
  </conditionalFormatting>
  <conditionalFormatting sqref="C31">
    <cfRule type="cellIs" priority="13" dxfId="2" operator="greaterThan" stopIfTrue="1">
      <formula>$C$33</formula>
    </cfRule>
  </conditionalFormatting>
  <conditionalFormatting sqref="D31">
    <cfRule type="cellIs" priority="12" dxfId="2" operator="greaterThan" stopIfTrue="1">
      <formula>$D$33</formula>
    </cfRule>
  </conditionalFormatting>
  <conditionalFormatting sqref="C29">
    <cfRule type="cellIs" priority="11" dxfId="2" operator="greaterThan" stopIfTrue="1">
      <formula>$C$31*0.1</formula>
    </cfRule>
  </conditionalFormatting>
  <conditionalFormatting sqref="D29">
    <cfRule type="cellIs" priority="10" dxfId="2" operator="greaterThan" stopIfTrue="1">
      <formula>$D$31*0.1</formula>
    </cfRule>
  </conditionalFormatting>
  <conditionalFormatting sqref="C65">
    <cfRule type="cellIs" priority="9" dxfId="2" operator="greaterThan" stopIfTrue="1">
      <formula>$C$67*0.1</formula>
    </cfRule>
  </conditionalFormatting>
  <conditionalFormatting sqref="D65">
    <cfRule type="cellIs" priority="8" dxfId="2" operator="greaterThan" stopIfTrue="1">
      <formula>$D$67*0.1</formula>
    </cfRule>
  </conditionalFormatting>
  <conditionalFormatting sqref="D18">
    <cfRule type="cellIs" priority="7" dxfId="2" operator="greaterThan" stopIfTrue="1">
      <formula>$D$20*0.1</formula>
    </cfRule>
  </conditionalFormatting>
  <conditionalFormatting sqref="C18">
    <cfRule type="cellIs" priority="6" dxfId="2" operator="greaterThan" stopIfTrue="1">
      <formula>$C$20*0.1</formula>
    </cfRule>
  </conditionalFormatting>
  <conditionalFormatting sqref="E18">
    <cfRule type="cellIs" priority="5" dxfId="7" operator="greaterThan" stopIfTrue="1">
      <formula>$E$20*0.1+E38</formula>
    </cfRule>
  </conditionalFormatting>
  <conditionalFormatting sqref="C53">
    <cfRule type="cellIs" priority="4" dxfId="7" operator="greaterThan" stopIfTrue="1">
      <formula>$C$55*0.1</formula>
    </cfRule>
  </conditionalFormatting>
  <conditionalFormatting sqref="D53">
    <cfRule type="cellIs" priority="3" dxfId="7" operator="greaterThan" stopIfTrue="1">
      <formula>$D$55*0.1</formula>
    </cfRule>
  </conditionalFormatting>
  <conditionalFormatting sqref="E53">
    <cfRule type="cellIs" priority="2" dxfId="7" operator="greaterThan" stopIfTrue="1">
      <formula>$E$55*0.1+E74</formula>
    </cfRule>
  </conditionalFormatting>
  <conditionalFormatting sqref="D68 D32">
    <cfRule type="cellIs" priority="1" dxfId="0" operator="lessThan" stopIfTrue="1">
      <formula>0</formula>
    </cfRule>
  </conditionalFormatting>
  <printOptions/>
  <pageMargins left="0.75" right="0.75" top="1" bottom="1" header="0.5" footer="0.5"/>
  <pageSetup blackAndWhite="1" horizontalDpi="600" verticalDpi="600" orientation="portrait" scale="50"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8984375" defaultRowHeight="15"/>
  <cols>
    <col min="1" max="1" width="2.3984375" style="11" customWidth="1"/>
    <col min="2" max="2" width="31.09765625" style="11" customWidth="1"/>
    <col min="3" max="4" width="15.796875" style="11" customWidth="1"/>
    <col min="5" max="5" width="16.19921875" style="11" customWidth="1"/>
    <col min="6" max="16384" width="8.8984375" style="11" customWidth="1"/>
  </cols>
  <sheetData>
    <row r="1" spans="2:5" ht="15.75">
      <c r="B1" s="144" t="str">
        <f>(inputPrYr!D2)</f>
        <v>City of LaHarpe</v>
      </c>
      <c r="C1" s="10"/>
      <c r="D1" s="10"/>
      <c r="E1" s="205">
        <f>inputPrYr!C5</f>
        <v>2012</v>
      </c>
    </row>
    <row r="2" spans="2:5" ht="15.75">
      <c r="B2" s="10"/>
      <c r="C2" s="10"/>
      <c r="D2" s="10"/>
      <c r="E2" s="139"/>
    </row>
    <row r="3" spans="2:5" ht="15.75">
      <c r="B3" s="29" t="s">
        <v>148</v>
      </c>
      <c r="C3" s="248"/>
      <c r="D3" s="248"/>
      <c r="E3" s="248"/>
    </row>
    <row r="4" spans="2:5" ht="15.75">
      <c r="B4" s="17" t="s">
        <v>82</v>
      </c>
      <c r="C4" s="434" t="s">
        <v>101</v>
      </c>
      <c r="D4" s="433" t="s">
        <v>226</v>
      </c>
      <c r="E4" s="433" t="s">
        <v>227</v>
      </c>
    </row>
    <row r="5" spans="2:5" ht="15.75">
      <c r="B5" s="341" t="str">
        <f>(inputPrYr!B34)</f>
        <v>Special Highway</v>
      </c>
      <c r="C5" s="216">
        <f>E1-2</f>
        <v>2010</v>
      </c>
      <c r="D5" s="216">
        <f>E1-1</f>
        <v>2011</v>
      </c>
      <c r="E5" s="216">
        <f>E1</f>
        <v>2012</v>
      </c>
    </row>
    <row r="6" spans="2:5" ht="15.75">
      <c r="B6" s="217" t="s">
        <v>202</v>
      </c>
      <c r="C6" s="38">
        <v>38825</v>
      </c>
      <c r="D6" s="186">
        <f>C29</f>
        <v>49251</v>
      </c>
      <c r="E6" s="186">
        <f>D29</f>
        <v>66396</v>
      </c>
    </row>
    <row r="7" spans="2:5" ht="15.75">
      <c r="B7" s="220" t="s">
        <v>204</v>
      </c>
      <c r="C7" s="58"/>
      <c r="D7" s="58"/>
      <c r="E7" s="58"/>
    </row>
    <row r="8" spans="2:5" ht="15.75">
      <c r="B8" s="233" t="s">
        <v>182</v>
      </c>
      <c r="C8" s="38">
        <v>17660</v>
      </c>
      <c r="D8" s="186">
        <f>inputOth!E54</f>
        <v>17580</v>
      </c>
      <c r="E8" s="186">
        <f>inputOth!E52</f>
        <v>17670</v>
      </c>
    </row>
    <row r="9" spans="2:5" ht="15.75">
      <c r="B9" s="233" t="s">
        <v>14</v>
      </c>
      <c r="C9" s="38"/>
      <c r="D9" s="186">
        <f>inputOth!E55</f>
        <v>0</v>
      </c>
      <c r="E9" s="186">
        <f>inputOth!E53</f>
        <v>0</v>
      </c>
    </row>
    <row r="10" spans="2:5" ht="15.75">
      <c r="B10" s="232" t="s">
        <v>303</v>
      </c>
      <c r="C10" s="38">
        <v>422</v>
      </c>
      <c r="D10" s="38">
        <v>60</v>
      </c>
      <c r="E10" s="38">
        <v>0</v>
      </c>
    </row>
    <row r="11" spans="2:5" ht="15.75">
      <c r="B11" s="232"/>
      <c r="C11" s="38"/>
      <c r="D11" s="38"/>
      <c r="E11" s="38"/>
    </row>
    <row r="12" spans="2:5" ht="15.75">
      <c r="B12" s="224" t="s">
        <v>88</v>
      </c>
      <c r="C12" s="38"/>
      <c r="D12" s="38"/>
      <c r="E12" s="38"/>
    </row>
    <row r="13" spans="2:5" ht="15.75">
      <c r="B13" s="130" t="s">
        <v>23</v>
      </c>
      <c r="C13" s="38"/>
      <c r="D13" s="38"/>
      <c r="E13" s="38"/>
    </row>
    <row r="14" spans="2:5" ht="15.75">
      <c r="B14" s="217" t="s">
        <v>378</v>
      </c>
      <c r="C14" s="342">
        <f>IF(C15*0.1&lt;C13,"Exceed 10% Rule","")</f>
      </c>
      <c r="D14" s="246">
        <f>IF(D15*0.1&lt;D13,"Exceed 10% Rule","")</f>
      </c>
      <c r="E14" s="246">
        <f>IF(E15*0.1&lt;E13,"Exceed 10% Rule","")</f>
      </c>
    </row>
    <row r="15" spans="2:5" ht="15.75">
      <c r="B15" s="226" t="s">
        <v>89</v>
      </c>
      <c r="C15" s="249">
        <f>SUM(C8:C13)</f>
        <v>18082</v>
      </c>
      <c r="D15" s="249">
        <f>SUM(D8:D13)</f>
        <v>17640</v>
      </c>
      <c r="E15" s="249">
        <f>SUM(E8:E13)</f>
        <v>17670</v>
      </c>
    </row>
    <row r="16" spans="2:5" ht="15.75">
      <c r="B16" s="226" t="s">
        <v>90</v>
      </c>
      <c r="C16" s="249">
        <f>C6+C15</f>
        <v>56907</v>
      </c>
      <c r="D16" s="249">
        <f>D6+D15</f>
        <v>66891</v>
      </c>
      <c r="E16" s="249">
        <f>E6+E15</f>
        <v>84066</v>
      </c>
    </row>
    <row r="17" spans="2:5" ht="15.75">
      <c r="B17" s="122" t="s">
        <v>92</v>
      </c>
      <c r="C17" s="186"/>
      <c r="D17" s="186"/>
      <c r="E17" s="186"/>
    </row>
    <row r="18" spans="2:5" ht="15.75">
      <c r="B18" s="458" t="s">
        <v>326</v>
      </c>
      <c r="C18" s="38"/>
      <c r="D18" s="38"/>
      <c r="E18" s="38"/>
    </row>
    <row r="19" spans="2:5" ht="15.75">
      <c r="B19" s="458" t="s">
        <v>309</v>
      </c>
      <c r="C19" s="38">
        <v>433</v>
      </c>
      <c r="D19" s="38">
        <v>0</v>
      </c>
      <c r="E19" s="38">
        <v>15000</v>
      </c>
    </row>
    <row r="20" spans="2:5" ht="15.75">
      <c r="B20" s="232" t="s">
        <v>93</v>
      </c>
      <c r="C20" s="38">
        <v>5446</v>
      </c>
      <c r="D20" s="38">
        <v>495</v>
      </c>
      <c r="E20" s="38">
        <f>69066</f>
        <v>69066</v>
      </c>
    </row>
    <row r="21" spans="2:5" ht="15.75">
      <c r="B21" s="232" t="s">
        <v>94</v>
      </c>
      <c r="C21" s="38">
        <v>1777</v>
      </c>
      <c r="D21" s="38">
        <v>0</v>
      </c>
      <c r="E21" s="38">
        <v>0</v>
      </c>
    </row>
    <row r="22" spans="2:5" ht="15.75">
      <c r="B22" s="232"/>
      <c r="C22" s="38"/>
      <c r="D22" s="38"/>
      <c r="E22" s="38"/>
    </row>
    <row r="23" spans="2:5" ht="15.75">
      <c r="B23" s="232"/>
      <c r="C23" s="38"/>
      <c r="D23" s="38"/>
      <c r="E23" s="38"/>
    </row>
    <row r="24" spans="2:5" ht="15.75">
      <c r="B24" s="232"/>
      <c r="C24" s="38"/>
      <c r="D24" s="38"/>
      <c r="E24" s="38"/>
    </row>
    <row r="25" spans="2:5" ht="15.75">
      <c r="B25" s="232"/>
      <c r="C25" s="38"/>
      <c r="D25" s="38"/>
      <c r="E25" s="38"/>
    </row>
    <row r="26" spans="2:5" ht="15.75">
      <c r="B26" s="233" t="s">
        <v>23</v>
      </c>
      <c r="C26" s="38"/>
      <c r="D26" s="38"/>
      <c r="E26" s="38"/>
    </row>
    <row r="27" spans="2:5" ht="15.75">
      <c r="B27" s="233" t="s">
        <v>379</v>
      </c>
      <c r="C27" s="342">
        <f>IF(C28*0.1&lt;C26,"Exceed 10% Rule","")</f>
      </c>
      <c r="D27" s="246">
        <f>IF(D28*0.1&lt;D26,"Exceed 10% Rule","")</f>
      </c>
      <c r="E27" s="246">
        <f>IF(E28*0.1&lt;E26,"Exceed 10% Rule","")</f>
      </c>
    </row>
    <row r="28" spans="2:5" ht="15.75">
      <c r="B28" s="226" t="s">
        <v>95</v>
      </c>
      <c r="C28" s="249">
        <f>SUM(C18:C26)</f>
        <v>7656</v>
      </c>
      <c r="D28" s="249">
        <f>SUM(D18:D26)</f>
        <v>495</v>
      </c>
      <c r="E28" s="249">
        <f>SUM(E18:E26)</f>
        <v>84066</v>
      </c>
    </row>
    <row r="29" spans="2:5" ht="15.75">
      <c r="B29" s="122" t="s">
        <v>203</v>
      </c>
      <c r="C29" s="186">
        <f>C16-C28</f>
        <v>49251</v>
      </c>
      <c r="D29" s="186">
        <f>D16-D28</f>
        <v>66396</v>
      </c>
      <c r="E29" s="186">
        <f>E16-E28</f>
        <v>0</v>
      </c>
    </row>
    <row r="30" spans="2:5" ht="15.75">
      <c r="B30" s="110" t="str">
        <f>CONCATENATE("",$E$1-2,"/",$E$1-1," Budget Authority Amount:")</f>
        <v>2010/2011 Budget Authority Amount:</v>
      </c>
      <c r="C30" s="176">
        <f>inputOth!B75</f>
        <v>37067</v>
      </c>
      <c r="D30" s="176">
        <f>inputPrYr!D34</f>
        <v>53092</v>
      </c>
      <c r="E30" s="385">
        <f>IF(E29&lt;0,"See Tab E","")</f>
      </c>
    </row>
    <row r="31" spans="2:5" ht="15.75">
      <c r="B31" s="110"/>
      <c r="C31" s="237">
        <f>IF(C28&gt;C30,"See Tab A","")</f>
      </c>
      <c r="D31" s="237">
        <f>IF(D28&gt;D30,"See Tab C","")</f>
      </c>
      <c r="E31" s="39"/>
    </row>
    <row r="32" spans="2:5" ht="15.75">
      <c r="B32" s="110"/>
      <c r="C32" s="237">
        <f>IF(C29&lt;0,"See Tab B","")</f>
      </c>
      <c r="D32" s="237">
        <f>IF(D29&lt;0,"See Tab D","")</f>
      </c>
      <c r="E32" s="39"/>
    </row>
    <row r="33" spans="2:5" ht="15.75">
      <c r="B33" s="10"/>
      <c r="C33" s="39"/>
      <c r="D33" s="39"/>
      <c r="E33" s="39"/>
    </row>
    <row r="34" spans="2:5" ht="15.75">
      <c r="B34" s="17" t="s">
        <v>82</v>
      </c>
      <c r="C34" s="250"/>
      <c r="D34" s="250"/>
      <c r="E34" s="250"/>
    </row>
    <row r="35" spans="2:5" ht="15.75">
      <c r="B35" s="10"/>
      <c r="C35" s="434" t="str">
        <f aca="true" t="shared" si="0" ref="C35:E36">C4</f>
        <v>Prior Year Actual</v>
      </c>
      <c r="D35" s="433" t="str">
        <f t="shared" si="0"/>
        <v>Current Year Estimate</v>
      </c>
      <c r="E35" s="433" t="str">
        <f t="shared" si="0"/>
        <v>Proposed Budget Year</v>
      </c>
    </row>
    <row r="36" spans="2:5" ht="15.75">
      <c r="B36" s="340" t="str">
        <f>(inputPrYr!B35)</f>
        <v>Water Utility</v>
      </c>
      <c r="C36" s="216">
        <f t="shared" si="0"/>
        <v>2010</v>
      </c>
      <c r="D36" s="216">
        <f t="shared" si="0"/>
        <v>2011</v>
      </c>
      <c r="E36" s="216">
        <f t="shared" si="0"/>
        <v>2012</v>
      </c>
    </row>
    <row r="37" spans="2:5" ht="15.75">
      <c r="B37" s="217" t="s">
        <v>202</v>
      </c>
      <c r="C37" s="38">
        <v>10729</v>
      </c>
      <c r="D37" s="186">
        <f>C60</f>
        <v>97</v>
      </c>
      <c r="E37" s="186">
        <f>D60</f>
        <v>3630</v>
      </c>
    </row>
    <row r="38" spans="2:5" ht="15.75">
      <c r="B38" s="217" t="s">
        <v>204</v>
      </c>
      <c r="C38" s="58"/>
      <c r="D38" s="58"/>
      <c r="E38" s="58"/>
    </row>
    <row r="39" spans="2:5" ht="15.75">
      <c r="B39" s="458" t="s">
        <v>327</v>
      </c>
      <c r="C39" s="38">
        <v>88040</v>
      </c>
      <c r="D39" s="38">
        <v>99119</v>
      </c>
      <c r="E39" s="38">
        <v>116769</v>
      </c>
    </row>
    <row r="40" spans="2:5" ht="15.75">
      <c r="B40" s="458" t="s">
        <v>328</v>
      </c>
      <c r="C40" s="38">
        <v>900</v>
      </c>
      <c r="D40" s="38">
        <v>800</v>
      </c>
      <c r="E40" s="38">
        <v>1000</v>
      </c>
    </row>
    <row r="41" spans="2:5" ht="15.75">
      <c r="B41" s="458" t="s">
        <v>329</v>
      </c>
      <c r="C41" s="38">
        <v>1050</v>
      </c>
      <c r="D41" s="38">
        <v>839</v>
      </c>
      <c r="E41" s="38">
        <v>1000</v>
      </c>
    </row>
    <row r="42" spans="2:5" ht="15.75">
      <c r="B42" s="232" t="s">
        <v>340</v>
      </c>
      <c r="C42" s="38">
        <v>0</v>
      </c>
      <c r="D42" s="38">
        <v>99</v>
      </c>
      <c r="E42" s="38">
        <v>99</v>
      </c>
    </row>
    <row r="43" spans="2:5" ht="15.75">
      <c r="B43" s="224" t="s">
        <v>88</v>
      </c>
      <c r="C43" s="38"/>
      <c r="D43" s="38"/>
      <c r="E43" s="38"/>
    </row>
    <row r="44" spans="2:5" ht="15.75">
      <c r="B44" s="130" t="s">
        <v>23</v>
      </c>
      <c r="C44" s="38">
        <v>60</v>
      </c>
      <c r="D44" s="38">
        <v>660</v>
      </c>
      <c r="E44" s="38">
        <v>660</v>
      </c>
    </row>
    <row r="45" spans="2:5" ht="15.75">
      <c r="B45" s="217" t="s">
        <v>378</v>
      </c>
      <c r="C45" s="342">
        <f>IF(C46*0.1&lt;C44,"Exceed 10% Rule","")</f>
      </c>
      <c r="D45" s="246">
        <f>IF(D46*0.1&lt;D44,"Exceed 10% Rule","")</f>
      </c>
      <c r="E45" s="246">
        <f>IF(E46*0.1&lt;E44,"Exceed 10% Rule","")</f>
      </c>
    </row>
    <row r="46" spans="2:5" ht="15.75">
      <c r="B46" s="226" t="s">
        <v>89</v>
      </c>
      <c r="C46" s="249">
        <f>SUM(C39:C44)</f>
        <v>90050</v>
      </c>
      <c r="D46" s="249">
        <f>SUM(D39:D44)</f>
        <v>101517</v>
      </c>
      <c r="E46" s="249">
        <f>SUM(E39:E44)</f>
        <v>119528</v>
      </c>
    </row>
    <row r="47" spans="2:5" ht="15.75">
      <c r="B47" s="226" t="s">
        <v>90</v>
      </c>
      <c r="C47" s="249">
        <f>C37+C46</f>
        <v>100779</v>
      </c>
      <c r="D47" s="249">
        <f>D37+D46</f>
        <v>101614</v>
      </c>
      <c r="E47" s="249">
        <f>E37+E46</f>
        <v>123158</v>
      </c>
    </row>
    <row r="48" spans="2:5" ht="15.75">
      <c r="B48" s="122" t="s">
        <v>92</v>
      </c>
      <c r="C48" s="186"/>
      <c r="D48" s="186"/>
      <c r="E48" s="186"/>
    </row>
    <row r="49" spans="2:5" ht="15.75">
      <c r="B49" s="458" t="s">
        <v>330</v>
      </c>
      <c r="C49" s="38"/>
      <c r="D49" s="38"/>
      <c r="E49" s="38"/>
    </row>
    <row r="50" spans="2:5" ht="15.75">
      <c r="B50" s="458" t="s">
        <v>93</v>
      </c>
      <c r="C50" s="38">
        <v>2775</v>
      </c>
      <c r="D50" s="38">
        <v>1578</v>
      </c>
      <c r="E50" s="38">
        <v>3000</v>
      </c>
    </row>
    <row r="51" spans="2:5" ht="15.75">
      <c r="B51" s="458" t="s">
        <v>331</v>
      </c>
      <c r="C51" s="38">
        <v>50585</v>
      </c>
      <c r="D51" s="38">
        <v>50012</v>
      </c>
      <c r="E51" s="38">
        <v>65000</v>
      </c>
    </row>
    <row r="52" spans="2:5" ht="15.75">
      <c r="B52" s="458" t="s">
        <v>94</v>
      </c>
      <c r="C52" s="38"/>
      <c r="D52" s="38">
        <v>1748</v>
      </c>
      <c r="E52" s="38">
        <f>648+6448</f>
        <v>7096</v>
      </c>
    </row>
    <row r="53" spans="2:5" ht="15.75">
      <c r="B53" s="458" t="s">
        <v>332</v>
      </c>
      <c r="C53" s="38"/>
      <c r="D53" s="38"/>
      <c r="E53" s="38"/>
    </row>
    <row r="54" spans="2:5" ht="15.75">
      <c r="B54" s="458" t="s">
        <v>306</v>
      </c>
      <c r="C54" s="38">
        <v>30352</v>
      </c>
      <c r="D54" s="38">
        <v>29106</v>
      </c>
      <c r="E54" s="38">
        <v>30562</v>
      </c>
    </row>
    <row r="55" spans="2:5" ht="15.75">
      <c r="B55" s="458" t="s">
        <v>333</v>
      </c>
      <c r="C55" s="38">
        <v>1651</v>
      </c>
      <c r="D55" s="38">
        <v>6508</v>
      </c>
      <c r="E55" s="38">
        <v>8000</v>
      </c>
    </row>
    <row r="56" spans="2:5" ht="15.75">
      <c r="B56" s="458" t="s">
        <v>93</v>
      </c>
      <c r="C56" s="38">
        <v>15319</v>
      </c>
      <c r="D56" s="38">
        <v>9032</v>
      </c>
      <c r="E56" s="38">
        <v>9500</v>
      </c>
    </row>
    <row r="57" spans="2:5" ht="15.75">
      <c r="B57" s="233" t="s">
        <v>23</v>
      </c>
      <c r="C57" s="38"/>
      <c r="D57" s="38"/>
      <c r="E57" s="38"/>
    </row>
    <row r="58" spans="2:5" ht="15.75">
      <c r="B58" s="233" t="s">
        <v>379</v>
      </c>
      <c r="C58" s="342">
        <f>IF(C59*0.1&lt;C57,"Exceed 10% Rule","")</f>
      </c>
      <c r="D58" s="246">
        <f>IF(D59*0.1&lt;D57,"Exceed 10% Rule","")</f>
      </c>
      <c r="E58" s="246">
        <f>IF(E59*0.1&lt;E57,"Exceed 10% Rule","")</f>
      </c>
    </row>
    <row r="59" spans="2:5" ht="15.75">
      <c r="B59" s="226" t="s">
        <v>95</v>
      </c>
      <c r="C59" s="249">
        <f>SUM(C49:C57)</f>
        <v>100682</v>
      </c>
      <c r="D59" s="249">
        <f>SUM(D49:D57)</f>
        <v>97984</v>
      </c>
      <c r="E59" s="249">
        <f>SUM(E49:E57)</f>
        <v>123158</v>
      </c>
    </row>
    <row r="60" spans="2:5" ht="15.75">
      <c r="B60" s="122" t="s">
        <v>203</v>
      </c>
      <c r="C60" s="186">
        <f>C47-C59</f>
        <v>97</v>
      </c>
      <c r="D60" s="186">
        <f>D47-D59</f>
        <v>3630</v>
      </c>
      <c r="E60" s="186">
        <f>E47-E59</f>
        <v>0</v>
      </c>
    </row>
    <row r="61" spans="2:5" ht="15.75">
      <c r="B61" s="110" t="str">
        <f>CONCATENATE("",$E$1-2,"/",$E$1-1," Budget Authority Amount:")</f>
        <v>2010/2011 Budget Authority Amount:</v>
      </c>
      <c r="C61" s="176">
        <f>inputOth!B76</f>
        <v>109255</v>
      </c>
      <c r="D61" s="176">
        <f>inputPrYr!D35</f>
        <v>111988</v>
      </c>
      <c r="E61" s="385">
        <f>IF(E60&lt;0,"See Tab E","")</f>
      </c>
    </row>
    <row r="62" spans="2:5" ht="15.75">
      <c r="B62" s="110"/>
      <c r="C62" s="237">
        <f>IF(C59&gt;C61,"See Tab A","")</f>
      </c>
      <c r="D62" s="237">
        <f>IF(D59&gt;D61,"See Tab C","")</f>
      </c>
      <c r="E62" s="10"/>
    </row>
    <row r="63" spans="2:5" ht="15.75">
      <c r="B63" s="110"/>
      <c r="C63" s="237">
        <f>IF(C60&lt;0,"See Tab B","")</f>
      </c>
      <c r="D63" s="237">
        <f>IF(D60&lt;0,"See Tab D","")</f>
      </c>
      <c r="E63" s="10"/>
    </row>
    <row r="64" spans="2:5" ht="15.75">
      <c r="B64" s="10"/>
      <c r="C64" s="10"/>
      <c r="D64" s="10"/>
      <c r="E64" s="10"/>
    </row>
    <row r="65" spans="2:5" ht="15.75">
      <c r="B65" s="110" t="s">
        <v>98</v>
      </c>
      <c r="C65" s="464">
        <v>9</v>
      </c>
      <c r="D65" s="10"/>
      <c r="E65" s="10"/>
    </row>
  </sheetData>
  <sheetProtection/>
  <conditionalFormatting sqref="C44">
    <cfRule type="cellIs" priority="3" dxfId="7" operator="greaterThan" stopIfTrue="1">
      <formula>$C$46*0.1</formula>
    </cfRule>
  </conditionalFormatting>
  <conditionalFormatting sqref="D44">
    <cfRule type="cellIs" priority="4" dxfId="7" operator="greaterThan" stopIfTrue="1">
      <formula>$D$46*0.1</formula>
    </cfRule>
  </conditionalFormatting>
  <conditionalFormatting sqref="E44">
    <cfRule type="cellIs" priority="5" dxfId="7" operator="greaterThan" stopIfTrue="1">
      <formula>$E$46*0.1</formula>
    </cfRule>
  </conditionalFormatting>
  <conditionalFormatting sqref="C57">
    <cfRule type="cellIs" priority="6" dxfId="7" operator="greaterThan" stopIfTrue="1">
      <formula>$C$59*0.1</formula>
    </cfRule>
  </conditionalFormatting>
  <conditionalFormatting sqref="D57">
    <cfRule type="cellIs" priority="7" dxfId="7" operator="greaterThan" stopIfTrue="1">
      <formula>$D$59*0.1</formula>
    </cfRule>
  </conditionalFormatting>
  <conditionalFormatting sqref="E57">
    <cfRule type="cellIs" priority="8" dxfId="7" operator="greaterThan" stopIfTrue="1">
      <formula>$E$59*0.1</formula>
    </cfRule>
  </conditionalFormatting>
  <conditionalFormatting sqref="C13">
    <cfRule type="cellIs" priority="9" dxfId="7" operator="greaterThan" stopIfTrue="1">
      <formula>$C$15*0.1</formula>
    </cfRule>
  </conditionalFormatting>
  <conditionalFormatting sqref="D13">
    <cfRule type="cellIs" priority="10" dxfId="7" operator="greaterThan" stopIfTrue="1">
      <formula>$D$15*0.1</formula>
    </cfRule>
  </conditionalFormatting>
  <conditionalFormatting sqref="E13">
    <cfRule type="cellIs" priority="11" dxfId="7" operator="greaterThan" stopIfTrue="1">
      <formula>$E$15*0.1</formula>
    </cfRule>
  </conditionalFormatting>
  <conditionalFormatting sqref="C26">
    <cfRule type="cellIs" priority="12" dxfId="7" operator="greaterThan" stopIfTrue="1">
      <formula>$C$28*0.1</formula>
    </cfRule>
  </conditionalFormatting>
  <conditionalFormatting sqref="D26">
    <cfRule type="cellIs" priority="13" dxfId="7" operator="greaterThan" stopIfTrue="1">
      <formula>$D$28*0.1</formula>
    </cfRule>
  </conditionalFormatting>
  <conditionalFormatting sqref="E26">
    <cfRule type="cellIs" priority="14" dxfId="7" operator="greaterThan" stopIfTrue="1">
      <formula>$E$28*0.1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4"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47">
      <selection activeCell="E58" sqref="E58"/>
    </sheetView>
  </sheetViews>
  <sheetFormatPr defaultColWidth="8.8984375" defaultRowHeight="15"/>
  <cols>
    <col min="1" max="1" width="2.3984375" style="11" customWidth="1"/>
    <col min="2" max="2" width="31.09765625" style="11" customWidth="1"/>
    <col min="3" max="4" width="15.796875" style="11" customWidth="1"/>
    <col min="5" max="5" width="16.19921875" style="11" customWidth="1"/>
    <col min="6" max="16384" width="8.8984375" style="11" customWidth="1"/>
  </cols>
  <sheetData>
    <row r="1" spans="2:5" ht="15.75">
      <c r="B1" s="144" t="str">
        <f>(inputPrYr!D2)</f>
        <v>City of LaHarpe</v>
      </c>
      <c r="C1" s="10"/>
      <c r="D1" s="10"/>
      <c r="E1" s="205">
        <f>inputPrYr!C5</f>
        <v>2012</v>
      </c>
    </row>
    <row r="2" spans="2:5" ht="15.75">
      <c r="B2" s="10"/>
      <c r="C2" s="10"/>
      <c r="D2" s="10"/>
      <c r="E2" s="139"/>
    </row>
    <row r="3" spans="2:5" ht="15.75">
      <c r="B3" s="29" t="s">
        <v>148</v>
      </c>
      <c r="C3" s="248"/>
      <c r="D3" s="248"/>
      <c r="E3" s="248"/>
    </row>
    <row r="4" spans="2:5" ht="15.75">
      <c r="B4" s="17" t="s">
        <v>82</v>
      </c>
      <c r="C4" s="434" t="s">
        <v>101</v>
      </c>
      <c r="D4" s="433" t="s">
        <v>226</v>
      </c>
      <c r="E4" s="433" t="s">
        <v>227</v>
      </c>
    </row>
    <row r="5" spans="2:5" ht="15.75">
      <c r="B5" s="341" t="str">
        <f>(inputPrYr!B36)</f>
        <v>Electric Utility</v>
      </c>
      <c r="C5" s="216">
        <f>E1-2</f>
        <v>2010</v>
      </c>
      <c r="D5" s="216">
        <f>E1-1</f>
        <v>2011</v>
      </c>
      <c r="E5" s="216">
        <f>E1</f>
        <v>2012</v>
      </c>
    </row>
    <row r="6" spans="2:5" ht="15.75">
      <c r="B6" s="217" t="s">
        <v>202</v>
      </c>
      <c r="C6" s="38">
        <v>25326</v>
      </c>
      <c r="D6" s="186">
        <f>C31</f>
        <v>29049</v>
      </c>
      <c r="E6" s="186">
        <f>D31</f>
        <v>56943</v>
      </c>
    </row>
    <row r="7" spans="2:5" ht="15.75">
      <c r="B7" s="220" t="s">
        <v>204</v>
      </c>
      <c r="C7" s="58"/>
      <c r="D7" s="58"/>
      <c r="E7" s="58"/>
    </row>
    <row r="8" spans="2:5" ht="15.75">
      <c r="B8" s="458" t="s">
        <v>334</v>
      </c>
      <c r="C8" s="38">
        <v>288429</v>
      </c>
      <c r="D8" s="38">
        <v>329107</v>
      </c>
      <c r="E8" s="38">
        <v>459107</v>
      </c>
    </row>
    <row r="9" spans="2:5" ht="15.75">
      <c r="B9" s="458" t="s">
        <v>338</v>
      </c>
      <c r="C9" s="38">
        <v>17591</v>
      </c>
      <c r="D9" s="38">
        <v>17184</v>
      </c>
      <c r="E9" s="38">
        <v>20000</v>
      </c>
    </row>
    <row r="10" spans="2:5" ht="15.75">
      <c r="B10" s="458" t="s">
        <v>339</v>
      </c>
      <c r="C10" s="38">
        <v>2665</v>
      </c>
      <c r="D10" s="38">
        <v>1950</v>
      </c>
      <c r="E10" s="38">
        <v>3000</v>
      </c>
    </row>
    <row r="11" spans="2:5" ht="15.75">
      <c r="B11" s="458" t="s">
        <v>340</v>
      </c>
      <c r="C11" s="38">
        <v>1027</v>
      </c>
      <c r="D11" s="38">
        <v>379</v>
      </c>
      <c r="E11" s="38">
        <v>0</v>
      </c>
    </row>
    <row r="12" spans="2:5" ht="15.75">
      <c r="B12" s="224" t="s">
        <v>88</v>
      </c>
      <c r="C12" s="38"/>
      <c r="D12" s="38"/>
      <c r="E12" s="38"/>
    </row>
    <row r="13" spans="2:5" ht="15.75">
      <c r="B13" s="130" t="s">
        <v>23</v>
      </c>
      <c r="C13" s="38">
        <v>2329</v>
      </c>
      <c r="D13" s="219">
        <v>6534</v>
      </c>
      <c r="E13" s="219">
        <v>1000</v>
      </c>
    </row>
    <row r="14" spans="2:5" ht="15.75">
      <c r="B14" s="217" t="s">
        <v>378</v>
      </c>
      <c r="C14" s="342">
        <f>IF(C15*0.1&lt;C13,"Exceed 10% Rule","")</f>
      </c>
      <c r="D14" s="246">
        <f>IF(D15*0.1&lt;D13,"Exceed 10% Rule","")</f>
      </c>
      <c r="E14" s="246">
        <f>IF(E15*0.1&lt;E13,"Exceed 10% Rule","")</f>
      </c>
    </row>
    <row r="15" spans="2:5" ht="15.75">
      <c r="B15" s="226" t="s">
        <v>89</v>
      </c>
      <c r="C15" s="249">
        <f>SUM(C8:C13)</f>
        <v>312041</v>
      </c>
      <c r="D15" s="249">
        <f>SUM(D8:D13)</f>
        <v>355154</v>
      </c>
      <c r="E15" s="249">
        <f>SUM(E8:E13)</f>
        <v>483107</v>
      </c>
    </row>
    <row r="16" spans="2:5" ht="15.75">
      <c r="B16" s="226" t="s">
        <v>90</v>
      </c>
      <c r="C16" s="249">
        <f>C6+C15</f>
        <v>337367</v>
      </c>
      <c r="D16" s="249">
        <f>D6+D15</f>
        <v>384203</v>
      </c>
      <c r="E16" s="249">
        <f>E6+E15</f>
        <v>540050</v>
      </c>
    </row>
    <row r="17" spans="2:5" ht="15.75">
      <c r="B17" s="122" t="s">
        <v>92</v>
      </c>
      <c r="C17" s="186"/>
      <c r="D17" s="186"/>
      <c r="E17" s="186"/>
    </row>
    <row r="18" spans="2:5" ht="15.75">
      <c r="B18" s="458" t="s">
        <v>346</v>
      </c>
      <c r="C18" s="38"/>
      <c r="D18" s="38"/>
      <c r="E18" s="38"/>
    </row>
    <row r="19" spans="2:5" ht="15.75">
      <c r="B19" s="458" t="s">
        <v>93</v>
      </c>
      <c r="C19" s="38">
        <v>15</v>
      </c>
      <c r="D19" s="38">
        <v>3896</v>
      </c>
      <c r="E19" s="38">
        <v>5000</v>
      </c>
    </row>
    <row r="20" spans="2:5" ht="15.75">
      <c r="B20" s="458" t="s">
        <v>309</v>
      </c>
      <c r="C20" s="38">
        <v>248319</v>
      </c>
      <c r="D20" s="38">
        <v>273425</v>
      </c>
      <c r="E20" s="38">
        <v>403425</v>
      </c>
    </row>
    <row r="21" spans="2:5" ht="15.75">
      <c r="B21" s="458" t="s">
        <v>345</v>
      </c>
      <c r="C21" s="38"/>
      <c r="D21" s="38"/>
      <c r="E21" s="38"/>
    </row>
    <row r="22" spans="2:5" ht="15.75">
      <c r="B22" s="458" t="s">
        <v>306</v>
      </c>
      <c r="C22" s="38">
        <v>36133</v>
      </c>
      <c r="D22" s="38">
        <v>30163</v>
      </c>
      <c r="E22" s="38">
        <v>31672</v>
      </c>
    </row>
    <row r="23" spans="2:5" ht="15.75">
      <c r="B23" s="458" t="s">
        <v>309</v>
      </c>
      <c r="C23" s="38">
        <v>10456</v>
      </c>
      <c r="D23" s="38">
        <v>3486</v>
      </c>
      <c r="E23" s="38">
        <v>5000</v>
      </c>
    </row>
    <row r="24" spans="2:5" ht="15.75">
      <c r="B24" s="458" t="s">
        <v>93</v>
      </c>
      <c r="C24" s="38">
        <v>10395</v>
      </c>
      <c r="D24" s="38">
        <v>13290</v>
      </c>
      <c r="E24" s="38">
        <v>20000</v>
      </c>
    </row>
    <row r="25" spans="2:5" ht="15.75">
      <c r="B25" s="458" t="s">
        <v>94</v>
      </c>
      <c r="C25" s="38"/>
      <c r="D25" s="38"/>
      <c r="E25" s="38">
        <v>71953</v>
      </c>
    </row>
    <row r="26" spans="2:5" ht="15.75">
      <c r="B26" s="232" t="s">
        <v>343</v>
      </c>
      <c r="C26" s="38"/>
      <c r="D26" s="38"/>
      <c r="E26" s="38"/>
    </row>
    <row r="27" spans="2:5" ht="15.75">
      <c r="B27" s="232" t="s">
        <v>344</v>
      </c>
      <c r="C27" s="38">
        <v>3000</v>
      </c>
      <c r="D27" s="38">
        <v>3000</v>
      </c>
      <c r="E27" s="38">
        <v>3000</v>
      </c>
    </row>
    <row r="28" spans="2:5" ht="15.75">
      <c r="B28" s="233" t="s">
        <v>23</v>
      </c>
      <c r="C28" s="38"/>
      <c r="D28" s="219"/>
      <c r="E28" s="219"/>
    </row>
    <row r="29" spans="2:5" ht="15.75">
      <c r="B29" s="233" t="s">
        <v>379</v>
      </c>
      <c r="C29" s="342">
        <f>IF(C30*0.1&lt;C28,"Exceed 10% Rule","")</f>
      </c>
      <c r="D29" s="246">
        <f>IF(D30*0.1&lt;D28,"Exceed 10% Rule","")</f>
      </c>
      <c r="E29" s="246">
        <f>IF(E30*0.1&lt;E28,"Exceed 10% Rule","")</f>
      </c>
    </row>
    <row r="30" spans="2:5" ht="15.75">
      <c r="B30" s="226" t="s">
        <v>95</v>
      </c>
      <c r="C30" s="249">
        <f>SUM(C18:C28)</f>
        <v>308318</v>
      </c>
      <c r="D30" s="249">
        <f>SUM(D18:D28)</f>
        <v>327260</v>
      </c>
      <c r="E30" s="249">
        <f>SUM(E18:E28)</f>
        <v>540050</v>
      </c>
    </row>
    <row r="31" spans="2:5" ht="15.75">
      <c r="B31" s="122" t="s">
        <v>203</v>
      </c>
      <c r="C31" s="186">
        <f>C16-C30</f>
        <v>29049</v>
      </c>
      <c r="D31" s="186">
        <f>D16-D30</f>
        <v>56943</v>
      </c>
      <c r="E31" s="186">
        <f>E16-E30</f>
        <v>0</v>
      </c>
    </row>
    <row r="32" spans="2:5" ht="15.75">
      <c r="B32" s="110" t="str">
        <f>CONCATENATE("",$E$1-2,"/",$E$1-1," Budget Authority Amount:")</f>
        <v>2010/2011 Budget Authority Amount:</v>
      </c>
      <c r="C32" s="176">
        <f>inputOth!B77</f>
        <v>320814</v>
      </c>
      <c r="D32" s="176">
        <f>inputPrYr!D36</f>
        <v>465714</v>
      </c>
      <c r="E32" s="385">
        <f>IF(E31&lt;0,"See Tab E","")</f>
      </c>
    </row>
    <row r="33" spans="2:5" ht="15.75">
      <c r="B33" s="110"/>
      <c r="C33" s="237">
        <f>IF(C30&gt;C32,"See Tab A","")</f>
      </c>
      <c r="D33" s="237">
        <f>IF(D30&gt;D32,"See Tab C","")</f>
      </c>
      <c r="E33" s="39"/>
    </row>
    <row r="34" spans="2:5" ht="15.75">
      <c r="B34" s="110"/>
      <c r="C34" s="237">
        <f>IF(C31&lt;0,"See Tab B","")</f>
      </c>
      <c r="D34" s="237">
        <f>IF(D31&lt;0,"See Tab D","")</f>
      </c>
      <c r="E34" s="39"/>
    </row>
    <row r="35" spans="2:5" ht="15.75">
      <c r="B35" s="10"/>
      <c r="C35" s="39"/>
      <c r="D35" s="39"/>
      <c r="E35" s="39"/>
    </row>
    <row r="36" spans="2:5" ht="15.75">
      <c r="B36" s="17" t="s">
        <v>82</v>
      </c>
      <c r="C36" s="250"/>
      <c r="D36" s="250"/>
      <c r="E36" s="250"/>
    </row>
    <row r="37" spans="2:5" ht="15.75">
      <c r="B37" s="10"/>
      <c r="C37" s="434" t="str">
        <f aca="true" t="shared" si="0" ref="C37:E38">C4</f>
        <v>Prior Year Actual</v>
      </c>
      <c r="D37" s="433" t="str">
        <f t="shared" si="0"/>
        <v>Current Year Estimate</v>
      </c>
      <c r="E37" s="433" t="str">
        <f t="shared" si="0"/>
        <v>Proposed Budget Year</v>
      </c>
    </row>
    <row r="38" spans="2:5" ht="15.75">
      <c r="B38" s="340" t="str">
        <f>(inputPrYr!B37)</f>
        <v>Sewer Utility</v>
      </c>
      <c r="C38" s="216">
        <f t="shared" si="0"/>
        <v>2010</v>
      </c>
      <c r="D38" s="216">
        <f t="shared" si="0"/>
        <v>2011</v>
      </c>
      <c r="E38" s="216">
        <f t="shared" si="0"/>
        <v>2012</v>
      </c>
    </row>
    <row r="39" spans="2:5" ht="15.75">
      <c r="B39" s="217" t="s">
        <v>202</v>
      </c>
      <c r="C39" s="38">
        <v>7479</v>
      </c>
      <c r="D39" s="186">
        <f>C63</f>
        <v>7224</v>
      </c>
      <c r="E39" s="186">
        <f>D63</f>
        <v>4243</v>
      </c>
    </row>
    <row r="40" spans="2:5" ht="15.75">
      <c r="B40" s="217" t="s">
        <v>204</v>
      </c>
      <c r="C40" s="58"/>
      <c r="D40" s="58"/>
      <c r="E40" s="58"/>
    </row>
    <row r="41" spans="2:5" ht="15.75">
      <c r="B41" s="458" t="s">
        <v>334</v>
      </c>
      <c r="C41" s="38">
        <v>68278</v>
      </c>
      <c r="D41" s="38">
        <v>72522</v>
      </c>
      <c r="E41" s="38">
        <v>77322</v>
      </c>
    </row>
    <row r="42" spans="2:5" ht="15.75">
      <c r="B42" s="458" t="s">
        <v>335</v>
      </c>
      <c r="C42" s="38">
        <v>8719</v>
      </c>
      <c r="D42" s="38">
        <v>10076</v>
      </c>
      <c r="E42" s="38">
        <v>10076</v>
      </c>
    </row>
    <row r="43" spans="2:5" ht="15.75">
      <c r="B43" s="458" t="s">
        <v>347</v>
      </c>
      <c r="C43" s="38">
        <v>243</v>
      </c>
      <c r="D43" s="38">
        <v>324</v>
      </c>
      <c r="E43" s="38">
        <v>324</v>
      </c>
    </row>
    <row r="44" spans="2:5" ht="15.75">
      <c r="B44" s="458" t="s">
        <v>336</v>
      </c>
      <c r="C44" s="38"/>
      <c r="D44" s="38"/>
      <c r="E44" s="38"/>
    </row>
    <row r="45" spans="2:5" ht="15.75">
      <c r="B45" s="458" t="s">
        <v>337</v>
      </c>
      <c r="C45" s="38"/>
      <c r="D45" s="38"/>
      <c r="E45" s="38"/>
    </row>
    <row r="46" spans="2:5" ht="15.75">
      <c r="B46" s="224" t="s">
        <v>88</v>
      </c>
      <c r="C46" s="38"/>
      <c r="D46" s="38"/>
      <c r="E46" s="38"/>
    </row>
    <row r="47" spans="2:5" ht="15.75">
      <c r="B47" s="130" t="s">
        <v>23</v>
      </c>
      <c r="C47" s="38"/>
      <c r="D47" s="38"/>
      <c r="E47" s="38"/>
    </row>
    <row r="48" spans="2:5" ht="15.75">
      <c r="B48" s="217" t="s">
        <v>378</v>
      </c>
      <c r="C48" s="342">
        <f>IF(C49*0.1&lt;C47,"Exceed 10% Rule","")</f>
      </c>
      <c r="D48" s="246">
        <f>IF(D49*0.1&lt;D47,"Exceed 10% Rule","")</f>
      </c>
      <c r="E48" s="246">
        <f>IF(E49*0.1&lt;E47,"Exceed 10% Rule","")</f>
      </c>
    </row>
    <row r="49" spans="2:5" ht="15.75">
      <c r="B49" s="226" t="s">
        <v>89</v>
      </c>
      <c r="C49" s="249">
        <f>SUM(C41:C47)</f>
        <v>77240</v>
      </c>
      <c r="D49" s="249">
        <f>SUM(D41:D47)</f>
        <v>82922</v>
      </c>
      <c r="E49" s="249">
        <f>SUM(E41:E47)</f>
        <v>87722</v>
      </c>
    </row>
    <row r="50" spans="2:5" ht="15.75">
      <c r="B50" s="226" t="s">
        <v>90</v>
      </c>
      <c r="C50" s="249">
        <f>C39+C49</f>
        <v>84719</v>
      </c>
      <c r="D50" s="249">
        <f>D39+D49</f>
        <v>90146</v>
      </c>
      <c r="E50" s="249">
        <f>E39+E49</f>
        <v>91965</v>
      </c>
    </row>
    <row r="51" spans="2:5" ht="15.75">
      <c r="B51" s="122" t="s">
        <v>92</v>
      </c>
      <c r="C51" s="186"/>
      <c r="D51" s="186"/>
      <c r="E51" s="186"/>
    </row>
    <row r="52" spans="2:5" ht="15.75">
      <c r="B52" s="458" t="s">
        <v>341</v>
      </c>
      <c r="C52" s="38"/>
      <c r="D52" s="38">
        <v>1500</v>
      </c>
      <c r="E52" s="38">
        <v>1500</v>
      </c>
    </row>
    <row r="53" spans="2:5" ht="15.75">
      <c r="B53" s="458" t="s">
        <v>309</v>
      </c>
      <c r="C53" s="38">
        <v>560</v>
      </c>
      <c r="D53" s="38">
        <v>68</v>
      </c>
      <c r="E53" s="38">
        <v>100</v>
      </c>
    </row>
    <row r="54" spans="2:5" ht="15.75">
      <c r="B54" s="458" t="s">
        <v>342</v>
      </c>
      <c r="C54" s="38">
        <v>31724</v>
      </c>
      <c r="D54" s="38">
        <v>32293</v>
      </c>
      <c r="E54" s="38">
        <v>33908</v>
      </c>
    </row>
    <row r="55" spans="2:5" ht="15.75">
      <c r="B55" s="458" t="s">
        <v>309</v>
      </c>
      <c r="C55" s="38">
        <v>4913</v>
      </c>
      <c r="D55" s="38">
        <v>3222</v>
      </c>
      <c r="E55" s="38">
        <v>3500</v>
      </c>
    </row>
    <row r="56" spans="2:5" ht="15.75">
      <c r="B56" s="458" t="s">
        <v>93</v>
      </c>
      <c r="C56" s="38">
        <v>12267</v>
      </c>
      <c r="D56" s="38">
        <v>16138</v>
      </c>
      <c r="E56" s="38">
        <v>17500</v>
      </c>
    </row>
    <row r="57" spans="2:5" ht="15.75">
      <c r="B57" s="232" t="s">
        <v>94</v>
      </c>
      <c r="C57" s="38">
        <v>0</v>
      </c>
      <c r="D57" s="38">
        <v>0</v>
      </c>
      <c r="E57" s="38">
        <v>2775</v>
      </c>
    </row>
    <row r="58" spans="2:5" ht="15.75">
      <c r="B58" s="232" t="s">
        <v>348</v>
      </c>
      <c r="C58" s="38"/>
      <c r="D58" s="38"/>
      <c r="E58" s="38"/>
    </row>
    <row r="59" spans="2:5" ht="15.75">
      <c r="B59" s="232" t="s">
        <v>349</v>
      </c>
      <c r="C59" s="38">
        <v>28031</v>
      </c>
      <c r="D59" s="38">
        <v>32682</v>
      </c>
      <c r="E59" s="38">
        <v>32682</v>
      </c>
    </row>
    <row r="60" spans="2:5" ht="15.75">
      <c r="B60" s="233" t="s">
        <v>23</v>
      </c>
      <c r="C60" s="38"/>
      <c r="D60" s="219"/>
      <c r="E60" s="219"/>
    </row>
    <row r="61" spans="2:5" ht="15.75">
      <c r="B61" s="233" t="s">
        <v>379</v>
      </c>
      <c r="C61" s="342">
        <f>IF(C62*0.1&lt;C60,"Exceed 10% Rule","")</f>
      </c>
      <c r="D61" s="246">
        <f>IF(D62*0.1&lt;D60,"Exceed 10% Rule","")</f>
      </c>
      <c r="E61" s="246">
        <f>IF(E62*0.1&lt;E60,"Exceed 10% Rule","")</f>
      </c>
    </row>
    <row r="62" spans="2:5" ht="15.75">
      <c r="B62" s="226" t="s">
        <v>95</v>
      </c>
      <c r="C62" s="249">
        <f>SUM(C52:C60)</f>
        <v>77495</v>
      </c>
      <c r="D62" s="249">
        <f>SUM(D52:D60)</f>
        <v>85903</v>
      </c>
      <c r="E62" s="249">
        <f>SUM(E52:E60)</f>
        <v>91965</v>
      </c>
    </row>
    <row r="63" spans="2:5" ht="15.75">
      <c r="B63" s="122" t="s">
        <v>203</v>
      </c>
      <c r="C63" s="186">
        <f>C50-C62</f>
        <v>7224</v>
      </c>
      <c r="D63" s="186">
        <f>D50-D62</f>
        <v>4243</v>
      </c>
      <c r="E63" s="186">
        <f>E50-E62</f>
        <v>0</v>
      </c>
    </row>
    <row r="64" spans="2:5" ht="15.75">
      <c r="B64" s="110" t="str">
        <f>CONCATENATE("",$E$1-2,"/",$E$1-1," Budget Authority Amount:")</f>
        <v>2010/2011 Budget Authority Amount:</v>
      </c>
      <c r="C64" s="176">
        <f>inputOth!B78</f>
        <v>91371</v>
      </c>
      <c r="D64" s="176">
        <f>inputPrYr!D37</f>
        <v>122526</v>
      </c>
      <c r="E64" s="385">
        <f>IF(E63&lt;0,"See Tab E","")</f>
      </c>
    </row>
    <row r="65" spans="2:5" ht="15.75">
      <c r="B65" s="110"/>
      <c r="C65" s="237">
        <f>IF(C62&gt;C64,"See Tab A","")</f>
      </c>
      <c r="D65" s="237">
        <f>IF(D62&gt;D64,"See Tab C","")</f>
      </c>
      <c r="E65" s="10"/>
    </row>
    <row r="66" spans="2:5" ht="15.75">
      <c r="B66" s="110"/>
      <c r="C66" s="237">
        <f>IF(C63&lt;0,"See Tab B","")</f>
      </c>
      <c r="D66" s="237">
        <f>IF(D63&lt;0,"See Tab D","")</f>
      </c>
      <c r="E66" s="10"/>
    </row>
    <row r="67" spans="2:5" ht="15.75">
      <c r="B67" s="10"/>
      <c r="C67" s="10"/>
      <c r="D67" s="10"/>
      <c r="E67" s="10"/>
    </row>
    <row r="68" spans="2:5" ht="15.75">
      <c r="B68" s="110" t="s">
        <v>98</v>
      </c>
      <c r="C68" s="242">
        <v>10</v>
      </c>
      <c r="D68" s="10"/>
      <c r="E68" s="10"/>
    </row>
  </sheetData>
  <sheetProtection/>
  <conditionalFormatting sqref="C13">
    <cfRule type="cellIs" priority="3" dxfId="7" operator="greaterThan" stopIfTrue="1">
      <formula>$C$15*0.1</formula>
    </cfRule>
  </conditionalFormatting>
  <conditionalFormatting sqref="D13">
    <cfRule type="cellIs" priority="4" dxfId="7" operator="greaterThan" stopIfTrue="1">
      <formula>$D$15*0.1</formula>
    </cfRule>
  </conditionalFormatting>
  <conditionalFormatting sqref="E13">
    <cfRule type="cellIs" priority="5" dxfId="7" operator="greaterThan" stopIfTrue="1">
      <formula>$E$15*0.1</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E28">
    <cfRule type="cellIs" priority="8" dxfId="7" operator="greaterThan" stopIfTrue="1">
      <formula>$E$30*0.1</formula>
    </cfRule>
  </conditionalFormatting>
  <conditionalFormatting sqref="C47">
    <cfRule type="cellIs" priority="9" dxfId="7" operator="greaterThan" stopIfTrue="1">
      <formula>$C$49*0.1</formula>
    </cfRule>
  </conditionalFormatting>
  <conditionalFormatting sqref="D47">
    <cfRule type="cellIs" priority="10" dxfId="7" operator="greaterThan" stopIfTrue="1">
      <formula>$D$49*0.1</formula>
    </cfRule>
  </conditionalFormatting>
  <conditionalFormatting sqref="E47">
    <cfRule type="cellIs" priority="11" dxfId="7" operator="greaterThan" stopIfTrue="1">
      <formula>$E$49*0.1</formula>
    </cfRule>
  </conditionalFormatting>
  <conditionalFormatting sqref="C60">
    <cfRule type="cellIs" priority="12" dxfId="7" operator="greaterThan" stopIfTrue="1">
      <formula>$C$62*0.1</formula>
    </cfRule>
  </conditionalFormatting>
  <conditionalFormatting sqref="D60">
    <cfRule type="cellIs" priority="13" dxfId="7" operator="greaterThan" stopIfTrue="1">
      <formula>$D$62*0.1</formula>
    </cfRule>
  </conditionalFormatting>
  <conditionalFormatting sqref="E60">
    <cfRule type="cellIs" priority="14" dxfId="7" operator="greaterThan" stopIfTrue="1">
      <formula>$E$62*0.1</formula>
    </cfRule>
  </conditionalFormatting>
  <conditionalFormatting sqref="C63:E63 C31:E31">
    <cfRule type="cellIs" priority="15" dxfId="2" operator="lessThan" stopIfTrue="1">
      <formula>0</formula>
    </cfRule>
  </conditionalFormatting>
  <conditionalFormatting sqref="D62">
    <cfRule type="cellIs" priority="16" dxfId="2" operator="greaterThan" stopIfTrue="1">
      <formula>$D$64</formula>
    </cfRule>
  </conditionalFormatting>
  <conditionalFormatting sqref="C62">
    <cfRule type="cellIs" priority="17" dxfId="2" operator="greaterThan" stopIfTrue="1">
      <formula>$C$64</formula>
    </cfRule>
  </conditionalFormatting>
  <conditionalFormatting sqref="D30">
    <cfRule type="cellIs" priority="18" dxfId="2" operator="greaterThan" stopIfTrue="1">
      <formula>$D$32</formula>
    </cfRule>
  </conditionalFormatting>
  <conditionalFormatting sqref="C30">
    <cfRule type="cellIs" priority="19" dxfId="2" operator="greaterThan" stopIfTrue="1">
      <formula>$C$32</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0">
      <selection activeCell="E28" sqref="E28"/>
    </sheetView>
  </sheetViews>
  <sheetFormatPr defaultColWidth="8.8984375" defaultRowHeight="15"/>
  <cols>
    <col min="1" max="1" width="2.3984375" style="11" customWidth="1"/>
    <col min="2" max="2" width="31.09765625" style="11" customWidth="1"/>
    <col min="3" max="4" width="15.796875" style="11" customWidth="1"/>
    <col min="5" max="5" width="16.296875" style="11" customWidth="1"/>
    <col min="6" max="16384" width="8.8984375" style="11" customWidth="1"/>
  </cols>
  <sheetData>
    <row r="1" spans="2:5" ht="15.75">
      <c r="B1" s="144" t="str">
        <f>(inputPrYr!D2)</f>
        <v>City of LaHarpe</v>
      </c>
      <c r="C1" s="10"/>
      <c r="D1" s="10"/>
      <c r="E1" s="205">
        <f>inputPrYr!C5</f>
        <v>2012</v>
      </c>
    </row>
    <row r="2" spans="2:5" ht="15.75">
      <c r="B2" s="10"/>
      <c r="C2" s="10"/>
      <c r="D2" s="10"/>
      <c r="E2" s="139"/>
    </row>
    <row r="3" spans="2:5" ht="15.75">
      <c r="B3" s="29" t="s">
        <v>148</v>
      </c>
      <c r="C3" s="248"/>
      <c r="D3" s="248"/>
      <c r="E3" s="248"/>
    </row>
    <row r="4" spans="2:5" ht="15.75">
      <c r="B4" s="17" t="s">
        <v>82</v>
      </c>
      <c r="C4" s="434" t="s">
        <v>101</v>
      </c>
      <c r="D4" s="433" t="s">
        <v>226</v>
      </c>
      <c r="E4" s="433" t="s">
        <v>227</v>
      </c>
    </row>
    <row r="5" spans="2:5" ht="15.75">
      <c r="B5" s="341" t="str">
        <f>(inputPrYr!B38)</f>
        <v>Trash Utility</v>
      </c>
      <c r="C5" s="216">
        <f>E1-2</f>
        <v>2010</v>
      </c>
      <c r="D5" s="216">
        <f>E1-1</f>
        <v>2011</v>
      </c>
      <c r="E5" s="216">
        <f>E1</f>
        <v>2012</v>
      </c>
    </row>
    <row r="6" spans="2:5" ht="15.75">
      <c r="B6" s="217" t="s">
        <v>202</v>
      </c>
      <c r="C6" s="38">
        <v>2469</v>
      </c>
      <c r="D6" s="186">
        <f>C29</f>
        <v>3450</v>
      </c>
      <c r="E6" s="186">
        <f>D29</f>
        <v>4748</v>
      </c>
    </row>
    <row r="7" spans="2:5" ht="15.75">
      <c r="B7" s="220" t="s">
        <v>204</v>
      </c>
      <c r="C7" s="58"/>
      <c r="D7" s="58"/>
      <c r="E7" s="58"/>
    </row>
    <row r="8" spans="2:5" ht="15.75">
      <c r="B8" s="458" t="s">
        <v>350</v>
      </c>
      <c r="C8" s="38">
        <v>16131</v>
      </c>
      <c r="D8" s="38">
        <v>16340</v>
      </c>
      <c r="E8" s="38">
        <v>16340</v>
      </c>
    </row>
    <row r="9" spans="2:5" ht="15.75">
      <c r="B9" s="232"/>
      <c r="C9" s="38"/>
      <c r="D9" s="38"/>
      <c r="E9" s="38"/>
    </row>
    <row r="10" spans="2:5" ht="15.75">
      <c r="B10" s="232"/>
      <c r="C10" s="38"/>
      <c r="D10" s="38"/>
      <c r="E10" s="38"/>
    </row>
    <row r="11" spans="2:5" ht="15.75">
      <c r="B11" s="232"/>
      <c r="C11" s="38"/>
      <c r="D11" s="38"/>
      <c r="E11" s="38"/>
    </row>
    <row r="12" spans="2:5" ht="15.75">
      <c r="B12" s="224" t="s">
        <v>88</v>
      </c>
      <c r="C12" s="38"/>
      <c r="D12" s="38"/>
      <c r="E12" s="38"/>
    </row>
    <row r="13" spans="2:5" ht="15.75">
      <c r="B13" s="130" t="s">
        <v>23</v>
      </c>
      <c r="C13" s="38"/>
      <c r="D13" s="219"/>
      <c r="E13" s="219"/>
    </row>
    <row r="14" spans="2:5" ht="15.75">
      <c r="B14" s="217" t="s">
        <v>378</v>
      </c>
      <c r="C14" s="342">
        <f>IF(C15*0.1&lt;C13,"Exceed 10% Rule","")</f>
      </c>
      <c r="D14" s="246">
        <f>IF(D15*0.1&lt;D13,"Exceed 10% Rule","")</f>
      </c>
      <c r="E14" s="246">
        <f>IF(E15*0.1&lt;E13,"Exceed 10% Rule","")</f>
      </c>
    </row>
    <row r="15" spans="2:5" ht="15.75">
      <c r="B15" s="226" t="s">
        <v>89</v>
      </c>
      <c r="C15" s="249">
        <f>SUM(C8:C13)</f>
        <v>16131</v>
      </c>
      <c r="D15" s="249">
        <f>SUM(D8:D13)</f>
        <v>16340</v>
      </c>
      <c r="E15" s="249">
        <f>SUM(E8:E13)</f>
        <v>16340</v>
      </c>
    </row>
    <row r="16" spans="2:5" ht="15.75">
      <c r="B16" s="226" t="s">
        <v>90</v>
      </c>
      <c r="C16" s="249">
        <f>C6+C15</f>
        <v>18600</v>
      </c>
      <c r="D16" s="249">
        <f>D6+D15</f>
        <v>19790</v>
      </c>
      <c r="E16" s="249">
        <f>E6+E15</f>
        <v>21088</v>
      </c>
    </row>
    <row r="17" spans="2:5" ht="15.75">
      <c r="B17" s="122" t="s">
        <v>92</v>
      </c>
      <c r="C17" s="186"/>
      <c r="D17" s="186"/>
      <c r="E17" s="186"/>
    </row>
    <row r="18" spans="2:5" ht="15.75">
      <c r="B18" s="458" t="s">
        <v>351</v>
      </c>
      <c r="C18" s="38"/>
      <c r="D18" s="38"/>
      <c r="E18" s="38"/>
    </row>
    <row r="19" spans="2:5" ht="15.75">
      <c r="B19" s="458" t="s">
        <v>352</v>
      </c>
      <c r="C19" s="38">
        <v>475</v>
      </c>
      <c r="D19" s="38">
        <v>300</v>
      </c>
      <c r="E19" s="38">
        <v>300</v>
      </c>
    </row>
    <row r="20" spans="2:5" ht="15.75">
      <c r="B20" s="458" t="s">
        <v>353</v>
      </c>
      <c r="C20" s="38">
        <v>14675</v>
      </c>
      <c r="D20" s="38">
        <v>14742</v>
      </c>
      <c r="E20" s="38">
        <v>16000</v>
      </c>
    </row>
    <row r="21" spans="2:5" ht="15.75">
      <c r="B21" s="232" t="s">
        <v>354</v>
      </c>
      <c r="C21" s="38"/>
      <c r="D21" s="38"/>
      <c r="E21" s="38">
        <v>4788</v>
      </c>
    </row>
    <row r="22" spans="2:5" ht="15.75">
      <c r="B22" s="232"/>
      <c r="C22" s="38"/>
      <c r="D22" s="38"/>
      <c r="E22" s="38"/>
    </row>
    <row r="23" spans="2:5" ht="15.75">
      <c r="B23" s="232"/>
      <c r="C23" s="38"/>
      <c r="D23" s="38"/>
      <c r="E23" s="38"/>
    </row>
    <row r="24" spans="2:5" ht="15.75">
      <c r="B24" s="232"/>
      <c r="C24" s="38"/>
      <c r="D24" s="38"/>
      <c r="E24" s="38"/>
    </row>
    <row r="25" spans="2:5" ht="15.75">
      <c r="B25" s="232"/>
      <c r="C25" s="38"/>
      <c r="D25" s="38"/>
      <c r="E25" s="38"/>
    </row>
    <row r="26" spans="2:5" ht="15.75">
      <c r="B26" s="233" t="s">
        <v>23</v>
      </c>
      <c r="C26" s="38"/>
      <c r="D26" s="219"/>
      <c r="E26" s="219"/>
    </row>
    <row r="27" spans="2:5" ht="15.75">
      <c r="B27" s="233" t="s">
        <v>379</v>
      </c>
      <c r="C27" s="342">
        <f>IF(C28*0.1&lt;C26,"Exceed 10% Rule","")</f>
      </c>
      <c r="D27" s="246">
        <f>IF(D28*0.1&lt;D26,"Exceed 10% Rule","")</f>
      </c>
      <c r="E27" s="246">
        <f>IF(E28*0.1&lt;E26,"Exceed 10% Rule","")</f>
      </c>
    </row>
    <row r="28" spans="2:5" ht="15.75">
      <c r="B28" s="226" t="s">
        <v>95</v>
      </c>
      <c r="C28" s="249">
        <f>SUM(C18:C26)</f>
        <v>15150</v>
      </c>
      <c r="D28" s="249">
        <f>SUM(D18:D26)</f>
        <v>15042</v>
      </c>
      <c r="E28" s="249">
        <f>SUM(E18:E26)</f>
        <v>21088</v>
      </c>
    </row>
    <row r="29" spans="2:5" ht="15.75">
      <c r="B29" s="122" t="s">
        <v>203</v>
      </c>
      <c r="C29" s="186">
        <f>C16-C28</f>
        <v>3450</v>
      </c>
      <c r="D29" s="186">
        <f>D16-D28</f>
        <v>4748</v>
      </c>
      <c r="E29" s="186">
        <f>E16-E28</f>
        <v>0</v>
      </c>
    </row>
    <row r="30" spans="2:5" ht="15.75">
      <c r="B30" s="110" t="str">
        <f>CONCATENATE("",E1-2,"/",E1-1," Budget Authority Amount:")</f>
        <v>2010/2011 Budget Authority Amount:</v>
      </c>
      <c r="C30" s="176">
        <f>inputOth!B79</f>
        <v>19270</v>
      </c>
      <c r="D30" s="176">
        <f>inputPrYr!D38</f>
        <v>20169</v>
      </c>
      <c r="E30" s="385">
        <f>IF(E29&lt;0,"See Tab E","")</f>
      </c>
    </row>
    <row r="31" spans="2:5" ht="15.75">
      <c r="B31" s="110"/>
      <c r="C31" s="237">
        <f>IF(C28&gt;C30,"See Tab A","")</f>
      </c>
      <c r="D31" s="237">
        <f>IF(D28&gt;D30,"See Tab C","")</f>
      </c>
      <c r="E31" s="39"/>
    </row>
    <row r="32" spans="2:5" ht="15.75">
      <c r="B32" s="110"/>
      <c r="C32" s="237">
        <f>IF(C29&lt;0,"See Tab B","")</f>
      </c>
      <c r="D32" s="237">
        <f>IF(D29&lt;0,"See Tab D","")</f>
      </c>
      <c r="E32" s="39"/>
    </row>
    <row r="33" spans="2:5" ht="15.75">
      <c r="B33" s="10"/>
      <c r="C33" s="39"/>
      <c r="D33" s="39"/>
      <c r="E33" s="39"/>
    </row>
    <row r="34" spans="2:5" ht="15.75">
      <c r="B34" s="17" t="s">
        <v>82</v>
      </c>
      <c r="C34" s="250"/>
      <c r="D34" s="250"/>
      <c r="E34" s="250"/>
    </row>
    <row r="35" spans="2:5" ht="15.75">
      <c r="B35" s="10"/>
      <c r="C35" s="434" t="s">
        <v>101</v>
      </c>
      <c r="D35" s="433" t="s">
        <v>226</v>
      </c>
      <c r="E35" s="433" t="s">
        <v>227</v>
      </c>
    </row>
    <row r="36" spans="2:5" ht="15.75">
      <c r="B36" s="340">
        <f>(inputPrYr!B39)</f>
        <v>0</v>
      </c>
      <c r="C36" s="216">
        <f>C5</f>
        <v>2010</v>
      </c>
      <c r="D36" s="216">
        <f>D5</f>
        <v>2011</v>
      </c>
      <c r="E36" s="216">
        <f>E5</f>
        <v>2012</v>
      </c>
    </row>
    <row r="37" spans="2:5" ht="15.75">
      <c r="B37" s="217" t="s">
        <v>202</v>
      </c>
      <c r="C37" s="38"/>
      <c r="D37" s="186">
        <f>C60</f>
        <v>0</v>
      </c>
      <c r="E37" s="186">
        <f>D60</f>
        <v>0</v>
      </c>
    </row>
    <row r="38" spans="2:5" ht="15.75">
      <c r="B38" s="217" t="s">
        <v>204</v>
      </c>
      <c r="C38" s="58"/>
      <c r="D38" s="58"/>
      <c r="E38" s="58"/>
    </row>
    <row r="39" spans="2:5" ht="15.75">
      <c r="B39" s="232"/>
      <c r="C39" s="38"/>
      <c r="D39" s="38"/>
      <c r="E39" s="38"/>
    </row>
    <row r="40" spans="2:5" ht="15.75">
      <c r="B40" s="232"/>
      <c r="C40" s="38"/>
      <c r="D40" s="38"/>
      <c r="E40" s="38"/>
    </row>
    <row r="41" spans="2:5" ht="15.75">
      <c r="B41" s="232"/>
      <c r="C41" s="38"/>
      <c r="D41" s="38"/>
      <c r="E41" s="38"/>
    </row>
    <row r="42" spans="2:5" ht="15.75">
      <c r="B42" s="232"/>
      <c r="C42" s="38"/>
      <c r="D42" s="38"/>
      <c r="E42" s="38"/>
    </row>
    <row r="43" spans="2:5" ht="15.75">
      <c r="B43" s="224" t="s">
        <v>88</v>
      </c>
      <c r="C43" s="38"/>
      <c r="D43" s="38"/>
      <c r="E43" s="38"/>
    </row>
    <row r="44" spans="2:5" ht="15.75">
      <c r="B44" s="130" t="s">
        <v>23</v>
      </c>
      <c r="C44" s="38"/>
      <c r="D44" s="219"/>
      <c r="E44" s="219"/>
    </row>
    <row r="45" spans="2:5" ht="15.75">
      <c r="B45" s="217" t="s">
        <v>378</v>
      </c>
      <c r="C45" s="342">
        <f>IF(C46*0.1&lt;C44,"Exceed 10% Rule","")</f>
      </c>
      <c r="D45" s="246">
        <f>IF(D46*0.1&lt;D44,"Exceed 10% Rule","")</f>
      </c>
      <c r="E45" s="246">
        <f>IF(E46*0.1&lt;E44,"Exceed 10% Rule","")</f>
      </c>
    </row>
    <row r="46" spans="2:5" ht="15.75">
      <c r="B46" s="226" t="s">
        <v>89</v>
      </c>
      <c r="C46" s="249">
        <f>SUM(C39:C44)</f>
        <v>0</v>
      </c>
      <c r="D46" s="249">
        <f>SUM(D39:D44)</f>
        <v>0</v>
      </c>
      <c r="E46" s="249">
        <f>SUM(E39:E44)</f>
        <v>0</v>
      </c>
    </row>
    <row r="47" spans="2:5" ht="15.75">
      <c r="B47" s="226" t="s">
        <v>90</v>
      </c>
      <c r="C47" s="249">
        <f>C37+C46</f>
        <v>0</v>
      </c>
      <c r="D47" s="249">
        <f>D37+D46</f>
        <v>0</v>
      </c>
      <c r="E47" s="249">
        <f>E37+E46</f>
        <v>0</v>
      </c>
    </row>
    <row r="48" spans="2:5" ht="15.75">
      <c r="B48" s="122" t="s">
        <v>92</v>
      </c>
      <c r="C48" s="186"/>
      <c r="D48" s="186"/>
      <c r="E48" s="186"/>
    </row>
    <row r="49" spans="2:5" ht="15.75">
      <c r="B49" s="232"/>
      <c r="C49" s="38"/>
      <c r="D49" s="38"/>
      <c r="E49" s="38"/>
    </row>
    <row r="50" spans="2:5" ht="15.75">
      <c r="B50" s="232"/>
      <c r="C50" s="38"/>
      <c r="D50" s="38"/>
      <c r="E50" s="38"/>
    </row>
    <row r="51" spans="2:5" ht="15.75">
      <c r="B51" s="232"/>
      <c r="C51" s="38"/>
      <c r="D51" s="38"/>
      <c r="E51" s="38"/>
    </row>
    <row r="52" spans="2:5" ht="15.75">
      <c r="B52" s="232"/>
      <c r="C52" s="38"/>
      <c r="D52" s="38"/>
      <c r="E52" s="38"/>
    </row>
    <row r="53" spans="2:5" ht="15.75">
      <c r="B53" s="232"/>
      <c r="C53" s="38"/>
      <c r="D53" s="38"/>
      <c r="E53" s="38"/>
    </row>
    <row r="54" spans="2:5" ht="15.75">
      <c r="B54" s="232"/>
      <c r="C54" s="38"/>
      <c r="D54" s="38"/>
      <c r="E54" s="38"/>
    </row>
    <row r="55" spans="2:5" ht="15.75">
      <c r="B55" s="232"/>
      <c r="C55" s="38"/>
      <c r="D55" s="38"/>
      <c r="E55" s="38"/>
    </row>
    <row r="56" spans="2:5" ht="15.75">
      <c r="B56" s="232"/>
      <c r="C56" s="38"/>
      <c r="D56" s="38"/>
      <c r="E56" s="38"/>
    </row>
    <row r="57" spans="2:5" ht="15.75">
      <c r="B57" s="233" t="s">
        <v>23</v>
      </c>
      <c r="C57" s="38"/>
      <c r="D57" s="219"/>
      <c r="E57" s="219"/>
    </row>
    <row r="58" spans="2:5" ht="15.75">
      <c r="B58" s="233" t="s">
        <v>379</v>
      </c>
      <c r="C58" s="342">
        <f>IF(C59*0.1&lt;C57,"Exceed 10% Rule","")</f>
      </c>
      <c r="D58" s="246">
        <f>IF(D59*0.1&lt;D57,"Exceed 10% Rule","")</f>
      </c>
      <c r="E58" s="246">
        <f>IF(E59*0.1&lt;E57,"Exceed 10% Rule","")</f>
      </c>
    </row>
    <row r="59" spans="2:5" ht="15.75">
      <c r="B59" s="226" t="s">
        <v>95</v>
      </c>
      <c r="C59" s="249">
        <f>SUM(C49:C57)</f>
        <v>0</v>
      </c>
      <c r="D59" s="249">
        <f>SUM(D49:D57)</f>
        <v>0</v>
      </c>
      <c r="E59" s="249">
        <f>SUM(E49:E57)</f>
        <v>0</v>
      </c>
    </row>
    <row r="60" spans="2:5" ht="15.75">
      <c r="B60" s="122" t="s">
        <v>203</v>
      </c>
      <c r="C60" s="186">
        <f>C47-C59</f>
        <v>0</v>
      </c>
      <c r="D60" s="186">
        <f>D47-D59</f>
        <v>0</v>
      </c>
      <c r="E60" s="186">
        <f>E47-E59</f>
        <v>0</v>
      </c>
    </row>
    <row r="61" spans="2:5" ht="15.75">
      <c r="B61" s="110" t="str">
        <f>CONCATENATE("",E1-2,"/",E1-1," Budget Authority Amount:")</f>
        <v>2010/2011 Budget Authority Amount:</v>
      </c>
      <c r="C61" s="176">
        <f>inputOth!B80</f>
        <v>0</v>
      </c>
      <c r="D61" s="176">
        <f>inputPrYr!D39</f>
        <v>0</v>
      </c>
      <c r="E61" s="385">
        <f>IF(E60&lt;0,"See Tab E","")</f>
      </c>
    </row>
    <row r="62" spans="2:5" ht="15.75">
      <c r="B62" s="110"/>
      <c r="C62" s="237">
        <f>IF(C59&gt;C61,"See Tab A","")</f>
      </c>
      <c r="D62" s="237">
        <f>IF(D59&gt;D61,"See Tab C","")</f>
      </c>
      <c r="E62" s="47"/>
    </row>
    <row r="63" spans="2:5" ht="15.75">
      <c r="B63" s="110"/>
      <c r="C63" s="237">
        <f>IF(C60&lt;0,"See Tab B","")</f>
      </c>
      <c r="D63" s="237">
        <f>IF(D60&lt;0,"See Tab D","")</f>
      </c>
      <c r="E63" s="47"/>
    </row>
    <row r="64" spans="2:5" ht="15.75">
      <c r="B64" s="10"/>
      <c r="C64" s="10"/>
      <c r="D64" s="10"/>
      <c r="E64" s="10"/>
    </row>
    <row r="65" spans="2:5" ht="15.75">
      <c r="B65" s="110" t="s">
        <v>98</v>
      </c>
      <c r="C65" s="242">
        <v>11</v>
      </c>
      <c r="D65" s="10"/>
      <c r="E65" s="10"/>
    </row>
  </sheetData>
  <sheetProtection sheet="1"/>
  <conditionalFormatting sqref="C13">
    <cfRule type="cellIs" priority="3" dxfId="7" operator="greaterThan" stopIfTrue="1">
      <formula>$C$15*0.1</formula>
    </cfRule>
  </conditionalFormatting>
  <conditionalFormatting sqref="D13">
    <cfRule type="cellIs" priority="4" dxfId="7" operator="greaterThan" stopIfTrue="1">
      <formula>$D$15*0.1</formula>
    </cfRule>
  </conditionalFormatting>
  <conditionalFormatting sqref="E13">
    <cfRule type="cellIs" priority="5" dxfId="7" operator="greaterThan" stopIfTrue="1">
      <formula>$E$15*0.1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E26">
    <cfRule type="cellIs" priority="8" dxfId="7" operator="greaterThan" stopIfTrue="1">
      <formula>$E$28*0.1</formula>
    </cfRule>
  </conditionalFormatting>
  <conditionalFormatting sqref="C44">
    <cfRule type="cellIs" priority="9" dxfId="7" operator="greaterThan" stopIfTrue="1">
      <formula>$C$46*0.1</formula>
    </cfRule>
  </conditionalFormatting>
  <conditionalFormatting sqref="D44">
    <cfRule type="cellIs" priority="10" dxfId="7" operator="greaterThan" stopIfTrue="1">
      <formula>$D$46*0.1</formula>
    </cfRule>
  </conditionalFormatting>
  <conditionalFormatting sqref="E44">
    <cfRule type="cellIs" priority="11" dxfId="7" operator="greaterThan" stopIfTrue="1">
      <formula>$E$46*0.1</formula>
    </cfRule>
  </conditionalFormatting>
  <conditionalFormatting sqref="C57">
    <cfRule type="cellIs" priority="12" dxfId="7" operator="greaterThan" stopIfTrue="1">
      <formula>$C$59*0.1</formula>
    </cfRule>
  </conditionalFormatting>
  <conditionalFormatting sqref="D57">
    <cfRule type="cellIs" priority="13" dxfId="7" operator="greaterThan" stopIfTrue="1">
      <formula>$D$59*0.1</formula>
    </cfRule>
  </conditionalFormatting>
  <conditionalFormatting sqref="E57">
    <cfRule type="cellIs" priority="14" dxfId="7" operator="greaterThan" stopIfTrue="1">
      <formula>$E$59*0.1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4"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21" sqref="C21"/>
    </sheetView>
  </sheetViews>
  <sheetFormatPr defaultColWidth="8.8984375" defaultRowHeight="15"/>
  <cols>
    <col min="1" max="1" width="11.59765625" style="7" customWidth="1"/>
    <col min="2" max="2" width="7.3984375" style="7" customWidth="1"/>
    <col min="3" max="3" width="11.59765625" style="7" customWidth="1"/>
    <col min="4" max="4" width="7.3984375" style="7" customWidth="1"/>
    <col min="5" max="5" width="11.59765625" style="7" customWidth="1"/>
    <col min="6" max="6" width="7.3984375" style="7" customWidth="1"/>
    <col min="7" max="7" width="11.59765625" style="7" customWidth="1"/>
    <col min="8" max="8" width="7.3984375" style="7" customWidth="1"/>
    <col min="9" max="9" width="11.59765625" style="7" customWidth="1"/>
    <col min="10" max="16384" width="8.8984375" style="7" customWidth="1"/>
  </cols>
  <sheetData>
    <row r="1" spans="1:11" ht="15.75">
      <c r="A1" s="76">
        <f>inputPrYr!$C$2</f>
        <v>0</v>
      </c>
      <c r="B1" s="252"/>
      <c r="C1" s="76"/>
      <c r="D1" s="76"/>
      <c r="E1" s="76"/>
      <c r="F1" s="253" t="s">
        <v>246</v>
      </c>
      <c r="G1" s="76"/>
      <c r="H1" s="76"/>
      <c r="I1" s="76"/>
      <c r="J1" s="76"/>
      <c r="K1" s="76">
        <f>inputPrYr!$C$5</f>
        <v>2012</v>
      </c>
    </row>
    <row r="2" spans="1:11" ht="15.75">
      <c r="A2" s="76"/>
      <c r="B2" s="76"/>
      <c r="C2" s="76"/>
      <c r="D2" s="76"/>
      <c r="E2" s="76"/>
      <c r="F2" s="254" t="str">
        <f>CONCATENATE("(Only the actual budget year for ",K1-2," is to be shown)")</f>
        <v>(Only the actual budget year for 2010 is to be shown)</v>
      </c>
      <c r="G2" s="76"/>
      <c r="H2" s="76"/>
      <c r="I2" s="76"/>
      <c r="J2" s="76"/>
      <c r="K2" s="76"/>
    </row>
    <row r="3" spans="1:11" ht="15.75">
      <c r="A3" s="76" t="s">
        <v>272</v>
      </c>
      <c r="B3" s="76"/>
      <c r="C3" s="76"/>
      <c r="D3" s="76"/>
      <c r="E3" s="76"/>
      <c r="F3" s="252"/>
      <c r="G3" s="76"/>
      <c r="H3" s="76"/>
      <c r="I3" s="76"/>
      <c r="J3" s="76"/>
      <c r="K3" s="76"/>
    </row>
    <row r="4" spans="1:11" ht="15.75">
      <c r="A4" s="76" t="s">
        <v>248</v>
      </c>
      <c r="B4" s="76"/>
      <c r="C4" s="76" t="s">
        <v>249</v>
      </c>
      <c r="D4" s="76"/>
      <c r="E4" s="76" t="s">
        <v>250</v>
      </c>
      <c r="F4" s="252"/>
      <c r="G4" s="76" t="s">
        <v>251</v>
      </c>
      <c r="H4" s="76"/>
      <c r="I4" s="76" t="s">
        <v>252</v>
      </c>
      <c r="J4" s="76"/>
      <c r="K4" s="76"/>
    </row>
    <row r="5" spans="1:11" ht="15.75">
      <c r="A5" s="518" t="str">
        <f>inputPrYr!$B51</f>
        <v>Equipment Reserve</v>
      </c>
      <c r="B5" s="519"/>
      <c r="C5" s="518" t="str">
        <f>inputPrYr!$B52</f>
        <v>Housing Grants</v>
      </c>
      <c r="D5" s="519"/>
      <c r="E5" s="518" t="str">
        <f>inputPrYr!$B53</f>
        <v>Sales Tax</v>
      </c>
      <c r="F5" s="519"/>
      <c r="G5" s="518" t="str">
        <f>inputPrYr!$B54</f>
        <v>Security Deposits</v>
      </c>
      <c r="H5" s="519"/>
      <c r="I5" s="518">
        <f>inputPrYr!$B55</f>
        <v>0</v>
      </c>
      <c r="J5" s="519"/>
      <c r="K5" s="98"/>
    </row>
    <row r="6" spans="1:11" ht="15.75">
      <c r="A6" s="256" t="s">
        <v>243</v>
      </c>
      <c r="B6" s="257"/>
      <c r="C6" s="258" t="s">
        <v>243</v>
      </c>
      <c r="D6" s="259"/>
      <c r="E6" s="258" t="s">
        <v>243</v>
      </c>
      <c r="F6" s="260"/>
      <c r="G6" s="258" t="s">
        <v>243</v>
      </c>
      <c r="H6" s="255"/>
      <c r="I6" s="258" t="s">
        <v>243</v>
      </c>
      <c r="J6" s="76"/>
      <c r="K6" s="261" t="s">
        <v>359</v>
      </c>
    </row>
    <row r="7" spans="1:11" ht="15.75">
      <c r="A7" s="262" t="s">
        <v>25</v>
      </c>
      <c r="B7" s="263">
        <v>2777</v>
      </c>
      <c r="C7" s="264" t="s">
        <v>25</v>
      </c>
      <c r="D7" s="263">
        <v>4475</v>
      </c>
      <c r="E7" s="264" t="s">
        <v>25</v>
      </c>
      <c r="F7" s="263">
        <v>6527</v>
      </c>
      <c r="G7" s="264" t="s">
        <v>25</v>
      </c>
      <c r="H7" s="263">
        <v>6261</v>
      </c>
      <c r="I7" s="264" t="s">
        <v>25</v>
      </c>
      <c r="J7" s="263"/>
      <c r="K7" s="265">
        <f>SUM(B7+D7+F7+H7+J7)</f>
        <v>20040</v>
      </c>
    </row>
    <row r="8" spans="1:11" ht="15.75">
      <c r="A8" s="266" t="s">
        <v>204</v>
      </c>
      <c r="B8" s="267"/>
      <c r="C8" s="266" t="s">
        <v>204</v>
      </c>
      <c r="D8" s="268"/>
      <c r="E8" s="266" t="s">
        <v>204</v>
      </c>
      <c r="F8" s="252"/>
      <c r="G8" s="266" t="s">
        <v>204</v>
      </c>
      <c r="H8" s="76"/>
      <c r="I8" s="266" t="s">
        <v>204</v>
      </c>
      <c r="J8" s="76"/>
      <c r="K8" s="252"/>
    </row>
    <row r="9" spans="1:11" ht="15.75">
      <c r="A9" s="269" t="s">
        <v>395</v>
      </c>
      <c r="B9" s="263"/>
      <c r="C9" s="269" t="s">
        <v>397</v>
      </c>
      <c r="D9" s="263">
        <v>1429</v>
      </c>
      <c r="E9" s="269" t="s">
        <v>393</v>
      </c>
      <c r="F9" s="263">
        <v>4880</v>
      </c>
      <c r="G9" s="269" t="s">
        <v>392</v>
      </c>
      <c r="H9" s="263">
        <v>4500</v>
      </c>
      <c r="I9" s="269"/>
      <c r="J9" s="263"/>
      <c r="K9" s="252"/>
    </row>
    <row r="10" spans="1:11" ht="15.75">
      <c r="A10" s="269" t="s">
        <v>396</v>
      </c>
      <c r="B10" s="263">
        <v>3000</v>
      </c>
      <c r="C10" s="269"/>
      <c r="D10" s="263"/>
      <c r="E10" s="269"/>
      <c r="F10" s="263"/>
      <c r="G10" s="269"/>
      <c r="H10" s="263"/>
      <c r="I10" s="269"/>
      <c r="J10" s="263"/>
      <c r="K10" s="252"/>
    </row>
    <row r="11" spans="1:11" ht="15.75">
      <c r="A11" s="269"/>
      <c r="B11" s="263"/>
      <c r="C11" s="270"/>
      <c r="D11" s="271"/>
      <c r="E11" s="270"/>
      <c r="F11" s="271"/>
      <c r="G11" s="270"/>
      <c r="H11" s="271"/>
      <c r="I11" s="272"/>
      <c r="J11" s="263"/>
      <c r="K11" s="252"/>
    </row>
    <row r="12" spans="1:11" ht="15.75">
      <c r="A12" s="269"/>
      <c r="B12" s="273"/>
      <c r="C12" s="269"/>
      <c r="D12" s="274"/>
      <c r="E12" s="275"/>
      <c r="F12" s="274"/>
      <c r="G12" s="275"/>
      <c r="H12" s="274"/>
      <c r="I12" s="275"/>
      <c r="J12" s="263"/>
      <c r="K12" s="252"/>
    </row>
    <row r="13" spans="1:11" ht="15.75">
      <c r="A13" s="276"/>
      <c r="B13" s="277"/>
      <c r="C13" s="278"/>
      <c r="D13" s="277"/>
      <c r="E13" s="278"/>
      <c r="F13" s="277"/>
      <c r="G13" s="278"/>
      <c r="H13" s="277"/>
      <c r="I13" s="272"/>
      <c r="J13" s="263"/>
      <c r="K13" s="252"/>
    </row>
    <row r="14" spans="1:11" ht="15.75">
      <c r="A14" s="269"/>
      <c r="B14" s="263"/>
      <c r="C14" s="275"/>
      <c r="D14" s="274"/>
      <c r="E14" s="275"/>
      <c r="F14" s="274"/>
      <c r="G14" s="275"/>
      <c r="H14" s="274"/>
      <c r="I14" s="275"/>
      <c r="J14" s="263"/>
      <c r="K14" s="252"/>
    </row>
    <row r="15" spans="1:11" ht="15.75">
      <c r="A15" s="269"/>
      <c r="B15" s="263"/>
      <c r="C15" s="275"/>
      <c r="D15" s="274"/>
      <c r="E15" s="275"/>
      <c r="F15" s="274"/>
      <c r="G15" s="275"/>
      <c r="H15" s="274"/>
      <c r="I15" s="275"/>
      <c r="J15" s="263"/>
      <c r="K15" s="252"/>
    </row>
    <row r="16" spans="1:11" ht="15.75">
      <c r="A16" s="269"/>
      <c r="B16" s="277"/>
      <c r="C16" s="269"/>
      <c r="D16" s="277"/>
      <c r="E16" s="269"/>
      <c r="F16" s="263"/>
      <c r="G16" s="275"/>
      <c r="H16" s="277"/>
      <c r="I16" s="269"/>
      <c r="J16" s="274"/>
      <c r="K16" s="252"/>
    </row>
    <row r="17" spans="1:11" ht="15.75">
      <c r="A17" s="266" t="s">
        <v>89</v>
      </c>
      <c r="B17" s="265">
        <f>SUM(B9:B16)</f>
        <v>3000</v>
      </c>
      <c r="C17" s="266" t="s">
        <v>89</v>
      </c>
      <c r="D17" s="279">
        <f>SUM(D9:D16)</f>
        <v>1429</v>
      </c>
      <c r="E17" s="266" t="s">
        <v>89</v>
      </c>
      <c r="F17" s="280">
        <f>SUM(F9:F16)</f>
        <v>4880</v>
      </c>
      <c r="G17" s="266" t="s">
        <v>89</v>
      </c>
      <c r="H17" s="279">
        <f>SUM(H9:H16)</f>
        <v>4500</v>
      </c>
      <c r="I17" s="266" t="s">
        <v>89</v>
      </c>
      <c r="J17" s="279">
        <f>SUM(J9:J16)</f>
        <v>0</v>
      </c>
      <c r="K17" s="265">
        <f>SUM(B17+D17+F17+H17+J17)</f>
        <v>13809</v>
      </c>
    </row>
    <row r="18" spans="1:11" ht="15.75">
      <c r="A18" s="266" t="s">
        <v>90</v>
      </c>
      <c r="B18" s="265">
        <f>SUM(B7+B17)</f>
        <v>5777</v>
      </c>
      <c r="C18" s="266" t="s">
        <v>90</v>
      </c>
      <c r="D18" s="265">
        <f>SUM(D7+D17)</f>
        <v>5904</v>
      </c>
      <c r="E18" s="266" t="s">
        <v>90</v>
      </c>
      <c r="F18" s="265">
        <f>SUM(F7+F17)</f>
        <v>11407</v>
      </c>
      <c r="G18" s="266" t="s">
        <v>90</v>
      </c>
      <c r="H18" s="265">
        <f>SUM(H7+H17)</f>
        <v>10761</v>
      </c>
      <c r="I18" s="266" t="s">
        <v>90</v>
      </c>
      <c r="J18" s="265">
        <f>SUM(J7+J17)</f>
        <v>0</v>
      </c>
      <c r="K18" s="265">
        <f>SUM(B18+D18+F18+H18+J18)</f>
        <v>33849</v>
      </c>
    </row>
    <row r="19" spans="1:11" ht="15.75">
      <c r="A19" s="266" t="s">
        <v>92</v>
      </c>
      <c r="B19" s="267"/>
      <c r="C19" s="266" t="s">
        <v>92</v>
      </c>
      <c r="D19" s="268"/>
      <c r="E19" s="266" t="s">
        <v>92</v>
      </c>
      <c r="F19" s="252"/>
      <c r="G19" s="266" t="s">
        <v>92</v>
      </c>
      <c r="H19" s="76"/>
      <c r="I19" s="266" t="s">
        <v>92</v>
      </c>
      <c r="J19" s="76"/>
      <c r="K19" s="252"/>
    </row>
    <row r="20" spans="1:11" ht="15.75">
      <c r="A20" s="269" t="s">
        <v>384</v>
      </c>
      <c r="B20" s="263">
        <v>94</v>
      </c>
      <c r="C20" s="275" t="s">
        <v>384</v>
      </c>
      <c r="D20" s="263">
        <v>5904</v>
      </c>
      <c r="E20" s="275" t="s">
        <v>394</v>
      </c>
      <c r="F20" s="263">
        <v>3638</v>
      </c>
      <c r="G20" s="275" t="s">
        <v>391</v>
      </c>
      <c r="H20" s="263">
        <v>2484</v>
      </c>
      <c r="I20" s="275"/>
      <c r="J20" s="263"/>
      <c r="K20" s="252"/>
    </row>
    <row r="21" spans="1:11" ht="15.75">
      <c r="A21" s="269"/>
      <c r="B21" s="263"/>
      <c r="C21" s="275"/>
      <c r="D21" s="274"/>
      <c r="E21" s="275"/>
      <c r="F21" s="274"/>
      <c r="G21" s="275"/>
      <c r="H21" s="274"/>
      <c r="I21" s="275"/>
      <c r="J21" s="281"/>
      <c r="K21" s="252"/>
    </row>
    <row r="22" spans="1:11" ht="15.75">
      <c r="A22" s="269"/>
      <c r="B22" s="282"/>
      <c r="C22" s="278"/>
      <c r="D22" s="277"/>
      <c r="E22" s="278"/>
      <c r="F22" s="277"/>
      <c r="G22" s="278"/>
      <c r="H22" s="277"/>
      <c r="I22" s="272"/>
      <c r="J22" s="263"/>
      <c r="K22" s="252"/>
    </row>
    <row r="23" spans="1:11" ht="15.75">
      <c r="A23" s="269"/>
      <c r="B23" s="263"/>
      <c r="C23" s="275"/>
      <c r="D23" s="274"/>
      <c r="E23" s="275"/>
      <c r="F23" s="274"/>
      <c r="G23" s="275"/>
      <c r="H23" s="274"/>
      <c r="I23" s="275"/>
      <c r="J23" s="263"/>
      <c r="K23" s="252"/>
    </row>
    <row r="24" spans="1:11" ht="15.75">
      <c r="A24" s="269"/>
      <c r="B24" s="282"/>
      <c r="C24" s="278"/>
      <c r="D24" s="277"/>
      <c r="E24" s="278"/>
      <c r="F24" s="277"/>
      <c r="G24" s="278"/>
      <c r="H24" s="277"/>
      <c r="I24" s="272"/>
      <c r="J24" s="263"/>
      <c r="K24" s="252"/>
    </row>
    <row r="25" spans="1:11" ht="15.75">
      <c r="A25" s="269"/>
      <c r="B25" s="263"/>
      <c r="C25" s="275"/>
      <c r="D25" s="274"/>
      <c r="E25" s="275"/>
      <c r="F25" s="274"/>
      <c r="G25" s="275"/>
      <c r="H25" s="274"/>
      <c r="I25" s="275"/>
      <c r="J25" s="263"/>
      <c r="K25" s="252"/>
    </row>
    <row r="26" spans="1:11" ht="15.75">
      <c r="A26" s="269"/>
      <c r="B26" s="263"/>
      <c r="C26" s="275"/>
      <c r="D26" s="274"/>
      <c r="E26" s="275"/>
      <c r="F26" s="274"/>
      <c r="G26" s="275"/>
      <c r="H26" s="274"/>
      <c r="I26" s="275"/>
      <c r="J26" s="263"/>
      <c r="K26" s="252"/>
    </row>
    <row r="27" spans="1:11" ht="15.75">
      <c r="A27" s="269"/>
      <c r="B27" s="281"/>
      <c r="C27" s="269"/>
      <c r="D27" s="273"/>
      <c r="E27" s="269"/>
      <c r="F27" s="274"/>
      <c r="G27" s="275"/>
      <c r="H27" s="274"/>
      <c r="I27" s="275"/>
      <c r="J27" s="263"/>
      <c r="K27" s="252"/>
    </row>
    <row r="28" spans="1:11" ht="15.75">
      <c r="A28" s="266" t="s">
        <v>95</v>
      </c>
      <c r="B28" s="265">
        <f>SUM(B20:B27)</f>
        <v>94</v>
      </c>
      <c r="C28" s="266" t="s">
        <v>95</v>
      </c>
      <c r="D28" s="265">
        <f>SUM(D20:D27)</f>
        <v>5904</v>
      </c>
      <c r="E28" s="266" t="s">
        <v>95</v>
      </c>
      <c r="F28" s="353">
        <f>SUM(F20:F27)</f>
        <v>3638</v>
      </c>
      <c r="G28" s="266" t="s">
        <v>95</v>
      </c>
      <c r="H28" s="353">
        <f>SUM(H20:H27)</f>
        <v>2484</v>
      </c>
      <c r="I28" s="266" t="s">
        <v>95</v>
      </c>
      <c r="J28" s="265">
        <f>SUM(J20:J27)</f>
        <v>0</v>
      </c>
      <c r="K28" s="265">
        <f>SUM(B28+D28+F28+H28+J28)</f>
        <v>12120</v>
      </c>
    </row>
    <row r="29" spans="1:12" ht="15.75">
      <c r="A29" s="266" t="s">
        <v>242</v>
      </c>
      <c r="B29" s="265">
        <f>SUM(B18-B28)</f>
        <v>5683</v>
      </c>
      <c r="C29" s="266" t="s">
        <v>242</v>
      </c>
      <c r="D29" s="265">
        <f>SUM(D18-D28)</f>
        <v>0</v>
      </c>
      <c r="E29" s="266" t="s">
        <v>242</v>
      </c>
      <c r="F29" s="265">
        <f>SUM(F18-F28)</f>
        <v>7769</v>
      </c>
      <c r="G29" s="266" t="s">
        <v>242</v>
      </c>
      <c r="H29" s="265">
        <f>SUM(H18-H28)</f>
        <v>8277</v>
      </c>
      <c r="I29" s="266" t="s">
        <v>242</v>
      </c>
      <c r="J29" s="265">
        <f>SUM(J18-J28)</f>
        <v>0</v>
      </c>
      <c r="K29" s="283">
        <f>SUM(B29+D29+F29+H29+J29)</f>
        <v>21729</v>
      </c>
      <c r="L29" s="284" t="s">
        <v>9</v>
      </c>
    </row>
    <row r="30" spans="1:12" ht="15.75">
      <c r="A30" s="266"/>
      <c r="B30" s="305">
        <f>IF(B29&lt;0,"See Tab B","")</f>
      </c>
      <c r="C30" s="266"/>
      <c r="D30" s="305">
        <f>IF(D29&lt;0,"See Tab B","")</f>
      </c>
      <c r="E30" s="266"/>
      <c r="F30" s="305">
        <f>IF(F29&lt;0,"See Tab B","")</f>
      </c>
      <c r="G30" s="76"/>
      <c r="H30" s="305">
        <f>IF(H29&lt;0,"See Tab B","")</f>
      </c>
      <c r="I30" s="76"/>
      <c r="J30" s="305">
        <f>IF(J29&lt;0,"See Tab B","")</f>
      </c>
      <c r="K30" s="283">
        <f>SUM(K7+K17-K28)</f>
        <v>21729</v>
      </c>
      <c r="L30" s="284" t="s">
        <v>9</v>
      </c>
    </row>
    <row r="31" spans="1:11" ht="15.75">
      <c r="A31" s="76"/>
      <c r="B31" s="285"/>
      <c r="C31" s="76"/>
      <c r="D31" s="252"/>
      <c r="E31" s="76"/>
      <c r="F31" s="76"/>
      <c r="G31" s="8" t="s">
        <v>10</v>
      </c>
      <c r="H31" s="8"/>
      <c r="I31" s="8"/>
      <c r="J31" s="8"/>
      <c r="K31" s="76"/>
    </row>
    <row r="32" spans="1:11" ht="15.75">
      <c r="A32" s="76"/>
      <c r="B32" s="285"/>
      <c r="C32" s="76"/>
      <c r="D32" s="76"/>
      <c r="E32" s="76"/>
      <c r="F32" s="76"/>
      <c r="G32" s="76"/>
      <c r="H32" s="76"/>
      <c r="I32" s="76"/>
      <c r="J32" s="76"/>
      <c r="K32" s="76"/>
    </row>
    <row r="33" spans="1:11" ht="15.75">
      <c r="A33" s="76"/>
      <c r="B33" s="285"/>
      <c r="C33" s="76"/>
      <c r="D33" s="76"/>
      <c r="E33" s="238" t="s">
        <v>98</v>
      </c>
      <c r="F33" s="464">
        <v>12</v>
      </c>
      <c r="G33" s="76"/>
      <c r="H33" s="76"/>
      <c r="I33" s="76"/>
      <c r="J33" s="76"/>
      <c r="K33" s="76"/>
    </row>
    <row r="34" ht="15.75">
      <c r="B34" s="286"/>
    </row>
    <row r="35" ht="15.75">
      <c r="B35" s="286"/>
    </row>
    <row r="36" ht="15.75">
      <c r="B36" s="286"/>
    </row>
    <row r="37" ht="15.75">
      <c r="B37" s="286"/>
    </row>
    <row r="38" ht="15.75">
      <c r="B38" s="286"/>
    </row>
    <row r="39" ht="15.75">
      <c r="B39" s="286"/>
    </row>
    <row r="40" ht="15.75">
      <c r="B40" s="286"/>
    </row>
    <row r="41" ht="15.75">
      <c r="B41" s="286"/>
    </row>
  </sheetData>
  <sheetProtection/>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1"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1">
      <selection activeCell="A6" sqref="A6:H6"/>
    </sheetView>
  </sheetViews>
  <sheetFormatPr defaultColWidth="8.8984375" defaultRowHeight="15"/>
  <cols>
    <col min="1" max="1" width="20.796875" style="7" customWidth="1"/>
    <col min="2" max="2" width="15.796875" style="7" customWidth="1"/>
    <col min="3" max="3" width="10.796875" style="7" customWidth="1"/>
    <col min="4" max="4" width="15.796875" style="7" customWidth="1"/>
    <col min="5" max="5" width="10.796875" style="7" customWidth="1"/>
    <col min="6" max="6" width="15.796875" style="7" customWidth="1"/>
    <col min="7" max="7" width="12.796875" style="7" customWidth="1"/>
    <col min="8" max="8" width="10.796875" style="7" customWidth="1"/>
    <col min="9" max="9" width="8.8984375" style="7" customWidth="1"/>
    <col min="10" max="10" width="12.3984375" style="7" customWidth="1"/>
    <col min="11" max="11" width="12.296875" style="7" customWidth="1"/>
    <col min="12" max="12" width="10.59765625" style="7" customWidth="1"/>
    <col min="13" max="13" width="12.09765625" style="7" customWidth="1"/>
    <col min="14" max="16384" width="8.8984375" style="7" customWidth="1"/>
  </cols>
  <sheetData>
    <row r="1" spans="1:8" ht="15.75">
      <c r="A1" s="76"/>
      <c r="B1" s="76"/>
      <c r="C1" s="76"/>
      <c r="D1" s="76"/>
      <c r="E1" s="76"/>
      <c r="F1" s="76"/>
      <c r="G1" s="76"/>
      <c r="H1" s="76">
        <f>inputPrYr!$C$5</f>
        <v>2012</v>
      </c>
    </row>
    <row r="2" spans="1:9" ht="15.75">
      <c r="A2" s="499" t="s">
        <v>144</v>
      </c>
      <c r="B2" s="499"/>
      <c r="C2" s="499"/>
      <c r="D2" s="499"/>
      <c r="E2" s="499"/>
      <c r="F2" s="499"/>
      <c r="G2" s="499"/>
      <c r="H2" s="499"/>
      <c r="I2" s="287"/>
    </row>
    <row r="3" spans="1:8" ht="15.75">
      <c r="A3" s="10"/>
      <c r="B3" s="10"/>
      <c r="C3" s="10"/>
      <c r="D3" s="10"/>
      <c r="E3" s="10"/>
      <c r="F3" s="10"/>
      <c r="G3" s="10"/>
      <c r="H3" s="10"/>
    </row>
    <row r="4" spans="1:8" ht="15.75">
      <c r="A4" s="489" t="s">
        <v>100</v>
      </c>
      <c r="B4" s="489"/>
      <c r="C4" s="489"/>
      <c r="D4" s="489"/>
      <c r="E4" s="489"/>
      <c r="F4" s="489"/>
      <c r="G4" s="489"/>
      <c r="H4" s="489"/>
    </row>
    <row r="5" spans="1:8" ht="15.75">
      <c r="A5" s="487" t="str">
        <f>inputPrYr!D2</f>
        <v>City of LaHarpe</v>
      </c>
      <c r="B5" s="487"/>
      <c r="C5" s="487"/>
      <c r="D5" s="487"/>
      <c r="E5" s="487"/>
      <c r="F5" s="487"/>
      <c r="G5" s="487"/>
      <c r="H5" s="487"/>
    </row>
    <row r="6" spans="1:8" ht="15.75">
      <c r="A6" s="520" t="str">
        <f>CONCATENATE("will meet on  ",inputBudSum!B6," at ",inputBudSum!B8,"  at  ",inputBudSum!B10,"  for the purpose of")</f>
        <v>will meet on  August 10, 2011 at 6:30 P.M.  at  LaHarpe City Hall  for the purpose of</v>
      </c>
      <c r="B6" s="520"/>
      <c r="C6" s="520"/>
      <c r="D6" s="520"/>
      <c r="E6" s="520"/>
      <c r="F6" s="520"/>
      <c r="G6" s="520"/>
      <c r="H6" s="520"/>
    </row>
    <row r="7" spans="1:8" ht="15.75">
      <c r="A7" s="489" t="s">
        <v>29</v>
      </c>
      <c r="B7" s="489"/>
      <c r="C7" s="489"/>
      <c r="D7" s="489"/>
      <c r="E7" s="489"/>
      <c r="F7" s="489"/>
      <c r="G7" s="489"/>
      <c r="H7" s="489"/>
    </row>
    <row r="8" spans="1:8" ht="15.75">
      <c r="A8" s="489" t="str">
        <f>CONCATENATE("Detailed budget information is available at ",inputBudSum!B13," and will be available at this hearing.")</f>
        <v>Detailed budget information is available at LaHarpe City Hall and will be available at this hearing.</v>
      </c>
      <c r="B8" s="489"/>
      <c r="C8" s="489"/>
      <c r="D8" s="489"/>
      <c r="E8" s="489"/>
      <c r="F8" s="489"/>
      <c r="G8" s="489"/>
      <c r="H8" s="489"/>
    </row>
    <row r="9" spans="1:8" ht="15.75">
      <c r="A9" s="20" t="s">
        <v>145</v>
      </c>
      <c r="B9" s="21"/>
      <c r="C9" s="21"/>
      <c r="D9" s="21"/>
      <c r="E9" s="21"/>
      <c r="F9" s="21"/>
      <c r="G9" s="21"/>
      <c r="H9" s="21"/>
    </row>
    <row r="10" spans="1:8" ht="15.75">
      <c r="A10" s="22" t="str">
        <f>CONCATENATE("Proposed Budget ",H1," Expenditures and Amount of  ",H1-1," Ad Valorem Tax establish the maximum limits of the ",H1," budget.")</f>
        <v>Proposed Budget 2012 Expenditures and Amount of  2011 Ad Valorem Tax establish the maximum limits of the 2012 budget.</v>
      </c>
      <c r="B10" s="21"/>
      <c r="C10" s="21"/>
      <c r="D10" s="21"/>
      <c r="E10" s="21"/>
      <c r="F10" s="21"/>
      <c r="G10" s="21"/>
      <c r="H10" s="21"/>
    </row>
    <row r="11" spans="1:8" ht="15.75">
      <c r="A11" s="22" t="s">
        <v>208</v>
      </c>
      <c r="B11" s="21"/>
      <c r="C11" s="21"/>
      <c r="D11" s="21"/>
      <c r="E11" s="21"/>
      <c r="F11" s="21"/>
      <c r="G11" s="21"/>
      <c r="H11" s="21"/>
    </row>
    <row r="12" spans="1:8" ht="15.75">
      <c r="A12" s="10"/>
      <c r="B12" s="248"/>
      <c r="C12" s="248"/>
      <c r="D12" s="248"/>
      <c r="E12" s="248"/>
      <c r="F12" s="248"/>
      <c r="G12" s="248"/>
      <c r="H12" s="248"/>
    </row>
    <row r="13" spans="1:8" ht="15.75">
      <c r="A13" s="10"/>
      <c r="B13" s="288" t="str">
        <f>CONCATENATE("Prior Year Actual for ",H1-2,"")</f>
        <v>Prior Year Actual for 2010</v>
      </c>
      <c r="C13" s="113"/>
      <c r="D13" s="288" t="str">
        <f>CONCATENATE("Current Year Estimate for ",H1-1,"")</f>
        <v>Current Year Estimate for 2011</v>
      </c>
      <c r="E13" s="113"/>
      <c r="F13" s="111" t="str">
        <f>CONCATENATE("Proposed Budget for ",H1,"")</f>
        <v>Proposed Budget for 2012</v>
      </c>
      <c r="G13" s="112"/>
      <c r="H13" s="113"/>
    </row>
    <row r="14" spans="1:8" ht="21" customHeight="1">
      <c r="A14" s="10"/>
      <c r="B14" s="240"/>
      <c r="C14" s="116" t="s">
        <v>102</v>
      </c>
      <c r="D14" s="116"/>
      <c r="E14" s="116" t="s">
        <v>102</v>
      </c>
      <c r="F14" s="361" t="s">
        <v>20</v>
      </c>
      <c r="G14" s="116" t="str">
        <f>CONCATENATE("Amount of ",H1-1,"")</f>
        <v>Amount of 2011</v>
      </c>
      <c r="H14" s="116" t="s">
        <v>271</v>
      </c>
    </row>
    <row r="15" spans="1:8" ht="15.75">
      <c r="A15" s="35" t="s">
        <v>103</v>
      </c>
      <c r="B15" s="120" t="s">
        <v>104</v>
      </c>
      <c r="C15" s="120" t="s">
        <v>105</v>
      </c>
      <c r="D15" s="120" t="s">
        <v>104</v>
      </c>
      <c r="E15" s="120" t="s">
        <v>105</v>
      </c>
      <c r="F15" s="362" t="s">
        <v>45</v>
      </c>
      <c r="G15" s="121" t="s">
        <v>83</v>
      </c>
      <c r="H15" s="120" t="s">
        <v>105</v>
      </c>
    </row>
    <row r="16" spans="1:8" ht="15.75">
      <c r="A16" s="58" t="str">
        <f>inputPrYr!B17</f>
        <v>General</v>
      </c>
      <c r="B16" s="186">
        <f>IF(general!$C$115&lt;&gt;0,general!$C$115,"  ")</f>
        <v>166809</v>
      </c>
      <c r="C16" s="48">
        <f>IF(inputPrYr!D64&gt;0,inputPrYr!D64,"  ")</f>
        <v>51.677</v>
      </c>
      <c r="D16" s="186">
        <f>IF(general!$D$115&lt;&gt;0,general!$D$115,"  ")</f>
        <v>122143</v>
      </c>
      <c r="E16" s="48">
        <f>IF(inputOth!D21&gt;0,inputOth!D21,"  ")</f>
        <v>54.15</v>
      </c>
      <c r="F16" s="186">
        <f>IF(general!$E$115&lt;&gt;0,general!$E$115,"  ")</f>
        <v>215942</v>
      </c>
      <c r="G16" s="186">
        <f>IF(general!$E$122&lt;&gt;0,general!$E$122,"  ")</f>
        <v>82874</v>
      </c>
      <c r="H16" s="48">
        <f>IF(general!E122&gt;0,ROUND(G16/$F$48*1000,3),"  ")</f>
        <v>53.442</v>
      </c>
    </row>
    <row r="17" spans="1:8" ht="15.75">
      <c r="A17" s="58" t="str">
        <f>IF(inputPrYr!$B18&gt;"  ",(inputPrYr!$B18),"  ")</f>
        <v>Bond &amp; Interest</v>
      </c>
      <c r="B17" s="186">
        <f>IF('Bond &amp; int'!C31&lt;&gt;0,'Bond &amp; int'!C31,"  ")</f>
        <v>51186</v>
      </c>
      <c r="C17" s="48" t="str">
        <f>IF(inputPrYr!D65&gt;0,inputPrYr!D65,"  ")</f>
        <v>  </v>
      </c>
      <c r="D17" s="186">
        <f>IF('Bond &amp; int'!D31&lt;&gt;0,'Bond &amp; int'!D31,"  ")</f>
        <v>51186</v>
      </c>
      <c r="E17" s="48" t="str">
        <f>IF(inputOth!D22&gt;0,inputOth!D22,"  ")</f>
        <v>  </v>
      </c>
      <c r="F17" s="186">
        <f>IF('Bond &amp; int'!E31&lt;&gt;0,'Bond &amp; int'!E31,"  ")</f>
        <v>51186</v>
      </c>
      <c r="G17" s="186" t="str">
        <f>IF('Bond &amp; int'!E38&lt;&gt;0,'Bond &amp; int'!E38," ")</f>
        <v> </v>
      </c>
      <c r="H17" s="48" t="str">
        <f>IF('Bond &amp; int'!E38&gt;0,ROUND(G17/$F$48*1000,3)," ")</f>
        <v> </v>
      </c>
    </row>
    <row r="18" spans="1:8" ht="15.75">
      <c r="A18" s="58" t="str">
        <f>IF(inputPrYr!$B20&gt;"  ",(inputPrYr!$B20),"  ")</f>
        <v>  </v>
      </c>
      <c r="B18" s="186" t="str">
        <f>IF('Bond &amp; int'!C67&lt;&gt;0,'Bond &amp; int'!C67,"  ")</f>
        <v>  </v>
      </c>
      <c r="C18" s="48" t="str">
        <f>IF(inputPrYr!D66&gt;0,inputPrYr!D66,"  ")</f>
        <v>  </v>
      </c>
      <c r="D18" s="186" t="str">
        <f>IF('Bond &amp; int'!D67&lt;&gt;0,'Bond &amp; int'!D67,"  ")</f>
        <v>  </v>
      </c>
      <c r="E18" s="48" t="str">
        <f>IF(inputOth!D23&gt;0,inputOth!D23,"  ")</f>
        <v>  </v>
      </c>
      <c r="F18" s="186" t="str">
        <f>IF('Bond &amp; int'!E67&lt;&gt;0,'Bond &amp; int'!E67,"  ")</f>
        <v>  </v>
      </c>
      <c r="G18" s="186" t="str">
        <f>IF('Bond &amp; int'!E74&lt;&gt;0,'Bond &amp; int'!E74," ")</f>
        <v> </v>
      </c>
      <c r="H18" s="48" t="str">
        <f>IF('Bond &amp; int'!E74&gt;0,ROUND(G18/$F$48*1000,3)," ")</f>
        <v> </v>
      </c>
    </row>
    <row r="19" spans="1:8" ht="15.75">
      <c r="A19" s="58" t="str">
        <f>IF(inputPrYr!$B21&gt;"  ",(inputPrYr!$B21),"  ")</f>
        <v>  </v>
      </c>
      <c r="B19" s="186"/>
      <c r="C19" s="48"/>
      <c r="D19" s="186"/>
      <c r="E19" s="48"/>
      <c r="F19" s="186"/>
      <c r="G19" s="186"/>
      <c r="H19" s="48"/>
    </row>
    <row r="20" spans="1:8" ht="15.75">
      <c r="A20" s="58" t="str">
        <f>IF(inputPrYr!$B22&gt;"  ",(inputPrYr!$B22),"  ")</f>
        <v>  </v>
      </c>
      <c r="B20" s="186"/>
      <c r="C20" s="48"/>
      <c r="D20" s="186"/>
      <c r="E20" s="48"/>
      <c r="F20" s="186"/>
      <c r="G20" s="186"/>
      <c r="H20" s="48"/>
    </row>
    <row r="21" spans="1:8" ht="15.75">
      <c r="A21" s="58" t="str">
        <f>IF(inputPrYr!$B23&gt;"  ",(inputPrYr!$B23),"  ")</f>
        <v>  </v>
      </c>
      <c r="B21" s="186"/>
      <c r="C21" s="48"/>
      <c r="D21" s="186"/>
      <c r="E21" s="48"/>
      <c r="F21" s="186"/>
      <c r="G21" s="186"/>
      <c r="H21" s="48"/>
    </row>
    <row r="22" spans="1:8" ht="15.75">
      <c r="A22" s="58" t="str">
        <f>IF(inputPrYr!$B24&gt;"  ",(inputPrYr!$B24),"  ")</f>
        <v>  </v>
      </c>
      <c r="B22" s="186"/>
      <c r="C22" s="48"/>
      <c r="D22" s="186"/>
      <c r="E22" s="48"/>
      <c r="F22" s="186"/>
      <c r="G22" s="186"/>
      <c r="H22" s="48"/>
    </row>
    <row r="23" spans="1:8" ht="15.75">
      <c r="A23" s="58" t="str">
        <f>IF(inputPrYr!$B25&gt;"  ",(inputPrYr!$B25),"  ")</f>
        <v>  </v>
      </c>
      <c r="B23" s="186"/>
      <c r="C23" s="48"/>
      <c r="D23" s="186"/>
      <c r="E23" s="48"/>
      <c r="F23" s="186"/>
      <c r="G23" s="186"/>
      <c r="H23" s="48"/>
    </row>
    <row r="24" spans="1:8" ht="15.75">
      <c r="A24" s="58" t="str">
        <f>IF(inputPrYr!$B26&gt;"  ",(inputPrYr!$B26),"  ")</f>
        <v>  </v>
      </c>
      <c r="B24" s="186"/>
      <c r="C24" s="48"/>
      <c r="D24" s="186"/>
      <c r="E24" s="48"/>
      <c r="F24" s="186"/>
      <c r="G24" s="186"/>
      <c r="H24" s="48"/>
    </row>
    <row r="25" spans="1:8" ht="15.75">
      <c r="A25" s="58" t="str">
        <f>IF(inputPrYr!$B27&gt;"  ",(inputPrYr!$B27),"  ")</f>
        <v>  </v>
      </c>
      <c r="B25" s="186"/>
      <c r="C25" s="48"/>
      <c r="D25" s="186"/>
      <c r="E25" s="48"/>
      <c r="F25" s="186"/>
      <c r="G25" s="186"/>
      <c r="H25" s="48"/>
    </row>
    <row r="26" spans="1:8" ht="15.75">
      <c r="A26" s="58" t="str">
        <f>IF(inputPrYr!$B28&gt;"  ",(inputPrYr!$B28),"  ")</f>
        <v>  </v>
      </c>
      <c r="B26" s="186"/>
      <c r="C26" s="48"/>
      <c r="D26" s="186"/>
      <c r="E26" s="48"/>
      <c r="F26" s="186"/>
      <c r="G26" s="186"/>
      <c r="H26" s="48"/>
    </row>
    <row r="27" spans="1:8" ht="15.75">
      <c r="A27" s="58" t="str">
        <f>IF(inputPrYr!$B29&gt;"  ",(inputPrYr!$B29),"  ")</f>
        <v>  </v>
      </c>
      <c r="B27" s="186"/>
      <c r="C27" s="48"/>
      <c r="D27" s="186"/>
      <c r="E27" s="48"/>
      <c r="F27" s="186"/>
      <c r="G27" s="186"/>
      <c r="H27" s="48"/>
    </row>
    <row r="28" spans="1:8" ht="15.75">
      <c r="A28" s="58" t="str">
        <f>IF(inputPrYr!$B30&gt;"  ",(inputPrYr!$B30),"  ")</f>
        <v>  </v>
      </c>
      <c r="B28" s="186"/>
      <c r="C28" s="48"/>
      <c r="D28" s="186"/>
      <c r="E28" s="48"/>
      <c r="F28" s="186"/>
      <c r="G28" s="186"/>
      <c r="H28" s="48"/>
    </row>
    <row r="29" spans="1:8" ht="15.75">
      <c r="A29" s="58" t="str">
        <f>IF(inputPrYr!$B34&gt;"  ",(inputPrYr!$B34),"  ")</f>
        <v>Special Highway</v>
      </c>
      <c r="B29" s="186">
        <f>IF(' Spec Hwy &amp; Water'!$C$28&gt;0,' Spec Hwy &amp; Water'!$C$28,"  ")</f>
        <v>7656</v>
      </c>
      <c r="C29" s="36"/>
      <c r="D29" s="186">
        <f>IF(' Spec Hwy &amp; Water'!$D$28&gt;0,' Spec Hwy &amp; Water'!$D$28,"  ")</f>
        <v>495</v>
      </c>
      <c r="E29" s="36"/>
      <c r="F29" s="186">
        <f>IF(' Spec Hwy &amp; Water'!$E$28&gt;0,' Spec Hwy &amp; Water'!$E$28,"  ")</f>
        <v>84066</v>
      </c>
      <c r="G29" s="186"/>
      <c r="H29" s="36"/>
    </row>
    <row r="30" spans="1:8" ht="15.75">
      <c r="A30" s="58" t="str">
        <f>IF(inputPrYr!$B35&gt;"  ",(inputPrYr!$B35),"  ")</f>
        <v>Water Utility</v>
      </c>
      <c r="B30" s="186">
        <f>IF(' Spec Hwy &amp; Water'!$C$59&gt;0,' Spec Hwy &amp; Water'!$C$59,"  ")</f>
        <v>100682</v>
      </c>
      <c r="C30" s="36"/>
      <c r="D30" s="186">
        <f>IF(' Spec Hwy &amp; Water'!$D$59&gt;0,' Spec Hwy &amp; Water'!$D$59,"  ")</f>
        <v>97984</v>
      </c>
      <c r="E30" s="36"/>
      <c r="F30" s="186">
        <f>IF(' Spec Hwy &amp; Water'!$E$59&gt;0,' Spec Hwy &amp; Water'!$E$59,"  ")</f>
        <v>123158</v>
      </c>
      <c r="G30" s="186"/>
      <c r="H30" s="36"/>
    </row>
    <row r="31" spans="1:8" ht="15.75">
      <c r="A31" s="58" t="str">
        <f>IF(inputPrYr!$B36&gt;"  ",(inputPrYr!$B36),"  ")</f>
        <v>Electric Utility</v>
      </c>
      <c r="B31" s="186">
        <f>IF('Elect &amp; Sewer'!$C$30&gt;0,'Elect &amp; Sewer'!$C$30,"  ")</f>
        <v>308318</v>
      </c>
      <c r="C31" s="36"/>
      <c r="D31" s="186">
        <f>IF('Elect &amp; Sewer'!$D$30&gt;0,'Elect &amp; Sewer'!$D$30,"  ")</f>
        <v>327260</v>
      </c>
      <c r="E31" s="36"/>
      <c r="F31" s="186">
        <f>IF('Elect &amp; Sewer'!$E$30&gt;0,'Elect &amp; Sewer'!$E$30,"  ")</f>
        <v>540050</v>
      </c>
      <c r="G31" s="186"/>
      <c r="H31" s="36"/>
    </row>
    <row r="32" spans="1:13" ht="15.75">
      <c r="A32" s="58" t="str">
        <f>IF(inputPrYr!$B37&gt;"  ",(inputPrYr!$B37),"  ")</f>
        <v>Sewer Utility</v>
      </c>
      <c r="B32" s="186">
        <f>IF('Elect &amp; Sewer'!$C$62&gt;0,'Elect &amp; Sewer'!$C$62,"  ")</f>
        <v>77495</v>
      </c>
      <c r="C32" s="36"/>
      <c r="D32" s="186">
        <f>IF('Elect &amp; Sewer'!$D$62&gt;0,'Elect &amp; Sewer'!$D$62,"  ")</f>
        <v>85903</v>
      </c>
      <c r="E32" s="36"/>
      <c r="F32" s="186">
        <f>IF('Elect &amp; Sewer'!$E$62&gt;0,'Elect &amp; Sewer'!$E$62,"  ")</f>
        <v>91965</v>
      </c>
      <c r="G32" s="186"/>
      <c r="H32" s="36"/>
      <c r="J32" s="522" t="str">
        <f>CONCATENATE("Estimated Value Of One Mill For ",H1,"")</f>
        <v>Estimated Value Of One Mill For 2012</v>
      </c>
      <c r="K32" s="523"/>
      <c r="L32" s="523"/>
      <c r="M32" s="524"/>
    </row>
    <row r="33" spans="1:13" ht="15.75">
      <c r="A33" s="58" t="str">
        <f>IF(inputPrYr!$B38&gt;"  ",(inputPrYr!$B38),"  ")</f>
        <v>Trash Utility</v>
      </c>
      <c r="B33" s="186">
        <f>IF(trash!$C$28&gt;0,trash!$C$28,"  ")</f>
        <v>15150</v>
      </c>
      <c r="C33" s="36"/>
      <c r="D33" s="186">
        <f>IF(trash!$D$28&gt;0,trash!$D$28,"  ")</f>
        <v>15042</v>
      </c>
      <c r="E33" s="36"/>
      <c r="F33" s="186">
        <f>IF(trash!$E$28&gt;0,trash!$E$28,"  ")</f>
        <v>21088</v>
      </c>
      <c r="G33" s="186"/>
      <c r="H33" s="36"/>
      <c r="J33" s="403"/>
      <c r="K33" s="404"/>
      <c r="L33" s="404"/>
      <c r="M33" s="405"/>
    </row>
    <row r="34" spans="1:13" ht="15.75">
      <c r="A34" s="58" t="str">
        <f>IF(inputPrYr!$B39&gt;"  ",(inputPrYr!$B39),"  ")</f>
        <v>  </v>
      </c>
      <c r="B34" s="186" t="str">
        <f>IF(trash!$C$59&gt;0,trash!$C$59,"  ")</f>
        <v>  </v>
      </c>
      <c r="C34" s="36"/>
      <c r="D34" s="186" t="str">
        <f>IF(trash!$D$59&gt;0,trash!$D$59,"  ")</f>
        <v>  </v>
      </c>
      <c r="E34" s="36"/>
      <c r="F34" s="186" t="str">
        <f>IF(trash!$E$59&gt;0,trash!$E$59,"  ")</f>
        <v>  </v>
      </c>
      <c r="G34" s="186"/>
      <c r="H34" s="36"/>
      <c r="J34" s="406" t="s">
        <v>370</v>
      </c>
      <c r="K34" s="407"/>
      <c r="L34" s="407"/>
      <c r="M34" s="408">
        <f>ROUND(F48/1000,0)</f>
        <v>1551</v>
      </c>
    </row>
    <row r="35" spans="1:8" ht="15.75">
      <c r="A35" s="58" t="str">
        <f>IF(inputPrYr!$B40&gt;"  ",(inputPrYr!$B40),"  ")</f>
        <v>  </v>
      </c>
      <c r="B35" s="186"/>
      <c r="C35" s="36"/>
      <c r="D35" s="186"/>
      <c r="E35" s="36"/>
      <c r="F35" s="186"/>
      <c r="G35" s="186"/>
      <c r="H35" s="36"/>
    </row>
    <row r="36" spans="1:13" ht="15.75">
      <c r="A36" s="58" t="str">
        <f>IF(inputPrYr!$B41&gt;"  ",(inputPrYr!$B41),"  ")</f>
        <v>  </v>
      </c>
      <c r="B36" s="186"/>
      <c r="C36" s="36"/>
      <c r="D36" s="186"/>
      <c r="E36" s="36"/>
      <c r="F36" s="186"/>
      <c r="G36" s="186"/>
      <c r="H36" s="36"/>
      <c r="J36" s="522" t="str">
        <f>CONCATENATE("Want The Mill Rate The Same As For ",H1-1,"?")</f>
        <v>Want The Mill Rate The Same As For 2011?</v>
      </c>
      <c r="K36" s="523"/>
      <c r="L36" s="523"/>
      <c r="M36" s="524"/>
    </row>
    <row r="37" spans="1:13" ht="15.75">
      <c r="A37" s="58" t="str">
        <f>IF(inputPrYr!$B44&gt;"  ",(inputPrYr!$B44),"  ")</f>
        <v>  </v>
      </c>
      <c r="B37" s="186"/>
      <c r="C37" s="36"/>
      <c r="D37" s="186"/>
      <c r="E37" s="36"/>
      <c r="F37" s="186"/>
      <c r="G37" s="186"/>
      <c r="H37" s="36"/>
      <c r="J37" s="410"/>
      <c r="K37" s="404"/>
      <c r="L37" s="404"/>
      <c r="M37" s="411"/>
    </row>
    <row r="38" spans="1:13" ht="15.75">
      <c r="A38" s="58" t="str">
        <f>IF(inputPrYr!$B45&gt;"  ",(inputPrYr!$B45),"  ")</f>
        <v>  </v>
      </c>
      <c r="B38" s="186"/>
      <c r="C38" s="36"/>
      <c r="D38" s="186"/>
      <c r="E38" s="36"/>
      <c r="F38" s="186"/>
      <c r="G38" s="186"/>
      <c r="H38" s="36"/>
      <c r="J38" s="410" t="str">
        <f>CONCATENATE("",H1-1," Mill Rate Was:")</f>
        <v>2011 Mill Rate Was:</v>
      </c>
      <c r="K38" s="404"/>
      <c r="L38" s="404"/>
      <c r="M38" s="412">
        <f>E43</f>
        <v>54.15</v>
      </c>
    </row>
    <row r="39" spans="1:13" ht="15.75">
      <c r="A39" s="58" t="str">
        <f>IF(inputPrYr!$B46&gt;"  ",(inputPrYr!$B46),"  ")</f>
        <v>  </v>
      </c>
      <c r="B39" s="186"/>
      <c r="C39" s="36"/>
      <c r="D39" s="186"/>
      <c r="E39" s="36"/>
      <c r="F39" s="186"/>
      <c r="G39" s="186"/>
      <c r="H39" s="36"/>
      <c r="J39" s="413" t="str">
        <f>CONCATENATE("",H1," Tax Levy Fund Expenditures Must Be")</f>
        <v>2012 Tax Levy Fund Expenditures Must Be</v>
      </c>
      <c r="K39" s="414"/>
      <c r="L39" s="414"/>
      <c r="M39" s="411"/>
    </row>
    <row r="40" spans="1:13" ht="15.75">
      <c r="A40" s="58" t="str">
        <f>IF(inputPrYr!$B47&gt;"  ",(inputPrYr!$B47),"  ")</f>
        <v>  </v>
      </c>
      <c r="B40" s="186"/>
      <c r="C40" s="36"/>
      <c r="D40" s="186"/>
      <c r="E40" s="36"/>
      <c r="F40" s="186"/>
      <c r="G40" s="186"/>
      <c r="H40" s="36"/>
      <c r="J40" s="413" t="str">
        <f>IF(M40&gt;0,"Increased By:","")</f>
        <v>Increased By:</v>
      </c>
      <c r="K40" s="414"/>
      <c r="L40" s="414"/>
      <c r="M40" s="437">
        <f>IF(M47&lt;0,M47*-1,0)</f>
        <v>1097</v>
      </c>
    </row>
    <row r="41" spans="1:13" ht="15.75">
      <c r="A41" s="58" t="str">
        <f>IF(inputPrYr!$B51&gt;" ",(NonBudA!$A3),"  ")</f>
        <v>Non-Budgeted Funds-A</v>
      </c>
      <c r="B41" s="186">
        <f>IF(NonBudA!$K$28&gt;0,NonBudA!$K$28,"  ")</f>
        <v>12120</v>
      </c>
      <c r="C41" s="36"/>
      <c r="D41" s="186"/>
      <c r="E41" s="36"/>
      <c r="F41" s="186"/>
      <c r="G41" s="186"/>
      <c r="H41" s="36"/>
      <c r="J41" s="438">
        <f>IF(M41&lt;0,"Reduced By:","")</f>
      </c>
      <c r="K41" s="439"/>
      <c r="L41" s="439"/>
      <c r="M41" s="440">
        <f>IF(M47&gt;0,M47*-1,0)</f>
        <v>0</v>
      </c>
    </row>
    <row r="42" spans="1:13" ht="15.75">
      <c r="A42" s="58" t="str">
        <f>IF(inputPrYr!$B57&gt;" ",(#REF!),"  ")</f>
        <v>  </v>
      </c>
      <c r="B42" s="388"/>
      <c r="C42" s="124"/>
      <c r="D42" s="388"/>
      <c r="E42" s="124"/>
      <c r="F42" s="388"/>
      <c r="G42" s="388"/>
      <c r="H42" s="124"/>
      <c r="J42" s="417"/>
      <c r="K42" s="417"/>
      <c r="L42" s="417"/>
      <c r="M42" s="417"/>
    </row>
    <row r="43" spans="1:13" ht="15.75">
      <c r="A43" s="115" t="s">
        <v>375</v>
      </c>
      <c r="B43" s="46">
        <f>SUM(B16:B42)</f>
        <v>739416</v>
      </c>
      <c r="C43" s="354">
        <f>SUM(C16:C27)</f>
        <v>51.677</v>
      </c>
      <c r="D43" s="46">
        <f>SUM(D16:D42)</f>
        <v>700013</v>
      </c>
      <c r="E43" s="354">
        <f>SUM(E16:E27)</f>
        <v>54.15</v>
      </c>
      <c r="F43" s="46">
        <f>SUM(F16:F42)</f>
        <v>1127455</v>
      </c>
      <c r="G43" s="46">
        <f>SUM(G16:G42)</f>
        <v>82874</v>
      </c>
      <c r="H43" s="61">
        <f>SUM(H16:H27)</f>
        <v>53.442</v>
      </c>
      <c r="J43" s="522" t="str">
        <f>CONCATENATE("Impact On Keeping The Same Mill Rate As For ",H1-1,"")</f>
        <v>Impact On Keeping The Same Mill Rate As For 2011</v>
      </c>
      <c r="K43" s="527"/>
      <c r="L43" s="527"/>
      <c r="M43" s="528"/>
    </row>
    <row r="44" spans="1:13" ht="15.75">
      <c r="A44" s="17" t="s">
        <v>106</v>
      </c>
      <c r="B44" s="387">
        <f>transfers!C25</f>
        <v>31031</v>
      </c>
      <c r="C44" s="427"/>
      <c r="D44" s="387">
        <f>transfers!D25</f>
        <v>40682</v>
      </c>
      <c r="E44" s="427"/>
      <c r="F44" s="387">
        <f>transfers!E25</f>
        <v>40682</v>
      </c>
      <c r="G44" s="47"/>
      <c r="H44" s="40"/>
      <c r="I44" s="401"/>
      <c r="J44" s="410"/>
      <c r="K44" s="404"/>
      <c r="L44" s="404"/>
      <c r="M44" s="411"/>
    </row>
    <row r="45" spans="1:13" ht="16.5" thickBot="1">
      <c r="A45" s="17" t="s">
        <v>107</v>
      </c>
      <c r="B45" s="351">
        <f>B43-B44</f>
        <v>708385</v>
      </c>
      <c r="C45" s="10"/>
      <c r="D45" s="351">
        <f>D43-D44</f>
        <v>659331</v>
      </c>
      <c r="E45" s="10"/>
      <c r="F45" s="351">
        <f>F43-F44</f>
        <v>1086773</v>
      </c>
      <c r="G45" s="10"/>
      <c r="H45" s="10"/>
      <c r="J45" s="410" t="str">
        <f>CONCATENATE("",H1," Ad Valorem Tax Revenue:")</f>
        <v>2012 Ad Valorem Tax Revenue:</v>
      </c>
      <c r="K45" s="404"/>
      <c r="L45" s="404"/>
      <c r="M45" s="405">
        <f>G43</f>
        <v>82874</v>
      </c>
    </row>
    <row r="46" spans="1:13" ht="16.5" thickTop="1">
      <c r="A46" s="17" t="s">
        <v>108</v>
      </c>
      <c r="B46" s="387">
        <f>inputPrYr!E79</f>
        <v>79195</v>
      </c>
      <c r="C46" s="144"/>
      <c r="D46" s="387">
        <f>inputPrYr!E31</f>
        <v>81466</v>
      </c>
      <c r="E46" s="144"/>
      <c r="F46" s="289" t="s">
        <v>71</v>
      </c>
      <c r="G46" s="10"/>
      <c r="H46" s="10"/>
      <c r="J46" s="410" t="str">
        <f>CONCATENATE("",H1-1," Ad Valorem Tax Revenue:")</f>
        <v>2011 Ad Valorem Tax Revenue:</v>
      </c>
      <c r="K46" s="404"/>
      <c r="L46" s="404"/>
      <c r="M46" s="418">
        <f>ROUND(F48*M38/1000,0)</f>
        <v>83971</v>
      </c>
    </row>
    <row r="47" spans="1:13" ht="15.75">
      <c r="A47" s="17" t="s">
        <v>109</v>
      </c>
      <c r="B47" s="388"/>
      <c r="C47" s="10"/>
      <c r="D47" s="388"/>
      <c r="E47" s="163"/>
      <c r="F47" s="124"/>
      <c r="G47" s="10"/>
      <c r="H47" s="10"/>
      <c r="J47" s="415" t="s">
        <v>371</v>
      </c>
      <c r="K47" s="416"/>
      <c r="L47" s="416"/>
      <c r="M47" s="408">
        <f>SUM(M45-M46)</f>
        <v>-1097</v>
      </c>
    </row>
    <row r="48" spans="1:13" ht="15.75">
      <c r="A48" s="17" t="s">
        <v>110</v>
      </c>
      <c r="B48" s="387">
        <f>inputPrYr!E80</f>
        <v>1532497</v>
      </c>
      <c r="C48" s="49"/>
      <c r="D48" s="387">
        <f>inputOth!E36</f>
        <v>1504439</v>
      </c>
      <c r="E48" s="49"/>
      <c r="F48" s="387">
        <f>inputOth!E7</f>
        <v>1550719</v>
      </c>
      <c r="G48" s="10"/>
      <c r="H48" s="10"/>
      <c r="J48" s="409"/>
      <c r="K48" s="409"/>
      <c r="L48" s="409"/>
      <c r="M48" s="417"/>
    </row>
    <row r="49" spans="1:13" ht="15.75">
      <c r="A49" s="17" t="s">
        <v>111</v>
      </c>
      <c r="B49" s="10"/>
      <c r="C49" s="10"/>
      <c r="D49" s="10"/>
      <c r="E49" s="10"/>
      <c r="F49" s="10"/>
      <c r="G49" s="10"/>
      <c r="H49" s="10"/>
      <c r="J49" s="522" t="s">
        <v>372</v>
      </c>
      <c r="K49" s="525"/>
      <c r="L49" s="525"/>
      <c r="M49" s="526"/>
    </row>
    <row r="50" spans="1:13" ht="15.75">
      <c r="A50" s="17" t="s">
        <v>112</v>
      </c>
      <c r="B50" s="290">
        <f>$H$1-3</f>
        <v>2009</v>
      </c>
      <c r="C50" s="10"/>
      <c r="D50" s="290">
        <f>$H$1-2</f>
        <v>2010</v>
      </c>
      <c r="E50" s="10"/>
      <c r="F50" s="290">
        <f>$H$1-1</f>
        <v>2011</v>
      </c>
      <c r="G50" s="10"/>
      <c r="H50" s="10"/>
      <c r="J50" s="410"/>
      <c r="K50" s="404"/>
      <c r="L50" s="404"/>
      <c r="M50" s="411"/>
    </row>
    <row r="51" spans="1:13" ht="15.75">
      <c r="A51" s="17" t="s">
        <v>113</v>
      </c>
      <c r="B51" s="176">
        <f>inputPrYr!D83</f>
        <v>0</v>
      </c>
      <c r="C51" s="10"/>
      <c r="D51" s="176">
        <f>inputPrYr!E83</f>
        <v>0</v>
      </c>
      <c r="E51" s="10"/>
      <c r="F51" s="176">
        <f>debt!F20</f>
        <v>0</v>
      </c>
      <c r="G51" s="10"/>
      <c r="H51" s="10"/>
      <c r="J51" s="410" t="str">
        <f>CONCATENATE("Current ",H1," Estimated Mill Rate:")</f>
        <v>Current 2012 Estimated Mill Rate:</v>
      </c>
      <c r="K51" s="404"/>
      <c r="L51" s="404"/>
      <c r="M51" s="412">
        <f>H45</f>
        <v>0</v>
      </c>
    </row>
    <row r="52" spans="1:13" ht="15.75">
      <c r="A52" s="17" t="s">
        <v>114</v>
      </c>
      <c r="B52" s="176">
        <f>inputPrYr!D84</f>
        <v>0</v>
      </c>
      <c r="C52" s="10"/>
      <c r="D52" s="176">
        <f>inputPrYr!E84</f>
        <v>0</v>
      </c>
      <c r="E52" s="10"/>
      <c r="F52" s="176">
        <f>debt!F32</f>
        <v>0</v>
      </c>
      <c r="G52" s="10"/>
      <c r="H52" s="10"/>
      <c r="J52" s="410" t="str">
        <f>CONCATENATE("Desired ",H1," Mill Rate:")</f>
        <v>Desired 2012 Mill Rate:</v>
      </c>
      <c r="K52" s="404"/>
      <c r="L52" s="404"/>
      <c r="M52" s="402">
        <v>0</v>
      </c>
    </row>
    <row r="53" spans="1:13" ht="15.75">
      <c r="A53" s="10" t="s">
        <v>133</v>
      </c>
      <c r="B53" s="176">
        <f>inputPrYr!D85</f>
        <v>473763</v>
      </c>
      <c r="C53" s="10"/>
      <c r="D53" s="176">
        <f>inputPrYr!E85</f>
        <v>437027</v>
      </c>
      <c r="E53" s="10"/>
      <c r="F53" s="176">
        <f>debt!F42</f>
        <v>399140</v>
      </c>
      <c r="G53" s="10"/>
      <c r="H53" s="10"/>
      <c r="J53" s="410" t="s">
        <v>373</v>
      </c>
      <c r="K53" s="404"/>
      <c r="L53" s="404"/>
      <c r="M53" s="418">
        <f>ROUND(F48*M52/1000,0)</f>
        <v>0</v>
      </c>
    </row>
    <row r="54" spans="1:13" ht="15.75">
      <c r="A54" s="17" t="s">
        <v>209</v>
      </c>
      <c r="B54" s="176">
        <f>inputPrYr!D86</f>
        <v>0</v>
      </c>
      <c r="C54" s="10"/>
      <c r="D54" s="176">
        <f>inputPrYr!E86</f>
        <v>0</v>
      </c>
      <c r="E54" s="10"/>
      <c r="F54" s="176">
        <f>lpform!F28</f>
        <v>0</v>
      </c>
      <c r="G54" s="10"/>
      <c r="H54" s="10"/>
      <c r="J54" s="415" t="str">
        <f>CONCATENATE("",H1," Tax Levy Fund Exp. Changed By:")</f>
        <v>2012 Tax Levy Fund Exp. Changed By:</v>
      </c>
      <c r="K54" s="416"/>
      <c r="L54" s="416"/>
      <c r="M54" s="408">
        <f>IF(M52=0,0,(M53-G43))</f>
        <v>0</v>
      </c>
    </row>
    <row r="55" spans="1:8" ht="16.5" thickBot="1">
      <c r="A55" s="17" t="s">
        <v>115</v>
      </c>
      <c r="B55" s="420">
        <f>SUM(B51:B54)</f>
        <v>473763</v>
      </c>
      <c r="C55" s="10"/>
      <c r="D55" s="420">
        <f>SUM(D51:D54)</f>
        <v>437027</v>
      </c>
      <c r="E55" s="10"/>
      <c r="F55" s="420">
        <f>SUM(F51:F54)</f>
        <v>399140</v>
      </c>
      <c r="G55" s="10"/>
      <c r="H55" s="10"/>
    </row>
    <row r="56" spans="1:8" ht="16.5" thickTop="1">
      <c r="A56" s="17" t="s">
        <v>116</v>
      </c>
      <c r="B56" s="10"/>
      <c r="C56" s="10"/>
      <c r="D56" s="10"/>
      <c r="E56" s="10"/>
      <c r="F56" s="10"/>
      <c r="G56" s="10"/>
      <c r="H56" s="10"/>
    </row>
    <row r="57" spans="1:8" ht="15.75">
      <c r="A57" s="10"/>
      <c r="B57" s="10"/>
      <c r="C57" s="10"/>
      <c r="D57" s="10"/>
      <c r="E57" s="10"/>
      <c r="F57" s="10"/>
      <c r="G57" s="10"/>
      <c r="H57" s="10"/>
    </row>
    <row r="58" spans="1:8" ht="15.75">
      <c r="A58" s="521"/>
      <c r="B58" s="521"/>
      <c r="C58" s="10"/>
      <c r="D58" s="10"/>
      <c r="E58" s="10"/>
      <c r="F58" s="10"/>
      <c r="G58" s="10"/>
      <c r="H58" s="10"/>
    </row>
    <row r="59" spans="1:8" ht="15.75">
      <c r="A59" s="139" t="s">
        <v>270</v>
      </c>
      <c r="B59" s="358" t="str">
        <f>inputBudSum!B4</f>
        <v>City Clerk</v>
      </c>
      <c r="C59" s="359"/>
      <c r="D59" s="10"/>
      <c r="E59" s="10"/>
      <c r="F59" s="10"/>
      <c r="G59" s="10"/>
      <c r="H59" s="10"/>
    </row>
    <row r="60" spans="1:8" ht="15.75">
      <c r="A60" s="10"/>
      <c r="B60" s="10"/>
      <c r="C60" s="10"/>
      <c r="D60" s="10"/>
      <c r="E60" s="10"/>
      <c r="F60" s="10"/>
      <c r="G60" s="10"/>
      <c r="H60" s="10"/>
    </row>
    <row r="61" spans="1:8" ht="15.75">
      <c r="A61" s="10"/>
      <c r="B61" s="10"/>
      <c r="C61" s="110" t="s">
        <v>91</v>
      </c>
      <c r="D61" s="464">
        <v>13</v>
      </c>
      <c r="E61" s="10"/>
      <c r="F61" s="10"/>
      <c r="G61" s="10"/>
      <c r="H61" s="10"/>
    </row>
  </sheetData>
  <sheetProtection/>
  <mergeCells count="11">
    <mergeCell ref="A58:B58"/>
    <mergeCell ref="J32:M32"/>
    <mergeCell ref="J36:M36"/>
    <mergeCell ref="J49:M49"/>
    <mergeCell ref="J43:M43"/>
    <mergeCell ref="A2:H2"/>
    <mergeCell ref="A5:H5"/>
    <mergeCell ref="A7:H7"/>
    <mergeCell ref="A8:H8"/>
    <mergeCell ref="A4:H4"/>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J1" sqref="J1"/>
    </sheetView>
  </sheetViews>
  <sheetFormatPr defaultColWidth="8.796875" defaultRowHeight="1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A31">
      <selection activeCell="E49" sqref="E49"/>
    </sheetView>
  </sheetViews>
  <sheetFormatPr defaultColWidth="8.8984375" defaultRowHeight="15"/>
  <cols>
    <col min="1" max="1" width="15.796875" style="73" customWidth="1"/>
    <col min="2" max="2" width="20.796875" style="73" customWidth="1"/>
    <col min="3" max="3" width="9.796875" style="73" customWidth="1"/>
    <col min="4" max="4" width="15.09765625" style="73" customWidth="1"/>
    <col min="5" max="5" width="15.796875" style="73" customWidth="1"/>
    <col min="6" max="16384" width="8.8984375" style="73" customWidth="1"/>
  </cols>
  <sheetData>
    <row r="1" spans="1:5" ht="15.75">
      <c r="A1" s="74" t="str">
        <f>inputPrYr!$D$2</f>
        <v>City of LaHarpe</v>
      </c>
      <c r="B1" s="75"/>
      <c r="C1" s="75"/>
      <c r="D1" s="75"/>
      <c r="E1" s="76">
        <f>inputPrYr!C5</f>
        <v>2012</v>
      </c>
    </row>
    <row r="2" spans="1:5" ht="15">
      <c r="A2" s="75"/>
      <c r="B2" s="75"/>
      <c r="C2" s="75"/>
      <c r="D2" s="75"/>
      <c r="E2" s="75"/>
    </row>
    <row r="3" spans="1:5" ht="16.5">
      <c r="A3" s="474" t="s">
        <v>3</v>
      </c>
      <c r="B3" s="475"/>
      <c r="C3" s="475"/>
      <c r="D3" s="475"/>
      <c r="E3" s="475"/>
    </row>
    <row r="4" spans="1:5" ht="15.75">
      <c r="A4" s="23"/>
      <c r="B4" s="23"/>
      <c r="C4" s="23"/>
      <c r="D4" s="23"/>
      <c r="E4" s="23"/>
    </row>
    <row r="5" spans="1:5" ht="15.75">
      <c r="A5" s="23"/>
      <c r="B5" s="23"/>
      <c r="C5" s="23"/>
      <c r="D5" s="23"/>
      <c r="E5" s="23"/>
    </row>
    <row r="6" spans="1:5" ht="15.75">
      <c r="A6" s="26" t="str">
        <f>CONCATENATE("From the County Clerks ",E1," Budget Information:")</f>
        <v>From the County Clerks 2012 Budget Information:</v>
      </c>
      <c r="B6" s="27"/>
      <c r="C6" s="27"/>
      <c r="D6" s="10"/>
      <c r="E6" s="39"/>
    </row>
    <row r="7" spans="1:5" ht="15.75">
      <c r="A7" s="77" t="str">
        <f>CONCATENATE("Total Assessed Valuation for ",E1-1,"")</f>
        <v>Total Assessed Valuation for 2011</v>
      </c>
      <c r="B7" s="66"/>
      <c r="C7" s="66"/>
      <c r="D7" s="66"/>
      <c r="E7" s="38">
        <v>1550719</v>
      </c>
    </row>
    <row r="8" spans="1:5" ht="15.75">
      <c r="A8" s="77" t="str">
        <f>CONCATENATE("New Improvements for ",E1-1,"")</f>
        <v>New Improvements for 2011</v>
      </c>
      <c r="B8" s="66"/>
      <c r="C8" s="66"/>
      <c r="D8" s="66"/>
      <c r="E8" s="78">
        <v>20070</v>
      </c>
    </row>
    <row r="9" spans="1:5" ht="15.75">
      <c r="A9" s="77" t="str">
        <f>CONCATENATE("Personal Property  excluding oil, gas, and mobile homes - ",E1-1,"")</f>
        <v>Personal Property  excluding oil, gas, and mobile homes - 2011</v>
      </c>
      <c r="B9" s="66"/>
      <c r="C9" s="66"/>
      <c r="D9" s="66"/>
      <c r="E9" s="78">
        <v>25244</v>
      </c>
    </row>
    <row r="10" spans="1:5" ht="15.75">
      <c r="A10" s="79" t="s">
        <v>228</v>
      </c>
      <c r="B10" s="66"/>
      <c r="C10" s="66"/>
      <c r="D10" s="66"/>
      <c r="E10" s="58"/>
    </row>
    <row r="11" spans="1:5" ht="15.75">
      <c r="A11" s="77" t="s">
        <v>195</v>
      </c>
      <c r="B11" s="66"/>
      <c r="C11" s="66"/>
      <c r="D11" s="66"/>
      <c r="E11" s="78"/>
    </row>
    <row r="12" spans="1:5" ht="15.75">
      <c r="A12" s="77" t="s">
        <v>196</v>
      </c>
      <c r="B12" s="66"/>
      <c r="C12" s="66"/>
      <c r="D12" s="66"/>
      <c r="E12" s="78"/>
    </row>
    <row r="13" spans="1:5" ht="15.75">
      <c r="A13" s="77" t="s">
        <v>197</v>
      </c>
      <c r="B13" s="66"/>
      <c r="C13" s="66"/>
      <c r="D13" s="66"/>
      <c r="E13" s="78"/>
    </row>
    <row r="14" spans="1:5" ht="15.75">
      <c r="A14" s="77" t="str">
        <f>CONCATENATE("Property that has changed in use for ",E1-1,"")</f>
        <v>Property that has changed in use for 2011</v>
      </c>
      <c r="B14" s="66"/>
      <c r="C14" s="66"/>
      <c r="D14" s="66"/>
      <c r="E14" s="78">
        <v>6273</v>
      </c>
    </row>
    <row r="15" spans="1:5" ht="15.75">
      <c r="A15" s="77" t="str">
        <f>CONCATENATE("Personal Property excluding oil, gas, and mobile homes - ",E1-2,"")</f>
        <v>Personal Property excluding oil, gas, and mobile homes - 2010</v>
      </c>
      <c r="B15" s="66"/>
      <c r="C15" s="66"/>
      <c r="D15" s="66"/>
      <c r="E15" s="78">
        <v>27300</v>
      </c>
    </row>
    <row r="16" spans="1:5" ht="15.75">
      <c r="A16" s="77" t="str">
        <f>CONCATENATE("Gross earnings (intangible) tax estimate for ",E1,"")</f>
        <v>Gross earnings (intangible) tax estimate for 2012</v>
      </c>
      <c r="B16" s="66"/>
      <c r="C16" s="66"/>
      <c r="D16" s="67"/>
      <c r="E16" s="38"/>
    </row>
    <row r="17" spans="1:5" ht="15.75">
      <c r="A17" s="77" t="s">
        <v>229</v>
      </c>
      <c r="B17" s="66"/>
      <c r="C17" s="66"/>
      <c r="D17" s="66"/>
      <c r="E17" s="37">
        <v>109074</v>
      </c>
    </row>
    <row r="18" spans="1:5" ht="15.75">
      <c r="A18" s="51"/>
      <c r="B18" s="49"/>
      <c r="C18" s="49"/>
      <c r="D18" s="49"/>
      <c r="E18" s="53"/>
    </row>
    <row r="19" spans="1:5" ht="15.75">
      <c r="A19" s="51" t="str">
        <f>CONCATENATE("Actual Tax Rates for the ",E1-1," Budget:")</f>
        <v>Actual Tax Rates for the 2011 Budget:</v>
      </c>
      <c r="B19" s="49"/>
      <c r="C19" s="49"/>
      <c r="D19" s="49"/>
      <c r="E19" s="47"/>
    </row>
    <row r="20" spans="1:5" ht="15.75">
      <c r="A20" s="478" t="s">
        <v>68</v>
      </c>
      <c r="B20" s="479"/>
      <c r="C20" s="80"/>
      <c r="D20" s="81" t="s">
        <v>120</v>
      </c>
      <c r="E20" s="47"/>
    </row>
    <row r="21" spans="1:5" ht="15.75">
      <c r="A21" s="43" t="str">
        <f>inputPrYr!B17</f>
        <v>General</v>
      </c>
      <c r="B21" s="44"/>
      <c r="C21" s="49"/>
      <c r="D21" s="82">
        <v>54.15</v>
      </c>
      <c r="E21" s="53"/>
    </row>
    <row r="22" spans="1:5" ht="15.75">
      <c r="A22" s="77" t="str">
        <f>inputPrYr!B18</f>
        <v>Bond &amp; Interest</v>
      </c>
      <c r="B22" s="66"/>
      <c r="C22" s="49"/>
      <c r="D22" s="83">
        <v>0</v>
      </c>
      <c r="E22" s="53"/>
    </row>
    <row r="23" spans="1:5" ht="15.75">
      <c r="A23" s="77">
        <f>inputPrYr!B20</f>
        <v>0</v>
      </c>
      <c r="B23" s="66"/>
      <c r="C23" s="49"/>
      <c r="D23" s="83"/>
      <c r="E23" s="53"/>
    </row>
    <row r="24" spans="1:5" ht="15.75">
      <c r="A24" s="77">
        <f>inputPrYr!B21</f>
        <v>0</v>
      </c>
      <c r="B24" s="66"/>
      <c r="C24" s="49"/>
      <c r="D24" s="83"/>
      <c r="E24" s="53"/>
    </row>
    <row r="25" spans="1:5" ht="15.75">
      <c r="A25" s="77">
        <f>inputPrYr!B22</f>
        <v>0</v>
      </c>
      <c r="B25" s="66"/>
      <c r="C25" s="49"/>
      <c r="D25" s="83"/>
      <c r="E25" s="53"/>
    </row>
    <row r="26" spans="1:5" ht="15.75">
      <c r="A26" s="77">
        <f>inputPrYr!B23</f>
        <v>0</v>
      </c>
      <c r="B26" s="84"/>
      <c r="C26" s="49"/>
      <c r="D26" s="85"/>
      <c r="E26" s="53"/>
    </row>
    <row r="27" spans="1:5" ht="15.75">
      <c r="A27" s="77">
        <f>inputPrYr!B24</f>
        <v>0</v>
      </c>
      <c r="B27" s="84"/>
      <c r="C27" s="49"/>
      <c r="D27" s="85"/>
      <c r="E27" s="53"/>
    </row>
    <row r="28" spans="1:5" ht="15.75">
      <c r="A28" s="77">
        <f>inputPrYr!B25</f>
        <v>0</v>
      </c>
      <c r="B28" s="84"/>
      <c r="C28" s="49"/>
      <c r="D28" s="85"/>
      <c r="E28" s="53"/>
    </row>
    <row r="29" spans="1:5" ht="15.75">
      <c r="A29" s="77">
        <f>inputPrYr!B26</f>
        <v>0</v>
      </c>
      <c r="B29" s="84"/>
      <c r="C29" s="49"/>
      <c r="D29" s="85"/>
      <c r="E29" s="53"/>
    </row>
    <row r="30" spans="1:5" ht="15.75">
      <c r="A30" s="77">
        <f>inputPrYr!B27</f>
        <v>0</v>
      </c>
      <c r="B30" s="84"/>
      <c r="C30" s="49"/>
      <c r="D30" s="85"/>
      <c r="E30" s="53"/>
    </row>
    <row r="31" spans="1:5" ht="15.75">
      <c r="A31" s="77">
        <f>inputPrYr!B28</f>
        <v>0</v>
      </c>
      <c r="B31" s="84"/>
      <c r="C31" s="49"/>
      <c r="D31" s="85"/>
      <c r="E31" s="53"/>
    </row>
    <row r="32" spans="1:5" ht="15.75">
      <c r="A32" s="77">
        <f>inputPrYr!B29</f>
        <v>0</v>
      </c>
      <c r="B32" s="66"/>
      <c r="C32" s="49"/>
      <c r="D32" s="85"/>
      <c r="E32" s="53"/>
    </row>
    <row r="33" spans="1:5" ht="15.75">
      <c r="A33" s="77">
        <f>inputPrYr!B30</f>
        <v>0</v>
      </c>
      <c r="B33" s="44"/>
      <c r="C33" s="49"/>
      <c r="D33" s="85"/>
      <c r="E33" s="53"/>
    </row>
    <row r="34" spans="1:5" ht="15.75">
      <c r="A34" s="80"/>
      <c r="B34" s="44" t="s">
        <v>359</v>
      </c>
      <c r="C34" s="86"/>
      <c r="D34" s="61">
        <f>SUM(D21:D33)</f>
        <v>54.15</v>
      </c>
      <c r="E34" s="80"/>
    </row>
    <row r="35" spans="1:5" ht="15">
      <c r="A35" s="80"/>
      <c r="B35" s="80"/>
      <c r="C35" s="80"/>
      <c r="D35" s="80"/>
      <c r="E35" s="80"/>
    </row>
    <row r="36" spans="1:5" ht="15.75">
      <c r="A36" s="44" t="str">
        <f>CONCATENATE("Final Assessed Valuation from the November 1, ",E1-2," Abstract")</f>
        <v>Final Assessed Valuation from the November 1, 2010 Abstract</v>
      </c>
      <c r="B36" s="87"/>
      <c r="C36" s="87"/>
      <c r="D36" s="87"/>
      <c r="E36" s="37">
        <v>1504439</v>
      </c>
    </row>
    <row r="37" spans="1:5" ht="15">
      <c r="A37" s="80"/>
      <c r="B37" s="80"/>
      <c r="C37" s="80"/>
      <c r="D37" s="80"/>
      <c r="E37" s="80"/>
    </row>
    <row r="38" spans="1:5" ht="15.75">
      <c r="A38" s="56" t="str">
        <f>CONCATENATE("From the County Treasurer's Budget Information - ",E1," Budget Year Estimates:")</f>
        <v>From the County Treasurer's Budget Information - 2012 Budget Year Estimates:</v>
      </c>
      <c r="B38" s="25"/>
      <c r="C38" s="25"/>
      <c r="D38" s="88"/>
      <c r="E38" s="39"/>
    </row>
    <row r="39" spans="1:5" ht="15.75">
      <c r="A39" s="43" t="s">
        <v>360</v>
      </c>
      <c r="B39" s="44"/>
      <c r="C39" s="44"/>
      <c r="D39" s="89"/>
      <c r="E39" s="38">
        <v>19695</v>
      </c>
    </row>
    <row r="40" spans="1:5" ht="15.75">
      <c r="A40" s="77" t="s">
        <v>361</v>
      </c>
      <c r="B40" s="66"/>
      <c r="C40" s="66"/>
      <c r="D40" s="90"/>
      <c r="E40" s="38">
        <v>374</v>
      </c>
    </row>
    <row r="41" spans="1:5" ht="15.75">
      <c r="A41" s="77" t="s">
        <v>230</v>
      </c>
      <c r="B41" s="66"/>
      <c r="C41" s="66"/>
      <c r="D41" s="90"/>
      <c r="E41" s="38">
        <v>164</v>
      </c>
    </row>
    <row r="42" spans="1:5" ht="15.75">
      <c r="A42" s="77" t="s">
        <v>231</v>
      </c>
      <c r="B42" s="66"/>
      <c r="C42" s="66"/>
      <c r="D42" s="90"/>
      <c r="E42" s="38"/>
    </row>
    <row r="43" spans="1:5" ht="15.75">
      <c r="A43" s="77" t="s">
        <v>232</v>
      </c>
      <c r="B43" s="66"/>
      <c r="C43" s="66"/>
      <c r="D43" s="90"/>
      <c r="E43" s="38"/>
    </row>
    <row r="44" spans="1:5" ht="15.75">
      <c r="A44" s="43" t="s">
        <v>233</v>
      </c>
      <c r="B44" s="44"/>
      <c r="C44" s="44"/>
      <c r="D44" s="89"/>
      <c r="E44" s="38"/>
    </row>
    <row r="45" spans="1:5" ht="15.75">
      <c r="A45" s="10" t="s">
        <v>234</v>
      </c>
      <c r="B45" s="10"/>
      <c r="C45" s="10"/>
      <c r="D45" s="10"/>
      <c r="E45" s="10"/>
    </row>
    <row r="46" spans="1:5" ht="15.75">
      <c r="A46" s="12" t="s">
        <v>76</v>
      </c>
      <c r="B46" s="21"/>
      <c r="C46" s="21"/>
      <c r="D46" s="10"/>
      <c r="E46" s="10"/>
    </row>
    <row r="47" spans="1:5" ht="15.75">
      <c r="A47" s="51" t="str">
        <f>CONCATENATE("Actual Delinquency for ",E1-3," Tax (round to three decimal places)")</f>
        <v>Actual Delinquency for 2009 Tax (round to three decimal places)</v>
      </c>
      <c r="B47" s="49"/>
      <c r="C47" s="10"/>
      <c r="D47" s="10"/>
      <c r="E47" s="91">
        <v>2.6</v>
      </c>
    </row>
    <row r="48" spans="1:5" ht="15.75">
      <c r="A48" s="51" t="s">
        <v>274</v>
      </c>
      <c r="B48" s="51"/>
      <c r="C48" s="49"/>
      <c r="D48" s="49"/>
      <c r="E48" s="60">
        <v>0</v>
      </c>
    </row>
    <row r="49" spans="1:5" ht="15.75">
      <c r="A49" s="92" t="s">
        <v>273</v>
      </c>
      <c r="B49" s="92"/>
      <c r="C49" s="93"/>
      <c r="D49" s="93"/>
      <c r="E49" s="94"/>
    </row>
    <row r="50" spans="1:5" ht="15.75">
      <c r="A50" s="10"/>
      <c r="B50" s="10"/>
      <c r="C50" s="10"/>
      <c r="D50" s="10"/>
      <c r="E50" s="10"/>
    </row>
    <row r="51" spans="1:5" ht="16.5">
      <c r="A51" s="95" t="s">
        <v>12</v>
      </c>
      <c r="B51" s="96"/>
      <c r="C51" s="97"/>
      <c r="D51" s="97"/>
      <c r="E51" s="97"/>
    </row>
    <row r="52" spans="1:5" ht="15.75">
      <c r="A52" s="98" t="str">
        <f>CONCATENATE("",E1," State Distribution for Kansas Gas Tax")</f>
        <v>2012 State Distribution for Kansas Gas Tax</v>
      </c>
      <c r="B52" s="99"/>
      <c r="C52" s="99"/>
      <c r="D52" s="100"/>
      <c r="E52" s="37">
        <v>17670</v>
      </c>
    </row>
    <row r="53" spans="1:5" ht="15.75">
      <c r="A53" s="101" t="str">
        <f>CONCATENATE("",E1," County Transfers for Gas***")</f>
        <v>2012 County Transfers for Gas***</v>
      </c>
      <c r="B53" s="102"/>
      <c r="C53" s="102"/>
      <c r="D53" s="103"/>
      <c r="E53" s="37"/>
    </row>
    <row r="54" spans="1:5" ht="15.75">
      <c r="A54" s="101" t="str">
        <f>CONCATENATE("Adjusted ",E1-1," State Distribution for Kansas Gas Tax")</f>
        <v>Adjusted 2011 State Distribution for Kansas Gas Tax</v>
      </c>
      <c r="B54" s="102"/>
      <c r="C54" s="102"/>
      <c r="D54" s="103"/>
      <c r="E54" s="37">
        <v>17580</v>
      </c>
    </row>
    <row r="55" spans="1:5" ht="15.75">
      <c r="A55" s="101" t="str">
        <f>CONCATENATE("Adjusted ",E1-1," County Transfers for Gas***")</f>
        <v>Adjusted 2011 County Transfers for Gas***</v>
      </c>
      <c r="B55" s="102"/>
      <c r="C55" s="102"/>
      <c r="D55" s="103"/>
      <c r="E55" s="37"/>
    </row>
    <row r="56" spans="1:5" ht="15">
      <c r="A56" s="480" t="s">
        <v>0</v>
      </c>
      <c r="B56" s="481"/>
      <c r="C56" s="481"/>
      <c r="D56" s="481"/>
      <c r="E56" s="481"/>
    </row>
    <row r="57" spans="1:5" ht="15">
      <c r="A57" s="104" t="s">
        <v>1</v>
      </c>
      <c r="B57" s="104"/>
      <c r="C57" s="104"/>
      <c r="D57" s="104"/>
      <c r="E57" s="104"/>
    </row>
    <row r="58" spans="1:5" ht="15">
      <c r="A58" s="75"/>
      <c r="B58" s="75"/>
      <c r="C58" s="75"/>
      <c r="D58" s="75"/>
      <c r="E58" s="75"/>
    </row>
    <row r="59" spans="1:5" ht="16.5">
      <c r="A59" s="482" t="str">
        <f>CONCATENATE("From the ",E1-2," Budget Certificate Page")</f>
        <v>From the 2010 Budget Certificate Page</v>
      </c>
      <c r="B59" s="483"/>
      <c r="C59" s="75"/>
      <c r="D59" s="75"/>
      <c r="E59" s="75"/>
    </row>
    <row r="60" spans="1:5" ht="15.75">
      <c r="A60" s="105"/>
      <c r="B60" s="105" t="str">
        <f>CONCATENATE("",E1-2," Expenditure Amounts")</f>
        <v>2010 Expenditure Amounts</v>
      </c>
      <c r="C60" s="476" t="str">
        <f>CONCATENATE("Note: If the ",E1-2," budget was amended, then the")</f>
        <v>Note: If the 2010 budget was amended, then the</v>
      </c>
      <c r="D60" s="477"/>
      <c r="E60" s="477"/>
    </row>
    <row r="61" spans="1:5" ht="15.75">
      <c r="A61" s="106" t="s">
        <v>19</v>
      </c>
      <c r="B61" s="106" t="s">
        <v>20</v>
      </c>
      <c r="C61" s="107" t="s">
        <v>21</v>
      </c>
      <c r="D61" s="108"/>
      <c r="E61" s="108"/>
    </row>
    <row r="62" spans="1:5" ht="15.75">
      <c r="A62" s="109" t="str">
        <f>inputPrYr!B17</f>
        <v>General</v>
      </c>
      <c r="B62" s="37">
        <v>212670</v>
      </c>
      <c r="C62" s="107" t="s">
        <v>22</v>
      </c>
      <c r="D62" s="108"/>
      <c r="E62" s="108"/>
    </row>
    <row r="63" spans="1:5" ht="15.75">
      <c r="A63" s="109" t="str">
        <f>inputPrYr!B18</f>
        <v>Bond &amp; Interest</v>
      </c>
      <c r="B63" s="37">
        <v>54237</v>
      </c>
      <c r="C63" s="107"/>
      <c r="D63" s="108"/>
      <c r="E63" s="108"/>
    </row>
    <row r="64" spans="1:5" ht="15.75">
      <c r="A64" s="109">
        <f>inputPrYr!B20</f>
        <v>0</v>
      </c>
      <c r="B64" s="37"/>
      <c r="C64" s="75"/>
      <c r="D64" s="75"/>
      <c r="E64" s="75"/>
    </row>
    <row r="65" spans="1:5" ht="15.75">
      <c r="A65" s="109">
        <f>inputPrYr!B21</f>
        <v>0</v>
      </c>
      <c r="B65" s="37"/>
      <c r="C65" s="75"/>
      <c r="D65" s="75"/>
      <c r="E65" s="75"/>
    </row>
    <row r="66" spans="1:5" ht="15.75">
      <c r="A66" s="109">
        <f>inputPrYr!B22</f>
        <v>0</v>
      </c>
      <c r="B66" s="37"/>
      <c r="C66" s="75"/>
      <c r="D66" s="75"/>
      <c r="E66" s="75"/>
    </row>
    <row r="67" spans="1:5" ht="15.75">
      <c r="A67" s="109">
        <f>inputPrYr!B23</f>
        <v>0</v>
      </c>
      <c r="B67" s="37"/>
      <c r="C67" s="75"/>
      <c r="D67" s="75"/>
      <c r="E67" s="75"/>
    </row>
    <row r="68" spans="1:5" ht="15.75">
      <c r="A68" s="109">
        <f>inputPrYr!B24</f>
        <v>0</v>
      </c>
      <c r="B68" s="37"/>
      <c r="C68" s="75"/>
      <c r="D68" s="75"/>
      <c r="E68" s="75"/>
    </row>
    <row r="69" spans="1:5" ht="15.75">
      <c r="A69" s="109">
        <f>inputPrYr!B25</f>
        <v>0</v>
      </c>
      <c r="B69" s="37"/>
      <c r="C69" s="75"/>
      <c r="D69" s="75"/>
      <c r="E69" s="75"/>
    </row>
    <row r="70" spans="1:5" ht="15.75">
      <c r="A70" s="109">
        <f>inputPrYr!B26</f>
        <v>0</v>
      </c>
      <c r="B70" s="37"/>
      <c r="C70" s="75"/>
      <c r="D70" s="75"/>
      <c r="E70" s="75"/>
    </row>
    <row r="71" spans="1:5" ht="15.75">
      <c r="A71" s="109">
        <f>inputPrYr!B27</f>
        <v>0</v>
      </c>
      <c r="B71" s="37"/>
      <c r="C71" s="75"/>
      <c r="D71" s="75"/>
      <c r="E71" s="75"/>
    </row>
    <row r="72" spans="1:5" ht="15.75">
      <c r="A72" s="109">
        <f>inputPrYr!B28</f>
        <v>0</v>
      </c>
      <c r="B72" s="37"/>
      <c r="C72" s="75"/>
      <c r="D72" s="75"/>
      <c r="E72" s="75"/>
    </row>
    <row r="73" spans="1:5" ht="15.75">
      <c r="A73" s="109">
        <f>inputPrYr!B29</f>
        <v>0</v>
      </c>
      <c r="B73" s="37"/>
      <c r="C73" s="75"/>
      <c r="D73" s="75"/>
      <c r="E73" s="75"/>
    </row>
    <row r="74" spans="1:5" ht="15.75">
      <c r="A74" s="109">
        <f>inputPrYr!B30</f>
        <v>0</v>
      </c>
      <c r="B74" s="37"/>
      <c r="C74" s="75"/>
      <c r="D74" s="75"/>
      <c r="E74" s="75"/>
    </row>
    <row r="75" spans="1:5" ht="15.75">
      <c r="A75" s="109" t="str">
        <f>inputPrYr!B34</f>
        <v>Special Highway</v>
      </c>
      <c r="B75" s="37">
        <v>37067</v>
      </c>
      <c r="C75" s="75"/>
      <c r="D75" s="75"/>
      <c r="E75" s="75"/>
    </row>
    <row r="76" spans="1:5" ht="15.75">
      <c r="A76" s="109" t="str">
        <f>inputPrYr!B35</f>
        <v>Water Utility</v>
      </c>
      <c r="B76" s="37">
        <v>109255</v>
      </c>
      <c r="C76" s="75"/>
      <c r="D76" s="75"/>
      <c r="E76" s="75"/>
    </row>
    <row r="77" spans="1:5" ht="15.75">
      <c r="A77" s="109" t="str">
        <f>inputPrYr!B36</f>
        <v>Electric Utility</v>
      </c>
      <c r="B77" s="37">
        <v>320814</v>
      </c>
      <c r="C77" s="75"/>
      <c r="D77" s="75"/>
      <c r="E77" s="75"/>
    </row>
    <row r="78" spans="1:5" ht="15.75">
      <c r="A78" s="109" t="str">
        <f>inputPrYr!B37</f>
        <v>Sewer Utility</v>
      </c>
      <c r="B78" s="37">
        <v>91371</v>
      </c>
      <c r="C78" s="75"/>
      <c r="D78" s="75"/>
      <c r="E78" s="75"/>
    </row>
    <row r="79" spans="1:5" ht="15.75">
      <c r="A79" s="109" t="str">
        <f>inputPrYr!B38</f>
        <v>Trash Utility</v>
      </c>
      <c r="B79" s="37">
        <v>19270</v>
      </c>
      <c r="C79" s="75"/>
      <c r="D79" s="75"/>
      <c r="E79" s="75"/>
    </row>
    <row r="80" spans="1:5" ht="15.75">
      <c r="A80" s="109">
        <f>inputPrYr!B39</f>
        <v>0</v>
      </c>
      <c r="B80" s="37"/>
      <c r="C80" s="75"/>
      <c r="D80" s="75"/>
      <c r="E80" s="75"/>
    </row>
    <row r="81" spans="1:5" ht="15.75">
      <c r="A81" s="109">
        <f>inputPrYr!B40</f>
        <v>0</v>
      </c>
      <c r="B81" s="37"/>
      <c r="C81" s="75"/>
      <c r="D81" s="75"/>
      <c r="E81" s="75"/>
    </row>
    <row r="82" spans="1:5" ht="15.75">
      <c r="A82" s="109">
        <f>inputPrYr!B41</f>
        <v>0</v>
      </c>
      <c r="B82" s="37"/>
      <c r="C82" s="75"/>
      <c r="D82" s="75"/>
      <c r="E82" s="75"/>
    </row>
    <row r="83" spans="1:5" ht="15.75">
      <c r="A83" s="109">
        <f>inputPrYr!B44</f>
        <v>0</v>
      </c>
      <c r="B83" s="37"/>
      <c r="C83" s="75"/>
      <c r="D83" s="75"/>
      <c r="E83" s="75"/>
    </row>
    <row r="84" spans="1:5" ht="15.75">
      <c r="A84" s="109">
        <f>inputPrYr!B45</f>
        <v>0</v>
      </c>
      <c r="B84" s="37"/>
      <c r="C84" s="75"/>
      <c r="D84" s="75"/>
      <c r="E84" s="75"/>
    </row>
    <row r="85" spans="1:5" ht="15.75">
      <c r="A85" s="109">
        <f>inputPrYr!B46</f>
        <v>0</v>
      </c>
      <c r="B85" s="37"/>
      <c r="C85" s="75"/>
      <c r="D85" s="75"/>
      <c r="E85" s="75"/>
    </row>
    <row r="86" spans="1:5" ht="15.75">
      <c r="A86" s="109">
        <f>inputPrYr!B47</f>
        <v>0</v>
      </c>
      <c r="B86" s="37"/>
      <c r="C86" s="75"/>
      <c r="D86" s="75"/>
      <c r="E86" s="75"/>
    </row>
  </sheetData>
  <sheetProtection sheet="1"/>
  <mergeCells count="5">
    <mergeCell ref="C60:E60"/>
    <mergeCell ref="A20:B20"/>
    <mergeCell ref="A56:E56"/>
    <mergeCell ref="A3:E3"/>
    <mergeCell ref="A59:B59"/>
  </mergeCells>
  <printOptions/>
  <pageMargins left="0.75" right="0.75" top="1" bottom="1" header="0.5" footer="0.5"/>
  <pageSetup blackAndWhite="1" fitToHeight="1" fitToWidth="1" horizontalDpi="600" verticalDpi="600" orientation="portrait" scale="51" r:id="rId1"/>
</worksheet>
</file>

<file path=xl/worksheets/sheet20.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1" sqref="A1"/>
    </sheetView>
  </sheetViews>
  <sheetFormatPr defaultColWidth="8.8984375" defaultRowHeight="15"/>
  <cols>
    <col min="1" max="1" width="10.796875" style="73" customWidth="1"/>
    <col min="2" max="2" width="15.59765625" style="73" customWidth="1"/>
    <col min="3" max="4" width="12.796875" style="73" customWidth="1"/>
    <col min="5" max="5" width="11.796875" style="73" customWidth="1"/>
    <col min="6" max="16384" width="8.8984375" style="73" customWidth="1"/>
  </cols>
  <sheetData>
    <row r="1" spans="1:6" ht="15.75">
      <c r="A1" s="144" t="str">
        <f>inputPrYr!D2</f>
        <v>City of LaHarpe</v>
      </c>
      <c r="B1" s="10"/>
      <c r="C1" s="10"/>
      <c r="D1" s="10"/>
      <c r="E1" s="10"/>
      <c r="F1" s="10">
        <f>inputPrYr!C5</f>
        <v>2012</v>
      </c>
    </row>
    <row r="2" spans="1:6" ht="15.75">
      <c r="A2" s="10"/>
      <c r="B2" s="10"/>
      <c r="C2" s="10"/>
      <c r="D2" s="10"/>
      <c r="E2" s="10"/>
      <c r="F2" s="10"/>
    </row>
    <row r="3" spans="1:6" ht="15.75">
      <c r="A3" s="10"/>
      <c r="B3" s="500" t="str">
        <f>CONCATENATE("",F1," Neighborhood Revitalization Rebate")</f>
        <v>2012 Neighborhood Revitalization Rebate</v>
      </c>
      <c r="C3" s="530"/>
      <c r="D3" s="530"/>
      <c r="E3" s="530"/>
      <c r="F3" s="10"/>
    </row>
    <row r="4" spans="1:6" ht="15.75">
      <c r="A4" s="10"/>
      <c r="B4" s="10"/>
      <c r="C4" s="10"/>
      <c r="D4" s="10"/>
      <c r="E4" s="10"/>
      <c r="F4" s="68"/>
    </row>
    <row r="5" spans="1:6" ht="51.75" customHeight="1">
      <c r="A5" s="10"/>
      <c r="B5" s="292" t="str">
        <f>CONCATENATE("Budgeted Funds          for ",F1,"")</f>
        <v>Budgeted Funds          for 2012</v>
      </c>
      <c r="C5" s="292" t="str">
        <f>CONCATENATE("",F1-1," Ad Valorem before Rebate**")</f>
        <v>2011 Ad Valorem before Rebate**</v>
      </c>
      <c r="D5" s="293" t="str">
        <f>CONCATENATE("",F1-1," Mil Rate before Rebate")</f>
        <v>2011 Mil Rate before Rebate</v>
      </c>
      <c r="E5" s="294" t="str">
        <f>CONCATENATE("Estimate ",F1," NR Rebate")</f>
        <v>Estimate 2012 NR Rebate</v>
      </c>
      <c r="F5" s="68"/>
    </row>
    <row r="6" spans="1:6" ht="18" customHeight="1">
      <c r="A6" s="10"/>
      <c r="B6" s="35" t="s">
        <v>358</v>
      </c>
      <c r="C6" s="295">
        <v>81466</v>
      </c>
      <c r="D6" s="296">
        <f>IF(C6&gt;0,C6/$D$24,"")</f>
        <v>52.53434052204171</v>
      </c>
      <c r="E6" s="176">
        <f aca="true" t="shared" si="0" ref="E6:E17">IF(C6&gt;0,ROUND(D6*$D$28,0),"")</f>
        <v>5730</v>
      </c>
      <c r="F6" s="68"/>
    </row>
    <row r="7" spans="1:6" ht="15.75">
      <c r="A7" s="10"/>
      <c r="B7" s="35" t="str">
        <f>inputPrYr!B18</f>
        <v>Bond &amp; Interest</v>
      </c>
      <c r="C7" s="295"/>
      <c r="D7" s="296">
        <f aca="true" t="shared" si="1" ref="D7:D17">IF(C7&gt;0,C7/$D$24,"")</f>
      </c>
      <c r="E7" s="176">
        <f t="shared" si="0"/>
      </c>
      <c r="F7" s="68"/>
    </row>
    <row r="8" spans="1:6" ht="15.75">
      <c r="A8" s="10"/>
      <c r="B8" s="58" t="str">
        <f>IF((inputPrYr!$B20&gt;"  "),(inputPrYr!$B20),"  ")</f>
        <v>  </v>
      </c>
      <c r="C8" s="295"/>
      <c r="D8" s="296">
        <f t="shared" si="1"/>
      </c>
      <c r="E8" s="176">
        <f t="shared" si="0"/>
      </c>
      <c r="F8" s="68"/>
    </row>
    <row r="9" spans="1:6" ht="15.75">
      <c r="A9" s="10"/>
      <c r="B9" s="58" t="str">
        <f>IF((inputPrYr!$B21&gt;"  "),(inputPrYr!$B21),"  ")</f>
        <v>  </v>
      </c>
      <c r="C9" s="295"/>
      <c r="D9" s="296">
        <f t="shared" si="1"/>
      </c>
      <c r="E9" s="176">
        <f t="shared" si="0"/>
      </c>
      <c r="F9" s="68"/>
    </row>
    <row r="10" spans="1:6" ht="15.75">
      <c r="A10" s="10"/>
      <c r="B10" s="58" t="str">
        <f>IF((inputPrYr!$B22&gt;"  "),(inputPrYr!$B22),"  ")</f>
        <v>  </v>
      </c>
      <c r="C10" s="295"/>
      <c r="D10" s="296">
        <f t="shared" si="1"/>
      </c>
      <c r="E10" s="176">
        <f t="shared" si="0"/>
      </c>
      <c r="F10" s="68"/>
    </row>
    <row r="11" spans="1:6" ht="15.75">
      <c r="A11" s="10"/>
      <c r="B11" s="58" t="str">
        <f>IF((inputPrYr!$B23&gt;"  "),(inputPrYr!$B23),"  ")</f>
        <v>  </v>
      </c>
      <c r="C11" s="295"/>
      <c r="D11" s="296">
        <f t="shared" si="1"/>
      </c>
      <c r="E11" s="176">
        <f t="shared" si="0"/>
      </c>
      <c r="F11" s="68"/>
    </row>
    <row r="12" spans="1:6" ht="15.75">
      <c r="A12" s="10"/>
      <c r="B12" s="58" t="str">
        <f>IF((inputPrYr!$B24&gt;"  "),(inputPrYr!$B24),"  ")</f>
        <v>  </v>
      </c>
      <c r="C12" s="297"/>
      <c r="D12" s="296">
        <f t="shared" si="1"/>
      </c>
      <c r="E12" s="176">
        <f t="shared" si="0"/>
      </c>
      <c r="F12" s="68"/>
    </row>
    <row r="13" spans="1:6" ht="15.75">
      <c r="A13" s="10"/>
      <c r="B13" s="58" t="str">
        <f>IF((inputPrYr!$B25&gt;"  "),(inputPrYr!$B25),"  ")</f>
        <v>  </v>
      </c>
      <c r="C13" s="297"/>
      <c r="D13" s="296">
        <f t="shared" si="1"/>
      </c>
      <c r="E13" s="176">
        <f t="shared" si="0"/>
      </c>
      <c r="F13" s="68"/>
    </row>
    <row r="14" spans="1:6" ht="15.75">
      <c r="A14" s="10"/>
      <c r="B14" s="58" t="str">
        <f>IF((inputPrYr!$B26&gt;"  "),(inputPrYr!$B26),"  ")</f>
        <v>  </v>
      </c>
      <c r="C14" s="297"/>
      <c r="D14" s="296">
        <f t="shared" si="1"/>
      </c>
      <c r="E14" s="176">
        <f t="shared" si="0"/>
      </c>
      <c r="F14" s="68"/>
    </row>
    <row r="15" spans="1:6" ht="15.75">
      <c r="A15" s="10"/>
      <c r="B15" s="58" t="str">
        <f>IF((inputPrYr!$B27&gt;"  "),(inputPrYr!$B27),"  ")</f>
        <v>  </v>
      </c>
      <c r="C15" s="297"/>
      <c r="D15" s="296">
        <f t="shared" si="1"/>
      </c>
      <c r="E15" s="176">
        <f t="shared" si="0"/>
      </c>
      <c r="F15" s="68"/>
    </row>
    <row r="16" spans="1:6" ht="15.75">
      <c r="A16" s="10"/>
      <c r="B16" s="58" t="str">
        <f>IF((inputPrYr!$B28&gt;"  "),(inputPrYr!$B28),"  ")</f>
        <v>  </v>
      </c>
      <c r="C16" s="297"/>
      <c r="D16" s="296">
        <f t="shared" si="1"/>
      </c>
      <c r="E16" s="176">
        <f t="shared" si="0"/>
      </c>
      <c r="F16" s="68"/>
    </row>
    <row r="17" spans="1:6" ht="15.75">
      <c r="A17" s="10"/>
      <c r="B17" s="58" t="str">
        <f>IF((inputPrYr!$B29&gt;"  "),(inputPrYr!$B29),"  ")</f>
        <v>  </v>
      </c>
      <c r="C17" s="297"/>
      <c r="D17" s="296">
        <f t="shared" si="1"/>
      </c>
      <c r="E17" s="176">
        <f t="shared" si="0"/>
      </c>
      <c r="F17" s="68"/>
    </row>
    <row r="18" spans="1:6" ht="15.75">
      <c r="A18" s="10"/>
      <c r="B18" s="58" t="str">
        <f>IF((inputPrYr!$B30&gt;"  "),(inputPrYr!$B30),"  ")</f>
        <v>  </v>
      </c>
      <c r="C18" s="297"/>
      <c r="D18" s="296">
        <f>IF(C18&gt;0,C18/$D$24,"")</f>
      </c>
      <c r="E18" s="176">
        <f>IF(C18&gt;0,ROUND(D18*$D$28,0),"")</f>
      </c>
      <c r="F18" s="68"/>
    </row>
    <row r="19" spans="1:6" ht="17.25" customHeight="1" thickBot="1">
      <c r="A19" s="10"/>
      <c r="B19" s="36" t="s">
        <v>77</v>
      </c>
      <c r="C19" s="298">
        <f>SUM(C6:C18)</f>
        <v>81466</v>
      </c>
      <c r="D19" s="299">
        <f>SUM(D6:D18)</f>
        <v>52.53434052204171</v>
      </c>
      <c r="E19" s="298">
        <f>SUM(E6:E18)</f>
        <v>5730</v>
      </c>
      <c r="F19" s="68"/>
    </row>
    <row r="20" spans="1:6" ht="16.5" thickTop="1">
      <c r="A20" s="10"/>
      <c r="B20" s="10"/>
      <c r="C20" s="10"/>
      <c r="D20" s="10"/>
      <c r="E20" s="10"/>
      <c r="F20" s="68"/>
    </row>
    <row r="21" spans="1:6" ht="15.75">
      <c r="A21" s="10"/>
      <c r="B21" s="10"/>
      <c r="C21" s="10"/>
      <c r="D21" s="10"/>
      <c r="E21" s="10"/>
      <c r="F21" s="68"/>
    </row>
    <row r="22" spans="1:6" ht="18.75" customHeight="1">
      <c r="A22" s="531" t="str">
        <f>CONCATENATE("",F1-1," July 1 Valuation:")</f>
        <v>2011 July 1 Valuation:</v>
      </c>
      <c r="B22" s="510"/>
      <c r="C22" s="531"/>
      <c r="D22" s="291">
        <f>inputOth!E7</f>
        <v>1550719</v>
      </c>
      <c r="E22" s="10"/>
      <c r="F22" s="68"/>
    </row>
    <row r="23" spans="1:6" ht="15.75">
      <c r="A23" s="10"/>
      <c r="B23" s="10"/>
      <c r="C23" s="10"/>
      <c r="D23" s="10"/>
      <c r="E23" s="10"/>
      <c r="F23" s="68"/>
    </row>
    <row r="24" spans="1:6" ht="15.75">
      <c r="A24" s="10"/>
      <c r="B24" s="531" t="s">
        <v>367</v>
      </c>
      <c r="C24" s="531"/>
      <c r="D24" s="300">
        <f>IF(D22&gt;0,(D22*0.001),"")</f>
        <v>1550.719</v>
      </c>
      <c r="E24" s="10"/>
      <c r="F24" s="68"/>
    </row>
    <row r="25" spans="1:6" ht="15.75">
      <c r="A25" s="10"/>
      <c r="B25" s="110"/>
      <c r="C25" s="110"/>
      <c r="D25" s="301"/>
      <c r="E25" s="10"/>
      <c r="F25" s="68"/>
    </row>
    <row r="26" spans="1:6" ht="15.75">
      <c r="A26" s="529" t="s">
        <v>368</v>
      </c>
      <c r="B26" s="493"/>
      <c r="C26" s="493"/>
      <c r="D26" s="302">
        <f>inputOth!E17</f>
        <v>109074</v>
      </c>
      <c r="E26" s="75"/>
      <c r="F26" s="75"/>
    </row>
    <row r="27" spans="1:6" ht="15">
      <c r="A27" s="75"/>
      <c r="B27" s="75"/>
      <c r="C27" s="75"/>
      <c r="D27" s="303"/>
      <c r="E27" s="75"/>
      <c r="F27" s="75"/>
    </row>
    <row r="28" spans="1:6" ht="15.75">
      <c r="A28" s="75"/>
      <c r="B28" s="529" t="s">
        <v>369</v>
      </c>
      <c r="C28" s="510"/>
      <c r="D28" s="304">
        <f>IF(D26&gt;0,(D26*0.001),"")</f>
        <v>109.074</v>
      </c>
      <c r="E28" s="75"/>
      <c r="F28" s="75"/>
    </row>
    <row r="29" spans="1:6" ht="15">
      <c r="A29" s="75"/>
      <c r="B29" s="75"/>
      <c r="C29" s="75"/>
      <c r="D29" s="75"/>
      <c r="E29" s="75"/>
      <c r="F29" s="75"/>
    </row>
    <row r="30" spans="1:6" ht="15">
      <c r="A30" s="75"/>
      <c r="B30" s="75"/>
      <c r="C30" s="75"/>
      <c r="D30" s="75"/>
      <c r="E30" s="75"/>
      <c r="F30" s="75"/>
    </row>
    <row r="31" spans="1:6" ht="15">
      <c r="A31" s="75"/>
      <c r="B31" s="75"/>
      <c r="C31" s="75"/>
      <c r="D31" s="75"/>
      <c r="E31" s="75"/>
      <c r="F31" s="75"/>
    </row>
    <row r="32" spans="1:6" ht="15.75">
      <c r="A32" s="317" t="str">
        <f>CONCATENATE("**This information comes from the ",F1," Budget Summary page.  See instructions tab #11 for completing")</f>
        <v>**This information comes from the 2012 Budget Summary page.  See instructions tab #11 for completing</v>
      </c>
      <c r="B32" s="75"/>
      <c r="C32" s="75"/>
      <c r="D32" s="75"/>
      <c r="E32" s="75"/>
      <c r="F32" s="75"/>
    </row>
    <row r="33" spans="1:6" ht="15.75">
      <c r="A33" s="317" t="s">
        <v>30</v>
      </c>
      <c r="B33" s="75"/>
      <c r="C33" s="75"/>
      <c r="D33" s="75"/>
      <c r="E33" s="75"/>
      <c r="F33" s="75"/>
    </row>
    <row r="34" spans="1:6" ht="15.75">
      <c r="A34" s="317"/>
      <c r="B34" s="75"/>
      <c r="C34" s="75"/>
      <c r="D34" s="75"/>
      <c r="E34" s="75"/>
      <c r="F34" s="75"/>
    </row>
    <row r="35" spans="1:6" ht="15.75">
      <c r="A35" s="317"/>
      <c r="B35" s="75"/>
      <c r="C35" s="75"/>
      <c r="D35" s="75"/>
      <c r="E35" s="75"/>
      <c r="F35" s="75"/>
    </row>
    <row r="36" spans="1:6" ht="15.75">
      <c r="A36" s="317"/>
      <c r="B36" s="75"/>
      <c r="C36" s="75"/>
      <c r="D36" s="75"/>
      <c r="E36" s="75"/>
      <c r="F36" s="75"/>
    </row>
    <row r="37" spans="1:6" ht="15.75">
      <c r="A37" s="317"/>
      <c r="B37" s="75"/>
      <c r="C37" s="75"/>
      <c r="D37" s="75"/>
      <c r="E37" s="75"/>
      <c r="F37" s="75"/>
    </row>
    <row r="38" spans="1:6" ht="15.75">
      <c r="A38" s="317"/>
      <c r="B38" s="75"/>
      <c r="C38" s="75"/>
      <c r="D38" s="75"/>
      <c r="E38" s="75"/>
      <c r="F38" s="75"/>
    </row>
    <row r="39" spans="1:6" ht="15">
      <c r="A39" s="75"/>
      <c r="B39" s="75"/>
      <c r="C39" s="75"/>
      <c r="D39" s="75"/>
      <c r="E39" s="75"/>
      <c r="F39" s="75"/>
    </row>
    <row r="40" spans="1:6" ht="15.75">
      <c r="A40" s="75"/>
      <c r="B40" s="238" t="s">
        <v>98</v>
      </c>
      <c r="C40" s="464">
        <v>14</v>
      </c>
      <c r="D40" s="75"/>
      <c r="E40" s="75"/>
      <c r="F40" s="75"/>
    </row>
    <row r="41" spans="1:6" ht="15.75">
      <c r="A41" s="68"/>
      <c r="B41" s="10"/>
      <c r="C41" s="10"/>
      <c r="D41" s="40"/>
      <c r="E41" s="68"/>
      <c r="F41" s="68"/>
    </row>
  </sheetData>
  <sheetProtection/>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6"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535" t="s">
        <v>211</v>
      </c>
      <c r="B1" s="535"/>
      <c r="C1" s="535"/>
      <c r="D1" s="535"/>
      <c r="E1" s="535"/>
      <c r="F1" s="535"/>
      <c r="G1" s="535"/>
    </row>
    <row r="2" spans="1:7" ht="16.5" customHeight="1">
      <c r="A2" s="535"/>
      <c r="B2" s="535"/>
      <c r="C2" s="535"/>
      <c r="D2" s="535"/>
      <c r="E2" s="535"/>
      <c r="F2" s="535"/>
      <c r="G2" s="535"/>
    </row>
    <row r="3" spans="1:7" ht="16.5" customHeight="1">
      <c r="A3" s="536"/>
      <c r="B3" s="536"/>
      <c r="C3" s="536"/>
      <c r="D3" s="536"/>
      <c r="E3" s="536"/>
      <c r="F3" s="536"/>
      <c r="G3" s="536"/>
    </row>
    <row r="4" spans="1:7" ht="16.5" customHeight="1">
      <c r="A4" s="533" t="str">
        <f>CONCATENATE("AN ORDINANCE ATTESTING TO AN INCREASE IN TAX REVENUES FOR BUDGET YEAR ",(inputPrYr!C5)," FOR THE  ",(inputPrYr!$D$2),".")</f>
        <v>AN ORDINANCE ATTESTING TO AN INCREASE IN TAX REVENUES FOR BUDGET YEAR 2012 FOR THE  City of LaHarpe.</v>
      </c>
      <c r="B4" s="533"/>
      <c r="C4" s="533"/>
      <c r="D4" s="533"/>
      <c r="E4" s="533"/>
      <c r="F4" s="533"/>
      <c r="G4" s="533"/>
    </row>
    <row r="5" spans="1:7" ht="16.5" customHeight="1">
      <c r="A5" s="533"/>
      <c r="B5" s="533"/>
      <c r="C5" s="533"/>
      <c r="D5" s="533"/>
      <c r="E5" s="533"/>
      <c r="F5" s="533"/>
      <c r="G5" s="533"/>
    </row>
    <row r="6" spans="1:7" ht="16.5" customHeight="1">
      <c r="A6" s="535"/>
      <c r="B6" s="535"/>
      <c r="C6" s="535"/>
      <c r="D6" s="535"/>
      <c r="E6" s="535"/>
      <c r="F6" s="535"/>
      <c r="G6" s="535"/>
    </row>
    <row r="7" spans="1:14" ht="16.5" customHeight="1">
      <c r="A7" s="533" t="str">
        <f>CONCATENATE("WHEREAS ",(inputPrYr!$D$2)," must continue to provide services to protect the health, safety, and welfare of the citizens of this community; and")</f>
        <v>WHEREAS City of LaHarpe must continue to provide services to protect the health, safety, and welfare of the citizens of this community; and</v>
      </c>
      <c r="B7" s="533"/>
      <c r="C7" s="533"/>
      <c r="D7" s="533"/>
      <c r="E7" s="533"/>
      <c r="F7" s="533"/>
      <c r="G7" s="533"/>
      <c r="H7" s="2"/>
      <c r="I7" s="2"/>
      <c r="J7" s="2"/>
      <c r="K7" s="2"/>
      <c r="L7" s="2"/>
      <c r="M7" s="2"/>
      <c r="N7" s="2"/>
    </row>
    <row r="8" spans="1:14" ht="16.5" customHeight="1">
      <c r="A8" s="533"/>
      <c r="B8" s="533"/>
      <c r="C8" s="533"/>
      <c r="D8" s="533"/>
      <c r="E8" s="533"/>
      <c r="F8" s="533"/>
      <c r="G8" s="533"/>
      <c r="H8" s="2"/>
      <c r="I8" s="2"/>
      <c r="J8" s="2"/>
      <c r="K8" s="2"/>
      <c r="L8" s="2"/>
      <c r="M8" s="2"/>
      <c r="N8" s="2"/>
    </row>
    <row r="9" spans="1:7" ht="16.5" customHeight="1">
      <c r="A9" s="4"/>
      <c r="B9" s="4"/>
      <c r="C9" s="4"/>
      <c r="D9" s="4"/>
      <c r="E9" s="4"/>
      <c r="F9" s="4"/>
      <c r="G9" s="4"/>
    </row>
    <row r="10" spans="1:7" ht="16.5" customHeight="1">
      <c r="A10" s="533" t="s">
        <v>212</v>
      </c>
      <c r="B10" s="533"/>
      <c r="C10" s="533"/>
      <c r="D10" s="533"/>
      <c r="E10" s="533"/>
      <c r="F10" s="533"/>
      <c r="G10" s="533"/>
    </row>
    <row r="11" spans="1:7" ht="16.5" customHeight="1">
      <c r="A11" s="533"/>
      <c r="B11" s="533"/>
      <c r="C11" s="533"/>
      <c r="D11" s="533"/>
      <c r="E11" s="533"/>
      <c r="F11" s="533"/>
      <c r="G11" s="533"/>
    </row>
    <row r="12" spans="1:7" ht="16.5" customHeight="1">
      <c r="A12" s="4"/>
      <c r="B12" s="4"/>
      <c r="C12" s="4"/>
      <c r="D12" s="4"/>
      <c r="E12" s="4"/>
      <c r="F12" s="4"/>
      <c r="G12" s="4"/>
    </row>
    <row r="13" spans="1:14" ht="16.5" customHeight="1">
      <c r="A13" s="533" t="str">
        <f>CONCATENATE("NOW THEREFORE, be it ordained by the Governing Body of the ",(inputPrYr!$D$2),":")</f>
        <v>NOW THEREFORE, be it ordained by the Governing Body of the City of LaHarpe:</v>
      </c>
      <c r="B13" s="533"/>
      <c r="C13" s="533"/>
      <c r="D13" s="533"/>
      <c r="E13" s="533"/>
      <c r="F13" s="533"/>
      <c r="G13" s="533"/>
      <c r="H13" s="2"/>
      <c r="I13" s="2"/>
      <c r="J13" s="2"/>
      <c r="K13" s="2"/>
      <c r="L13" s="2"/>
      <c r="M13" s="2"/>
      <c r="N13" s="2"/>
    </row>
    <row r="14" spans="1:14" ht="16.5" customHeight="1">
      <c r="A14" s="533"/>
      <c r="B14" s="533"/>
      <c r="C14" s="533"/>
      <c r="D14" s="533"/>
      <c r="E14" s="533"/>
      <c r="F14" s="533"/>
      <c r="G14" s="533"/>
      <c r="H14" s="2"/>
      <c r="I14" s="2"/>
      <c r="J14" s="2"/>
      <c r="K14" s="2"/>
      <c r="L14" s="2"/>
      <c r="M14" s="2"/>
      <c r="N14" s="2"/>
    </row>
    <row r="15" spans="1:14" ht="16.5" customHeight="1">
      <c r="A15" s="53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LaHarpe  has scheduled a public hearing and has prepared the proposed budget necessary to fund city services from January 1, 2012 until December 31, 2012.</v>
      </c>
      <c r="B15" s="533"/>
      <c r="C15" s="533"/>
      <c r="D15" s="533"/>
      <c r="E15" s="533"/>
      <c r="F15" s="533"/>
      <c r="G15" s="533"/>
      <c r="H15" s="2"/>
      <c r="I15" s="2"/>
      <c r="J15" s="2"/>
      <c r="K15" s="2"/>
      <c r="L15" s="2"/>
      <c r="M15" s="2"/>
      <c r="N15" s="2"/>
    </row>
    <row r="16" spans="1:14" ht="16.5" customHeight="1">
      <c r="A16" s="533"/>
      <c r="B16" s="533"/>
      <c r="C16" s="533"/>
      <c r="D16" s="533"/>
      <c r="E16" s="533"/>
      <c r="F16" s="533"/>
      <c r="G16" s="533"/>
      <c r="H16" s="2"/>
      <c r="I16" s="2"/>
      <c r="J16" s="2"/>
      <c r="K16" s="2"/>
      <c r="L16" s="2"/>
      <c r="M16" s="2"/>
      <c r="N16" s="2"/>
    </row>
    <row r="17" spans="1:14" ht="16.5" customHeight="1">
      <c r="A17" s="533"/>
      <c r="B17" s="533"/>
      <c r="C17" s="533"/>
      <c r="D17" s="533"/>
      <c r="E17" s="533"/>
      <c r="F17" s="533"/>
      <c r="G17" s="533"/>
      <c r="H17" s="3"/>
      <c r="I17" s="3"/>
      <c r="J17" s="3"/>
      <c r="K17" s="3"/>
      <c r="L17" s="3"/>
      <c r="M17" s="3"/>
      <c r="N17" s="3"/>
    </row>
    <row r="18" spans="1:7" ht="16.5" customHeight="1">
      <c r="A18" s="6"/>
      <c r="B18" s="6"/>
      <c r="C18" s="6"/>
      <c r="D18" s="6"/>
      <c r="E18" s="6"/>
      <c r="F18" s="6"/>
      <c r="G18" s="6"/>
    </row>
    <row r="19" spans="1:7" ht="16.5" customHeight="1">
      <c r="A19" s="534" t="s">
        <v>277</v>
      </c>
      <c r="B19" s="534"/>
      <c r="C19" s="534"/>
      <c r="D19" s="534"/>
      <c r="E19" s="534"/>
      <c r="F19" s="534"/>
      <c r="G19" s="534"/>
    </row>
    <row r="20" spans="1:7" ht="16.5" customHeight="1">
      <c r="A20" s="534" t="s">
        <v>278</v>
      </c>
      <c r="B20" s="534"/>
      <c r="C20" s="534"/>
      <c r="D20" s="534"/>
      <c r="E20" s="534"/>
      <c r="F20" s="534"/>
      <c r="G20" s="534"/>
    </row>
    <row r="21" spans="1:7" ht="16.5" customHeight="1">
      <c r="A21" s="534" t="str">
        <f>CONCATENATE("necessary to budget property tax revenues in an amount exceeding the levy in the ",(inputPrYr!C5-1),"")</f>
        <v>necessary to budget property tax revenues in an amount exceeding the levy in the 2011</v>
      </c>
      <c r="B21" s="534"/>
      <c r="C21" s="534"/>
      <c r="D21" s="534"/>
      <c r="E21" s="534"/>
      <c r="F21" s="534"/>
      <c r="G21" s="534"/>
    </row>
    <row r="22" spans="1:7" ht="16.5" customHeight="1">
      <c r="A22" s="5" t="s">
        <v>279</v>
      </c>
      <c r="B22" s="5"/>
      <c r="C22" s="5"/>
      <c r="D22" s="5"/>
      <c r="E22" s="5"/>
      <c r="F22" s="5"/>
      <c r="G22" s="5"/>
    </row>
    <row r="23" spans="1:7" ht="16.5" customHeight="1">
      <c r="A23" s="6"/>
      <c r="B23" s="6"/>
      <c r="C23" s="6"/>
      <c r="D23" s="6"/>
      <c r="E23" s="6"/>
      <c r="F23" s="6"/>
      <c r="G23" s="6"/>
    </row>
    <row r="24" spans="1:7" ht="16.5" customHeight="1">
      <c r="A24" s="533" t="s">
        <v>213</v>
      </c>
      <c r="B24" s="533"/>
      <c r="C24" s="533"/>
      <c r="D24" s="533"/>
      <c r="E24" s="533"/>
      <c r="F24" s="533"/>
      <c r="G24" s="533"/>
    </row>
    <row r="25" spans="1:7" ht="16.5" customHeight="1">
      <c r="A25" s="533"/>
      <c r="B25" s="533"/>
      <c r="C25" s="533"/>
      <c r="D25" s="533"/>
      <c r="E25" s="533"/>
      <c r="F25" s="533"/>
      <c r="G25" s="533"/>
    </row>
    <row r="26" spans="1:7" ht="16.5" customHeight="1">
      <c r="A26" s="6"/>
      <c r="B26" s="6"/>
      <c r="C26" s="6"/>
      <c r="D26" s="6"/>
      <c r="E26" s="6"/>
      <c r="F26" s="6"/>
      <c r="G26" s="6"/>
    </row>
    <row r="27" spans="1:7" ht="16.5" customHeight="1">
      <c r="A27" s="533" t="str">
        <f>CONCATENATE("Passed and approved by the Governing Body on this ______ day of __________, ",(inputPrYr!C5-1),".")</f>
        <v>Passed and approved by the Governing Body on this ______ day of __________, 2011.</v>
      </c>
      <c r="B27" s="533"/>
      <c r="C27" s="533"/>
      <c r="D27" s="533"/>
      <c r="E27" s="533"/>
      <c r="F27" s="533"/>
      <c r="G27" s="533"/>
    </row>
    <row r="28" spans="1:7" ht="16.5" customHeight="1">
      <c r="A28" s="533"/>
      <c r="B28" s="533"/>
      <c r="C28" s="533"/>
      <c r="D28" s="533"/>
      <c r="E28" s="533"/>
      <c r="F28" s="533"/>
      <c r="G28" s="533"/>
    </row>
    <row r="29" spans="1:7" ht="16.5" customHeight="1">
      <c r="A29" s="1"/>
      <c r="B29" s="1"/>
      <c r="C29" s="1"/>
      <c r="D29" s="1"/>
      <c r="E29" s="1"/>
      <c r="F29" s="1"/>
      <c r="G29" s="1"/>
    </row>
    <row r="30" spans="1:7" ht="16.5" customHeight="1">
      <c r="A30" s="532" t="s">
        <v>214</v>
      </c>
      <c r="B30" s="532"/>
      <c r="C30" s="532"/>
      <c r="D30" s="532"/>
      <c r="E30" s="532"/>
      <c r="F30" s="532"/>
      <c r="G30" s="532"/>
    </row>
    <row r="31" spans="1:7" ht="16.5" customHeight="1">
      <c r="A31" s="532" t="s">
        <v>215</v>
      </c>
      <c r="B31" s="532"/>
      <c r="C31" s="532"/>
      <c r="D31" s="532"/>
      <c r="E31" s="532"/>
      <c r="F31" s="532"/>
      <c r="G31" s="532"/>
    </row>
    <row r="32" spans="1:7" ht="16.5" customHeight="1">
      <c r="A32" s="1" t="s">
        <v>216</v>
      </c>
      <c r="B32" s="1"/>
      <c r="C32" s="1"/>
      <c r="D32" s="1"/>
      <c r="E32" s="1"/>
      <c r="F32" s="1"/>
      <c r="G32" s="1"/>
    </row>
    <row r="33" spans="1:7" ht="16.5" customHeight="1">
      <c r="A33" s="1"/>
      <c r="B33" s="1" t="s">
        <v>217</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218</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219</v>
      </c>
      <c r="B40" s="1"/>
      <c r="C40" s="1"/>
      <c r="D40" s="1"/>
      <c r="E40" s="1"/>
      <c r="F40" s="1"/>
      <c r="G40" s="1"/>
    </row>
    <row r="41" spans="1:7" ht="15.75">
      <c r="A41" s="1"/>
      <c r="B41" s="1"/>
      <c r="C41" s="1"/>
      <c r="D41" s="1"/>
      <c r="E41" s="1"/>
      <c r="F41" s="1"/>
      <c r="G41" s="1"/>
    </row>
  </sheetData>
  <sheetProtection sheet="1" objects="1" scenarios="1"/>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xml><?xml version="1.0" encoding="utf-8"?>
<worksheet xmlns="http://schemas.openxmlformats.org/spreadsheetml/2006/main" xmlns:r="http://schemas.openxmlformats.org/officeDocument/2006/relationships">
  <dimension ref="A2:F26"/>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484" t="s">
        <v>49</v>
      </c>
      <c r="B2" s="485"/>
      <c r="C2" s="485"/>
      <c r="D2" s="485"/>
      <c r="E2" s="485"/>
      <c r="F2" s="485"/>
    </row>
    <row r="4" spans="1:2" ht="15.75">
      <c r="A4" s="360" t="s">
        <v>44</v>
      </c>
      <c r="B4" s="310" t="s">
        <v>217</v>
      </c>
    </row>
    <row r="5" spans="1:6" ht="15.75">
      <c r="A5" s="307"/>
      <c r="B5" s="307"/>
      <c r="C5" s="307"/>
      <c r="D5" s="309"/>
      <c r="E5" s="307"/>
      <c r="F5" s="307"/>
    </row>
    <row r="6" spans="1:6" ht="15.75">
      <c r="A6" s="308" t="s">
        <v>50</v>
      </c>
      <c r="B6" s="310" t="s">
        <v>398</v>
      </c>
      <c r="C6" s="311"/>
      <c r="D6" s="308" t="s">
        <v>377</v>
      </c>
      <c r="E6" s="307"/>
      <c r="F6" s="307"/>
    </row>
    <row r="7" spans="1:6" ht="15.75">
      <c r="A7" s="308"/>
      <c r="B7" s="312"/>
      <c r="C7" s="313"/>
      <c r="D7" s="308" t="s">
        <v>376</v>
      </c>
      <c r="E7" s="307"/>
      <c r="F7" s="307"/>
    </row>
    <row r="8" spans="1:6" ht="15.75">
      <c r="A8" s="308" t="s">
        <v>51</v>
      </c>
      <c r="B8" s="310" t="s">
        <v>382</v>
      </c>
      <c r="C8" s="314"/>
      <c r="D8" s="308"/>
      <c r="E8" s="307"/>
      <c r="F8" s="307"/>
    </row>
    <row r="9" spans="1:6" ht="15.75">
      <c r="A9" s="308"/>
      <c r="B9" s="308"/>
      <c r="C9" s="308"/>
      <c r="D9" s="308"/>
      <c r="E9" s="307"/>
      <c r="F9" s="307"/>
    </row>
    <row r="10" spans="1:6" ht="15.75">
      <c r="A10" s="308" t="s">
        <v>52</v>
      </c>
      <c r="B10" s="315" t="s">
        <v>383</v>
      </c>
      <c r="C10" s="315"/>
      <c r="D10" s="315"/>
      <c r="E10" s="316"/>
      <c r="F10" s="307"/>
    </row>
    <row r="11" spans="1:6" ht="15.75">
      <c r="A11" s="308"/>
      <c r="B11" s="308"/>
      <c r="C11" s="308"/>
      <c r="D11" s="308"/>
      <c r="E11" s="307"/>
      <c r="F11" s="307"/>
    </row>
    <row r="12" spans="1:6" ht="15.75">
      <c r="A12" s="308"/>
      <c r="B12" s="308"/>
      <c r="C12" s="308"/>
      <c r="D12" s="308"/>
      <c r="E12" s="307"/>
      <c r="F12" s="307"/>
    </row>
    <row r="13" spans="1:6" ht="15.75">
      <c r="A13" s="308" t="s">
        <v>53</v>
      </c>
      <c r="B13" s="315" t="s">
        <v>383</v>
      </c>
      <c r="C13" s="315"/>
      <c r="D13" s="315"/>
      <c r="E13" s="316"/>
      <c r="F13" s="307"/>
    </row>
    <row r="16" spans="1:6" ht="15.75">
      <c r="A16" s="486" t="s">
        <v>54</v>
      </c>
      <c r="B16" s="486"/>
      <c r="C16" s="308"/>
      <c r="D16" s="308"/>
      <c r="E16" s="308"/>
      <c r="F16" s="307"/>
    </row>
    <row r="17" spans="1:6" ht="15.75">
      <c r="A17" s="308"/>
      <c r="B17" s="308"/>
      <c r="C17" s="308"/>
      <c r="D17" s="308"/>
      <c r="E17" s="308"/>
      <c r="F17" s="307"/>
    </row>
    <row r="18" spans="1:6" ht="15.75">
      <c r="A18" s="360" t="s">
        <v>44</v>
      </c>
      <c r="B18" s="308" t="s">
        <v>48</v>
      </c>
      <c r="C18" s="308"/>
      <c r="D18" s="308"/>
      <c r="E18" s="308"/>
      <c r="F18" s="307"/>
    </row>
    <row r="19" spans="1:6" ht="15.75">
      <c r="A19" s="308"/>
      <c r="B19" s="308"/>
      <c r="C19" s="308"/>
      <c r="D19" s="308"/>
      <c r="E19" s="308"/>
      <c r="F19" s="307"/>
    </row>
    <row r="20" spans="1:5" ht="15.75">
      <c r="A20" s="308" t="s">
        <v>50</v>
      </c>
      <c r="B20" s="312" t="s">
        <v>55</v>
      </c>
      <c r="C20" s="308"/>
      <c r="D20" s="308"/>
      <c r="E20" s="308"/>
    </row>
    <row r="21" spans="1:5" ht="15.75">
      <c r="A21" s="308"/>
      <c r="B21" s="308"/>
      <c r="C21" s="308"/>
      <c r="D21" s="308"/>
      <c r="E21" s="308"/>
    </row>
    <row r="22" spans="1:5" ht="15.75">
      <c r="A22" s="308" t="s">
        <v>51</v>
      </c>
      <c r="B22" s="308" t="s">
        <v>56</v>
      </c>
      <c r="C22" s="308"/>
      <c r="D22" s="308"/>
      <c r="E22" s="308"/>
    </row>
    <row r="23" spans="1:5" ht="15.75">
      <c r="A23" s="308"/>
      <c r="B23" s="308"/>
      <c r="C23" s="308"/>
      <c r="D23" s="308"/>
      <c r="E23" s="308"/>
    </row>
    <row r="24" spans="1:5" ht="15.75">
      <c r="A24" s="308" t="s">
        <v>52</v>
      </c>
      <c r="B24" s="308" t="s">
        <v>57</v>
      </c>
      <c r="C24" s="308"/>
      <c r="D24" s="308"/>
      <c r="E24" s="308"/>
    </row>
    <row r="25" spans="1:5" ht="15.75">
      <c r="A25" s="308"/>
      <c r="B25" s="308"/>
      <c r="C25" s="308"/>
      <c r="D25" s="308"/>
      <c r="E25" s="308"/>
    </row>
    <row r="26" spans="1:5" ht="15.75">
      <c r="A26" s="308" t="s">
        <v>53</v>
      </c>
      <c r="B26" s="308" t="s">
        <v>57</v>
      </c>
      <c r="C26" s="308"/>
      <c r="D26" s="308"/>
      <c r="E26" s="308"/>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F92"/>
  <sheetViews>
    <sheetView tabSelected="1" zoomScalePageLayoutView="0" workbookViewId="0" topLeftCell="A1">
      <selection activeCell="A1" sqref="A1"/>
    </sheetView>
  </sheetViews>
  <sheetFormatPr defaultColWidth="8.8984375" defaultRowHeight="15"/>
  <cols>
    <col min="1" max="1" width="24.3984375" style="11" customWidth="1"/>
    <col min="2" max="2" width="10.796875" style="11" customWidth="1"/>
    <col min="3" max="3" width="5.796875" style="11" customWidth="1"/>
    <col min="4" max="4" width="14" style="11" customWidth="1"/>
    <col min="5" max="6" width="13.796875" style="11" customWidth="1"/>
    <col min="7" max="16384" width="8.8984375" style="73" customWidth="1"/>
  </cols>
  <sheetData>
    <row r="1" spans="1:6" ht="15.75">
      <c r="A1" s="10"/>
      <c r="B1" s="10"/>
      <c r="C1" s="10"/>
      <c r="D1" s="10"/>
      <c r="E1" s="10"/>
      <c r="F1" s="10">
        <f>inputPrYr!C5</f>
        <v>2012</v>
      </c>
    </row>
    <row r="2" spans="1:6" ht="15.75">
      <c r="A2" s="10"/>
      <c r="B2" s="10"/>
      <c r="C2" s="12" t="s">
        <v>142</v>
      </c>
      <c r="D2" s="10"/>
      <c r="E2" s="10"/>
      <c r="F2" s="110"/>
    </row>
    <row r="3" spans="1:6" ht="15.75">
      <c r="A3" s="489" t="str">
        <f>CONCATENATE("To the Clerk of ",inputPrYr!D3,", State of Kansas")</f>
        <v>To the Clerk of Allen County, State of Kansas</v>
      </c>
      <c r="B3" s="479"/>
      <c r="C3" s="479"/>
      <c r="D3" s="479"/>
      <c r="E3" s="479"/>
      <c r="F3" s="479"/>
    </row>
    <row r="4" spans="1:6" ht="15.75">
      <c r="A4" s="22" t="s">
        <v>37</v>
      </c>
      <c r="B4" s="21"/>
      <c r="C4" s="21"/>
      <c r="D4" s="21"/>
      <c r="E4" s="21"/>
      <c r="F4" s="21"/>
    </row>
    <row r="5" spans="1:6" ht="16.5">
      <c r="A5" s="487" t="str">
        <f>(inputPrYr!D2)</f>
        <v>City of LaHarpe</v>
      </c>
      <c r="B5" s="488"/>
      <c r="C5" s="488"/>
      <c r="D5" s="488"/>
      <c r="E5" s="488"/>
      <c r="F5" s="488"/>
    </row>
    <row r="6" spans="1:6" ht="15.75">
      <c r="A6" s="22" t="s">
        <v>362</v>
      </c>
      <c r="B6" s="21"/>
      <c r="C6" s="21"/>
      <c r="D6" s="21"/>
      <c r="E6" s="21"/>
      <c r="F6" s="21"/>
    </row>
    <row r="7" spans="1:6" ht="15.75">
      <c r="A7" s="22" t="s">
        <v>58</v>
      </c>
      <c r="B7" s="21"/>
      <c r="C7" s="21"/>
      <c r="D7" s="21"/>
      <c r="E7" s="21"/>
      <c r="F7" s="21"/>
    </row>
    <row r="8" spans="1:6" ht="15.75">
      <c r="A8" s="22" t="str">
        <f>CONCATENATE("maximum expenditures for the various funds for the year ",F1,"; and")</f>
        <v>maximum expenditures for the various funds for the year 2012; and</v>
      </c>
      <c r="B8" s="21"/>
      <c r="C8" s="21"/>
      <c r="D8" s="21"/>
      <c r="E8" s="21"/>
      <c r="F8" s="21"/>
    </row>
    <row r="9" spans="1:6" ht="15.75">
      <c r="A9" s="22" t="str">
        <f>CONCATENATE("(3) the Amount(s) of ",F1-1," Ad Valorem Tax are within statutory limitations.")</f>
        <v>(3) the Amount(s) of 2011 Ad Valorem Tax are within statutory limitations.</v>
      </c>
      <c r="B9" s="21"/>
      <c r="C9" s="21"/>
      <c r="D9" s="21"/>
      <c r="E9" s="21"/>
      <c r="F9" s="21"/>
    </row>
    <row r="10" spans="1:6" ht="15.75">
      <c r="A10" s="10"/>
      <c r="B10" s="10"/>
      <c r="C10" s="10"/>
      <c r="D10" s="111" t="str">
        <f>CONCATENATE("",F1," Adopted Budget")</f>
        <v>2012 Adopted Budget</v>
      </c>
      <c r="E10" s="112"/>
      <c r="F10" s="113"/>
    </row>
    <row r="11" spans="1:6" ht="21" customHeight="1">
      <c r="A11" s="10"/>
      <c r="B11" s="10"/>
      <c r="C11" s="114"/>
      <c r="D11" s="115" t="s">
        <v>59</v>
      </c>
      <c r="E11" s="116" t="s">
        <v>244</v>
      </c>
      <c r="F11" s="116" t="s">
        <v>60</v>
      </c>
    </row>
    <row r="12" spans="1:6" ht="15.75">
      <c r="A12" s="17"/>
      <c r="B12" s="10"/>
      <c r="C12" s="116" t="s">
        <v>61</v>
      </c>
      <c r="D12" s="117" t="s">
        <v>20</v>
      </c>
      <c r="E12" s="118" t="str">
        <f>CONCATENATE("",F1-1," Ad")</f>
        <v>2011 Ad</v>
      </c>
      <c r="F12" s="117" t="s">
        <v>62</v>
      </c>
    </row>
    <row r="13" spans="1:6" ht="15.75">
      <c r="A13" s="119" t="s">
        <v>63</v>
      </c>
      <c r="B13" s="44"/>
      <c r="C13" s="120" t="s">
        <v>64</v>
      </c>
      <c r="D13" s="120" t="s">
        <v>45</v>
      </c>
      <c r="E13" s="121" t="s">
        <v>245</v>
      </c>
      <c r="F13" s="120" t="s">
        <v>65</v>
      </c>
    </row>
    <row r="14" spans="1:6" ht="15.75">
      <c r="A14" s="122" t="str">
        <f>CONCATENATE("Computation to Determine Limit for ",F1,"")</f>
        <v>Computation to Determine Limit for 2012</v>
      </c>
      <c r="B14" s="67"/>
      <c r="C14" s="123">
        <v>2</v>
      </c>
      <c r="D14" s="124"/>
      <c r="E14" s="124"/>
      <c r="F14" s="124"/>
    </row>
    <row r="15" spans="1:6" ht="15.75">
      <c r="A15" s="122" t="s">
        <v>18</v>
      </c>
      <c r="B15" s="44"/>
      <c r="C15" s="120">
        <v>3</v>
      </c>
      <c r="D15" s="117"/>
      <c r="E15" s="117"/>
      <c r="F15" s="117"/>
    </row>
    <row r="16" spans="1:6" ht="15.75">
      <c r="A16" s="122" t="s">
        <v>206</v>
      </c>
      <c r="B16" s="44"/>
      <c r="C16" s="120">
        <v>4</v>
      </c>
      <c r="D16" s="117"/>
      <c r="E16" s="117"/>
      <c r="F16" s="117"/>
    </row>
    <row r="17" spans="1:6" ht="15.75">
      <c r="A17" s="122" t="s">
        <v>66</v>
      </c>
      <c r="B17" s="67"/>
      <c r="C17" s="123">
        <v>5</v>
      </c>
      <c r="D17" s="125"/>
      <c r="E17" s="125"/>
      <c r="F17" s="125"/>
    </row>
    <row r="18" spans="1:6" ht="15.75">
      <c r="A18" s="122" t="s">
        <v>67</v>
      </c>
      <c r="B18" s="67"/>
      <c r="C18" s="123">
        <v>6</v>
      </c>
      <c r="D18" s="125"/>
      <c r="E18" s="125"/>
      <c r="F18" s="125"/>
    </row>
    <row r="19" spans="1:6" ht="15.75">
      <c r="A19" s="126" t="s">
        <v>68</v>
      </c>
      <c r="B19" s="127" t="s">
        <v>69</v>
      </c>
      <c r="C19" s="128"/>
      <c r="D19" s="59"/>
      <c r="E19" s="59"/>
      <c r="F19" s="59"/>
    </row>
    <row r="20" spans="1:6" ht="15.75">
      <c r="A20" s="35" t="str">
        <f>inputPrYr!B17</f>
        <v>General</v>
      </c>
      <c r="B20" s="129" t="str">
        <f>IF(inputPrYr!C17&gt;0,(inputPrYr!C17),"  ")</f>
        <v>12-101a</v>
      </c>
      <c r="C20" s="123">
        <v>7</v>
      </c>
      <c r="D20" s="176">
        <f>IF(general!$E$115&lt;&gt;0,general!$E$115,"  ")</f>
        <v>215942</v>
      </c>
      <c r="E20" s="436">
        <f>IF(general!$E$122&lt;&gt;0,general!$E$122,0)</f>
        <v>82874</v>
      </c>
      <c r="F20" s="419">
        <f>IF($F$50=0,"",ROUND(E20/$F$50*1000,3))</f>
        <v>53.446</v>
      </c>
    </row>
    <row r="21" spans="1:6" ht="15.75">
      <c r="A21" s="58" t="str">
        <f>IF(inputPrYr!$B18&gt;"  ",(inputPrYr!$B18),"  ")</f>
        <v>Bond &amp; Interest</v>
      </c>
      <c r="B21" s="129" t="str">
        <f>IF(inputPrYr!C18&gt;0,(inputPrYr!C18),"  ")</f>
        <v>10-113</v>
      </c>
      <c r="C21" s="123">
        <f>IF('Bond &amp; int'!C76=0,"",'Bond &amp; int'!C76)</f>
        <v>8</v>
      </c>
      <c r="D21" s="176">
        <f>IF('Bond &amp; int'!E31&lt;&gt;0,'Bond &amp; int'!E31,"  ")</f>
        <v>51186</v>
      </c>
      <c r="E21" s="436">
        <f>IF('Bond &amp; int'!E38&lt;&gt;0,'Bond &amp; int'!E38,0)</f>
        <v>0</v>
      </c>
      <c r="F21" s="419">
        <f>IF($F$50=0,"",ROUND(E21/$F$50*1000,3))</f>
        <v>0</v>
      </c>
    </row>
    <row r="22" spans="1:6" ht="15.75">
      <c r="A22" s="58" t="str">
        <f>IF(inputPrYr!$B20&gt;"  ",(inputPrYr!$B20),"  ")</f>
        <v>  </v>
      </c>
      <c r="B22" s="129" t="str">
        <f>IF(inputPrYr!C20&gt;0,(inputPrYr!C20),"  ")</f>
        <v>  </v>
      </c>
      <c r="C22" s="123"/>
      <c r="D22" s="176" t="str">
        <f>IF('Bond &amp; int'!E67&lt;&gt;0,'Bond &amp; int'!E67,"  ")</f>
        <v>  </v>
      </c>
      <c r="E22" s="436">
        <f>IF('Bond &amp; int'!E74&lt;&gt;0,'Bond &amp; int'!E74,0)</f>
        <v>0</v>
      </c>
      <c r="F22" s="419">
        <f>IF($F$50=0,"",ROUND(E22/$F$50*1000,3))</f>
        <v>0</v>
      </c>
    </row>
    <row r="23" spans="1:6" ht="15.75">
      <c r="A23" s="58" t="str">
        <f>IF(inputPrYr!$B21&gt;"  ",(inputPrYr!$B21),"  ")</f>
        <v>  </v>
      </c>
      <c r="B23" s="129" t="str">
        <f>IF(inputPrYr!C21&gt;0,(inputPrYr!C21),"  ")</f>
        <v>  </v>
      </c>
      <c r="C23" s="123"/>
      <c r="D23" s="176"/>
      <c r="E23" s="436"/>
      <c r="F23" s="419">
        <f aca="true" t="shared" si="0" ref="F23:F32">IF($F$50=0,"",ROUND(E23/$F$50*1000,3))</f>
        <v>0</v>
      </c>
    </row>
    <row r="24" spans="1:6" ht="15.75">
      <c r="A24" s="58" t="str">
        <f>IF(inputPrYr!$B22&gt;"  ",(inputPrYr!$B22),"  ")</f>
        <v>  </v>
      </c>
      <c r="B24" s="129" t="str">
        <f>IF(inputPrYr!C22&gt;0,(inputPrYr!C22),"  ")</f>
        <v>  </v>
      </c>
      <c r="C24" s="123"/>
      <c r="D24" s="176"/>
      <c r="E24" s="436"/>
      <c r="F24" s="419">
        <f t="shared" si="0"/>
        <v>0</v>
      </c>
    </row>
    <row r="25" spans="1:6" ht="15.75">
      <c r="A25" s="58" t="str">
        <f>IF(inputPrYr!$B23&gt;"  ",(inputPrYr!$B23),"  ")</f>
        <v>  </v>
      </c>
      <c r="B25" s="129" t="str">
        <f>IF(inputPrYr!C23&gt;0,(inputPrYr!C23),"  ")</f>
        <v>  </v>
      </c>
      <c r="C25" s="123"/>
      <c r="D25" s="176"/>
      <c r="E25" s="436"/>
      <c r="F25" s="419">
        <f t="shared" si="0"/>
        <v>0</v>
      </c>
    </row>
    <row r="26" spans="1:6" ht="15.75">
      <c r="A26" s="58" t="str">
        <f>IF(inputPrYr!$B24&gt;"  ",(inputPrYr!$B24),"  ")</f>
        <v>  </v>
      </c>
      <c r="B26" s="129" t="str">
        <f>IF(inputPrYr!C24&gt;0,(inputPrYr!C24),"  ")</f>
        <v>  </v>
      </c>
      <c r="C26" s="123"/>
      <c r="D26" s="176"/>
      <c r="E26" s="436"/>
      <c r="F26" s="419">
        <f t="shared" si="0"/>
        <v>0</v>
      </c>
    </row>
    <row r="27" spans="1:6" ht="15.75">
      <c r="A27" s="58" t="str">
        <f>IF(inputPrYr!$B25&gt;"  ",(inputPrYr!$B25),"  ")</f>
        <v>  </v>
      </c>
      <c r="B27" s="129" t="str">
        <f>IF(inputPrYr!C25&gt;0,(inputPrYr!C25),"  ")</f>
        <v>  </v>
      </c>
      <c r="C27" s="123"/>
      <c r="D27" s="176"/>
      <c r="E27" s="436"/>
      <c r="F27" s="419">
        <f t="shared" si="0"/>
        <v>0</v>
      </c>
    </row>
    <row r="28" spans="1:6" ht="15.75">
      <c r="A28" s="58" t="str">
        <f>IF(inputPrYr!$B26&gt;"  ",(inputPrYr!$B26),"  ")</f>
        <v>  </v>
      </c>
      <c r="B28" s="129" t="str">
        <f>IF(inputPrYr!C26&gt;0,(inputPrYr!C26),"  ")</f>
        <v>  </v>
      </c>
      <c r="C28" s="123"/>
      <c r="D28" s="176"/>
      <c r="E28" s="436"/>
      <c r="F28" s="419">
        <f t="shared" si="0"/>
        <v>0</v>
      </c>
    </row>
    <row r="29" spans="1:6" ht="15.75">
      <c r="A29" s="58" t="str">
        <f>IF(inputPrYr!$B27&gt;"  ",(inputPrYr!$B27),"  ")</f>
        <v>  </v>
      </c>
      <c r="B29" s="129" t="str">
        <f>IF(inputPrYr!C27&gt;0,(inputPrYr!C27),"  ")</f>
        <v>  </v>
      </c>
      <c r="C29" s="123"/>
      <c r="D29" s="176"/>
      <c r="E29" s="436"/>
      <c r="F29" s="419">
        <f t="shared" si="0"/>
        <v>0</v>
      </c>
    </row>
    <row r="30" spans="1:6" ht="15.75">
      <c r="A30" s="58" t="str">
        <f>IF(inputPrYr!$B28&gt;"  ",(inputPrYr!$B28),"  ")</f>
        <v>  </v>
      </c>
      <c r="B30" s="129" t="str">
        <f>IF(inputPrYr!C28&gt;0,(inputPrYr!C28),"  ")</f>
        <v>  </v>
      </c>
      <c r="C30" s="123"/>
      <c r="D30" s="176"/>
      <c r="E30" s="436"/>
      <c r="F30" s="419">
        <f t="shared" si="0"/>
        <v>0</v>
      </c>
    </row>
    <row r="31" spans="1:6" ht="15.75">
      <c r="A31" s="58" t="str">
        <f>IF(inputPrYr!$B29&gt;"  ",(inputPrYr!$B29),"  ")</f>
        <v>  </v>
      </c>
      <c r="B31" s="129" t="str">
        <f>IF(inputPrYr!C29&gt;0,(inputPrYr!C29),"  ")</f>
        <v>  </v>
      </c>
      <c r="C31" s="123"/>
      <c r="D31" s="176"/>
      <c r="E31" s="436"/>
      <c r="F31" s="419">
        <f t="shared" si="0"/>
        <v>0</v>
      </c>
    </row>
    <row r="32" spans="1:6" ht="15.75">
      <c r="A32" s="58" t="str">
        <f>IF(inputPrYr!$B30&gt;"  ",(inputPrYr!$B30),"  ")</f>
        <v>  </v>
      </c>
      <c r="B32" s="129" t="str">
        <f>IF(inputPrYr!C30&gt;0,(inputPrYr!C30),"  ")</f>
        <v>  </v>
      </c>
      <c r="C32" s="123"/>
      <c r="D32" s="176"/>
      <c r="E32" s="436"/>
      <c r="F32" s="419">
        <f t="shared" si="0"/>
        <v>0</v>
      </c>
    </row>
    <row r="33" spans="1:6" ht="15.75">
      <c r="A33" s="130" t="str">
        <f>IF(inputPrYr!$B34&gt;"  ",(inputPrYr!$B34),"  ")</f>
        <v>Special Highway</v>
      </c>
      <c r="B33" s="67"/>
      <c r="C33" s="131">
        <f>IF(' Spec Hwy &amp; Water'!C65&gt;0,' Spec Hwy &amp; Water'!C65,"  ")</f>
        <v>9</v>
      </c>
      <c r="D33" s="176">
        <f>IF(' Spec Hwy &amp; Water'!$E$28&gt;0,' Spec Hwy &amp; Water'!$E$28,"  ")</f>
        <v>84066</v>
      </c>
      <c r="E33" s="176"/>
      <c r="F33" s="128"/>
    </row>
    <row r="34" spans="1:6" ht="15.75">
      <c r="A34" s="130" t="str">
        <f>IF(inputPrYr!$B35&gt;"  ",(inputPrYr!$B35),"  ")</f>
        <v>Water Utility</v>
      </c>
      <c r="B34" s="67"/>
      <c r="C34" s="131">
        <f>IF(' Spec Hwy &amp; Water'!C65&gt;0,' Spec Hwy &amp; Water'!C65,"  ")</f>
        <v>9</v>
      </c>
      <c r="D34" s="176">
        <f>IF(' Spec Hwy &amp; Water'!$E$59&gt;0,' Spec Hwy &amp; Water'!$E$59,"  ")</f>
        <v>123158</v>
      </c>
      <c r="E34" s="176"/>
      <c r="F34" s="128"/>
    </row>
    <row r="35" spans="1:6" ht="15.75">
      <c r="A35" s="130" t="str">
        <f>IF(inputPrYr!$B36&gt;"  ",(inputPrYr!$B36),"  ")</f>
        <v>Electric Utility</v>
      </c>
      <c r="B35" s="67"/>
      <c r="C35" s="131">
        <f>IF('Elect &amp; Sewer'!C68&gt;0,'Elect &amp; Sewer'!C68,"  ")</f>
        <v>10</v>
      </c>
      <c r="D35" s="176">
        <f>IF('Elect &amp; Sewer'!$E$30&gt;0,'Elect &amp; Sewer'!$E$30,"  ")</f>
        <v>540050</v>
      </c>
      <c r="E35" s="176"/>
      <c r="F35" s="128"/>
    </row>
    <row r="36" spans="1:6" ht="15.75">
      <c r="A36" s="130" t="str">
        <f>IF(inputPrYr!$B37&gt;"  ",(inputPrYr!$B37),"  ")</f>
        <v>Sewer Utility</v>
      </c>
      <c r="B36" s="67"/>
      <c r="C36" s="131">
        <f>IF('Elect &amp; Sewer'!C68&gt;0,'Elect &amp; Sewer'!C68,"  ")</f>
        <v>10</v>
      </c>
      <c r="D36" s="176">
        <f>IF('Elect &amp; Sewer'!$E$62&gt;0,'Elect &amp; Sewer'!$E$62,"  ")</f>
        <v>91965</v>
      </c>
      <c r="E36" s="176"/>
      <c r="F36" s="128"/>
    </row>
    <row r="37" spans="1:6" ht="15.75">
      <c r="A37" s="130" t="str">
        <f>IF(inputPrYr!$B38&gt;"  ",(inputPrYr!$B38),"  ")</f>
        <v>Trash Utility</v>
      </c>
      <c r="B37" s="67"/>
      <c r="C37" s="131">
        <f>IF(trash!C65&gt;0,trash!C65,"  ")</f>
        <v>11</v>
      </c>
      <c r="D37" s="176">
        <f>IF(trash!$E$28&gt;0,trash!$E$28,"  ")</f>
        <v>21088</v>
      </c>
      <c r="E37" s="176"/>
      <c r="F37" s="128"/>
    </row>
    <row r="38" spans="1:6" ht="15.75">
      <c r="A38" s="132" t="str">
        <f>IF(inputPrYr!$B39&gt;"  ",(inputPrYr!$B39),"  ")</f>
        <v>  </v>
      </c>
      <c r="B38" s="67"/>
      <c r="C38" s="131"/>
      <c r="D38" s="176" t="str">
        <f>IF(trash!$E$59&gt;0,trash!$E$59,"  ")</f>
        <v>  </v>
      </c>
      <c r="E38" s="176"/>
      <c r="F38" s="128"/>
    </row>
    <row r="39" spans="1:6" ht="15.75">
      <c r="A39" s="130" t="str">
        <f>IF(inputPrYr!$B40&gt;"  ",(inputPrYr!$B40),"  ")</f>
        <v>  </v>
      </c>
      <c r="B39" s="67"/>
      <c r="C39" s="131"/>
      <c r="D39" s="176"/>
      <c r="E39" s="176"/>
      <c r="F39" s="128"/>
    </row>
    <row r="40" spans="1:6" ht="15.75">
      <c r="A40" s="130" t="str">
        <f>IF(inputPrYr!$B41&gt;"  ",(inputPrYr!$B41),"  ")</f>
        <v>  </v>
      </c>
      <c r="B40" s="67"/>
      <c r="C40" s="131"/>
      <c r="D40" s="176"/>
      <c r="E40" s="176"/>
      <c r="F40" s="128"/>
    </row>
    <row r="41" spans="1:6" ht="15.75">
      <c r="A41" s="130" t="str">
        <f>IF(inputPrYr!$B44&gt;"  ",(inputPrYr!$B44),"  ")</f>
        <v>  </v>
      </c>
      <c r="B41" s="64"/>
      <c r="C41" s="131"/>
      <c r="D41" s="176"/>
      <c r="E41" s="176"/>
      <c r="F41" s="128"/>
    </row>
    <row r="42" spans="1:6" ht="15.75">
      <c r="A42" s="130" t="str">
        <f>IF(inputPrYr!$B45&gt;"  ",(inputPrYr!$B45),"  ")</f>
        <v>  </v>
      </c>
      <c r="B42" s="64"/>
      <c r="C42" s="131"/>
      <c r="D42" s="176"/>
      <c r="E42" s="176"/>
      <c r="F42" s="128"/>
    </row>
    <row r="43" spans="1:6" ht="15.75">
      <c r="A43" s="130" t="str">
        <f>IF(inputPrYr!$B46&gt;"  ",(inputPrYr!$B46),"  ")</f>
        <v>  </v>
      </c>
      <c r="B43" s="64"/>
      <c r="C43" s="131"/>
      <c r="D43" s="176"/>
      <c r="E43" s="176"/>
      <c r="F43" s="128"/>
    </row>
    <row r="44" spans="1:6" ht="15.75">
      <c r="A44" s="130" t="str">
        <f>IF(inputPrYr!$B47&gt;"  ",(inputPrYr!$B47),"  ")</f>
        <v>  </v>
      </c>
      <c r="B44" s="64"/>
      <c r="C44" s="131"/>
      <c r="D44" s="176"/>
      <c r="E44" s="176"/>
      <c r="F44" s="128"/>
    </row>
    <row r="45" spans="1:6" ht="15.75">
      <c r="A45" s="130" t="str">
        <f>IF(inputPrYr!$B51&gt;"  ",(NonBudA!$A3),"  ")</f>
        <v>Non-Budgeted Funds-A</v>
      </c>
      <c r="B45" s="64"/>
      <c r="C45" s="131">
        <f>IF(NonBudA!F33&gt;0,NonBudA!F33,"  ")</f>
        <v>12</v>
      </c>
      <c r="D45" s="176"/>
      <c r="E45" s="176"/>
      <c r="F45" s="128"/>
    </row>
    <row r="46" spans="1:6" ht="15.75">
      <c r="A46" s="130" t="str">
        <f>IF(inputPrYr!$B57&gt;"  ",(#REF!),"  ")</f>
        <v>  </v>
      </c>
      <c r="B46" s="64"/>
      <c r="C46" s="131"/>
      <c r="D46" s="176"/>
      <c r="E46" s="176"/>
      <c r="F46" s="128"/>
    </row>
    <row r="47" spans="1:6" ht="16.5" thickBot="1">
      <c r="A47" s="132"/>
      <c r="B47" s="64"/>
      <c r="C47" s="131"/>
      <c r="D47" s="421"/>
      <c r="E47" s="421"/>
      <c r="F47" s="422"/>
    </row>
    <row r="48" spans="1:6" ht="16.5" thickBot="1">
      <c r="A48" s="346" t="s">
        <v>375</v>
      </c>
      <c r="B48" s="64"/>
      <c r="C48" s="222" t="s">
        <v>71</v>
      </c>
      <c r="D48" s="426">
        <f>SUM(D20:D47)</f>
        <v>1127455</v>
      </c>
      <c r="E48" s="426">
        <f>SUM(E20:E47)</f>
        <v>82874</v>
      </c>
      <c r="F48" s="441">
        <f>IF(SUM(F20:F47)=0,"",SUM(F20:F47))</f>
        <v>53.446</v>
      </c>
    </row>
    <row r="49" spans="1:6" ht="16.5" thickTop="1">
      <c r="A49" s="135" t="s">
        <v>6</v>
      </c>
      <c r="B49" s="136"/>
      <c r="C49" s="137"/>
      <c r="D49" s="424"/>
      <c r="E49" s="425" t="str">
        <f>IF(E48&gt;computation!J40,"Yes","No")</f>
        <v>No</v>
      </c>
      <c r="F49" s="442" t="s">
        <v>210</v>
      </c>
    </row>
    <row r="50" spans="1:6" ht="15.75">
      <c r="A50" s="122" t="s">
        <v>5</v>
      </c>
      <c r="B50" s="67"/>
      <c r="C50" s="123">
        <f>summ!D61</f>
        <v>13</v>
      </c>
      <c r="D50" s="134"/>
      <c r="E50" s="10"/>
      <c r="F50" s="352">
        <v>1550608</v>
      </c>
    </row>
    <row r="51" spans="1:6" ht="15.75">
      <c r="A51" s="122" t="s">
        <v>24</v>
      </c>
      <c r="B51" s="67"/>
      <c r="C51" s="123">
        <f>IF(nhood!C40&gt;0,nhood!C40,"")</f>
        <v>14</v>
      </c>
      <c r="D51" s="134"/>
      <c r="E51" s="10"/>
      <c r="F51" s="494" t="str">
        <f>CONCATENATE("Nov 1, ",F1-1," Total Assessed Valuation")</f>
        <v>Nov 1, 2011 Total Assessed Valuation</v>
      </c>
    </row>
    <row r="52" spans="1:6" ht="15.75">
      <c r="A52" s="51"/>
      <c r="B52" s="49"/>
      <c r="C52" s="165"/>
      <c r="D52" s="348"/>
      <c r="E52" s="349"/>
      <c r="F52" s="495"/>
    </row>
    <row r="53" spans="1:6" ht="15.75">
      <c r="A53" s="51"/>
      <c r="B53" s="49"/>
      <c r="C53" s="10"/>
      <c r="D53" s="347"/>
      <c r="E53" s="49"/>
      <c r="F53" s="49"/>
    </row>
    <row r="54" spans="1:6" ht="15.75">
      <c r="A54" s="51" t="s">
        <v>72</v>
      </c>
      <c r="B54" s="49"/>
      <c r="C54" s="44"/>
      <c r="D54" s="350"/>
      <c r="E54" s="44"/>
      <c r="F54" s="44"/>
    </row>
    <row r="55" spans="1:6" ht="15.75">
      <c r="A55" s="444" t="s">
        <v>287</v>
      </c>
      <c r="B55" s="10"/>
      <c r="C55" s="51"/>
      <c r="D55" s="490"/>
      <c r="E55" s="49"/>
      <c r="F55" s="49"/>
    </row>
    <row r="56" spans="1:6" ht="15.75">
      <c r="A56" s="445" t="s">
        <v>288</v>
      </c>
      <c r="B56" s="49"/>
      <c r="C56" s="44"/>
      <c r="D56" s="491"/>
      <c r="E56" s="114"/>
      <c r="F56" s="114"/>
    </row>
    <row r="57" spans="1:6" ht="15.75">
      <c r="A57" s="51" t="s">
        <v>225</v>
      </c>
      <c r="B57" s="17"/>
      <c r="C57" s="138"/>
      <c r="D57" s="138"/>
      <c r="E57" s="68"/>
      <c r="F57" s="68"/>
    </row>
    <row r="58" spans="1:6" ht="15.75">
      <c r="A58" s="446" t="s">
        <v>289</v>
      </c>
      <c r="B58" s="139"/>
      <c r="C58" s="44"/>
      <c r="D58" s="44"/>
      <c r="E58" s="140"/>
      <c r="F58" s="140"/>
    </row>
    <row r="59" spans="1:6" ht="15.75">
      <c r="A59" s="446" t="s">
        <v>290</v>
      </c>
      <c r="B59" s="49"/>
      <c r="C59" s="10"/>
      <c r="D59" s="10"/>
      <c r="E59" s="68"/>
      <c r="F59" s="68"/>
    </row>
    <row r="60" spans="1:6" ht="15.75">
      <c r="A60" s="306"/>
      <c r="B60" s="141"/>
      <c r="C60" s="44"/>
      <c r="D60" s="44"/>
      <c r="E60" s="140"/>
      <c r="F60" s="140"/>
    </row>
    <row r="61" spans="1:6" ht="15.75">
      <c r="A61" s="18" t="s">
        <v>13</v>
      </c>
      <c r="B61" s="142">
        <f>F1-1</f>
        <v>2011</v>
      </c>
      <c r="C61" s="10"/>
      <c r="D61" s="10"/>
      <c r="E61" s="22"/>
      <c r="F61" s="10"/>
    </row>
    <row r="62" spans="1:6" ht="15.75">
      <c r="A62" s="430"/>
      <c r="B62" s="10"/>
      <c r="C62" s="44"/>
      <c r="D62" s="44"/>
      <c r="E62" s="44"/>
      <c r="F62" s="44"/>
    </row>
    <row r="63" spans="1:6" ht="15.75">
      <c r="A63" s="32" t="s">
        <v>74</v>
      </c>
      <c r="B63" s="10"/>
      <c r="C63" s="492" t="s">
        <v>73</v>
      </c>
      <c r="D63" s="493"/>
      <c r="E63" s="493"/>
      <c r="F63" s="493"/>
    </row>
    <row r="64" ht="15.75">
      <c r="A64" s="7"/>
    </row>
    <row r="74" spans="1:6" ht="15">
      <c r="A74" s="73"/>
      <c r="B74" s="73"/>
      <c r="C74" s="73"/>
      <c r="D74" s="73"/>
      <c r="E74" s="73"/>
      <c r="F74" s="73"/>
    </row>
    <row r="75" spans="1:6" ht="15">
      <c r="A75" s="73"/>
      <c r="B75" s="73"/>
      <c r="C75" s="73"/>
      <c r="D75" s="73"/>
      <c r="E75" s="73"/>
      <c r="F75" s="73"/>
    </row>
    <row r="76" spans="1:6" ht="15">
      <c r="A76" s="73"/>
      <c r="B76" s="73"/>
      <c r="C76" s="73"/>
      <c r="D76" s="73"/>
      <c r="E76" s="73"/>
      <c r="F76" s="73"/>
    </row>
    <row r="77" spans="1:6" ht="15">
      <c r="A77" s="73"/>
      <c r="B77" s="73"/>
      <c r="C77" s="73"/>
      <c r="D77" s="73"/>
      <c r="E77" s="73"/>
      <c r="F77" s="73"/>
    </row>
    <row r="78" spans="1:6" ht="15">
      <c r="A78" s="73"/>
      <c r="B78" s="73"/>
      <c r="C78" s="73"/>
      <c r="D78" s="73"/>
      <c r="E78" s="73"/>
      <c r="F78" s="73"/>
    </row>
    <row r="79" spans="1:6" ht="15">
      <c r="A79" s="73"/>
      <c r="B79" s="73"/>
      <c r="C79" s="73"/>
      <c r="D79" s="73"/>
      <c r="E79" s="73"/>
      <c r="F79" s="73"/>
    </row>
    <row r="80" spans="1:6" ht="15">
      <c r="A80" s="73"/>
      <c r="B80" s="73"/>
      <c r="C80" s="73"/>
      <c r="D80" s="73"/>
      <c r="E80" s="73"/>
      <c r="F80" s="73"/>
    </row>
    <row r="81" spans="1:6" ht="15">
      <c r="A81" s="73"/>
      <c r="B81" s="73"/>
      <c r="C81" s="73"/>
      <c r="D81" s="73"/>
      <c r="E81" s="73"/>
      <c r="F81" s="73"/>
    </row>
    <row r="82" spans="1:6" ht="15">
      <c r="A82" s="73"/>
      <c r="B82" s="73"/>
      <c r="C82" s="73"/>
      <c r="D82" s="73"/>
      <c r="E82" s="73"/>
      <c r="F82" s="73"/>
    </row>
    <row r="83" spans="1:6" ht="15">
      <c r="A83" s="73"/>
      <c r="B83" s="73"/>
      <c r="C83" s="73"/>
      <c r="D83" s="73"/>
      <c r="E83" s="73"/>
      <c r="F83" s="73"/>
    </row>
    <row r="84" spans="1:6" ht="15">
      <c r="A84" s="73"/>
      <c r="B84" s="73"/>
      <c r="C84" s="73"/>
      <c r="D84" s="73"/>
      <c r="E84" s="73"/>
      <c r="F84" s="73"/>
    </row>
    <row r="85" spans="1:6" ht="15">
      <c r="A85" s="73"/>
      <c r="B85" s="73"/>
      <c r="C85" s="73"/>
      <c r="D85" s="73"/>
      <c r="E85" s="73"/>
      <c r="F85" s="73"/>
    </row>
    <row r="86" spans="1:6" ht="15">
      <c r="A86" s="73"/>
      <c r="B86" s="73"/>
      <c r="C86" s="73"/>
      <c r="D86" s="73"/>
      <c r="E86" s="73"/>
      <c r="F86" s="73"/>
    </row>
    <row r="87" spans="1:6" ht="15">
      <c r="A87" s="73"/>
      <c r="B87" s="73"/>
      <c r="C87" s="73"/>
      <c r="D87" s="73"/>
      <c r="E87" s="73"/>
      <c r="F87" s="73"/>
    </row>
    <row r="88" spans="1:6" ht="15">
      <c r="A88" s="73"/>
      <c r="B88" s="73"/>
      <c r="C88" s="73"/>
      <c r="D88" s="73"/>
      <c r="E88" s="73"/>
      <c r="F88" s="73"/>
    </row>
    <row r="89" spans="1:6" ht="15">
      <c r="A89" s="73"/>
      <c r="B89" s="73"/>
      <c r="C89" s="73"/>
      <c r="D89" s="73"/>
      <c r="E89" s="73"/>
      <c r="F89" s="73"/>
    </row>
    <row r="92" spans="1:6" ht="15.75">
      <c r="A92" s="7"/>
      <c r="B92" s="7"/>
      <c r="C92" s="7"/>
      <c r="D92" s="7"/>
      <c r="E92" s="7"/>
      <c r="F92" s="7"/>
    </row>
  </sheetData>
  <sheetProtection/>
  <mergeCells count="5">
    <mergeCell ref="A5:F5"/>
    <mergeCell ref="A3:F3"/>
    <mergeCell ref="D55:D56"/>
    <mergeCell ref="C63:F63"/>
    <mergeCell ref="F51:F52"/>
  </mergeCells>
  <printOptions/>
  <pageMargins left="0.5" right="0.5" top="1" bottom="0.5" header="0.5" footer="0.25"/>
  <pageSetup blackAndWhite="1" fitToHeight="1" fitToWidth="1" horizontalDpi="120" verticalDpi="120" orientation="portrait" scale="73" r:id="rId1"/>
  <headerFooter alignWithMargins="0">
    <oddHeader>&amp;RState of Kansas
City
</oddHeader>
    <oddFooter>&amp;CPage No. 1</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6">
      <selection activeCell="J38" sqref="J38"/>
    </sheetView>
  </sheetViews>
  <sheetFormatPr defaultColWidth="8.8984375" defaultRowHeight="15.75" customHeight="1"/>
  <cols>
    <col min="1" max="2" width="3.296875" style="7" customWidth="1"/>
    <col min="3" max="3" width="31.296875" style="7" customWidth="1"/>
    <col min="4" max="4" width="2.296875" style="7" customWidth="1"/>
    <col min="5" max="5" width="15.796875" style="7" customWidth="1"/>
    <col min="6" max="6" width="2" style="7" customWidth="1"/>
    <col min="7" max="7" width="15.796875" style="7" customWidth="1"/>
    <col min="8" max="8" width="1.8984375" style="7" customWidth="1"/>
    <col min="9" max="9" width="1.796875" style="7" customWidth="1"/>
    <col min="10" max="10" width="15.796875" style="7" customWidth="1"/>
    <col min="11" max="16384" width="8.8984375" style="7" customWidth="1"/>
  </cols>
  <sheetData>
    <row r="1" spans="1:10" ht="15.75" customHeight="1">
      <c r="A1" s="10"/>
      <c r="B1" s="10"/>
      <c r="C1" s="144" t="str">
        <f>inputPrYr!D2</f>
        <v>City of LaHarpe</v>
      </c>
      <c r="D1" s="10"/>
      <c r="E1" s="10"/>
      <c r="F1" s="10"/>
      <c r="G1" s="10"/>
      <c r="H1" s="10"/>
      <c r="I1" s="10"/>
      <c r="J1" s="10">
        <f>inputPrYr!$C$5</f>
        <v>2012</v>
      </c>
    </row>
    <row r="2" spans="1:10" ht="15.75" customHeight="1">
      <c r="A2" s="10"/>
      <c r="B2" s="10"/>
      <c r="C2" s="10"/>
      <c r="D2" s="10"/>
      <c r="E2" s="10"/>
      <c r="F2" s="10"/>
      <c r="G2" s="10"/>
      <c r="H2" s="10"/>
      <c r="I2" s="10"/>
      <c r="J2" s="10"/>
    </row>
    <row r="3" spans="1:10" ht="15.75">
      <c r="A3" s="499" t="str">
        <f>CONCATENATE("Computation to Determine Limit for ",J1,"")</f>
        <v>Computation to Determine Limit for 2012</v>
      </c>
      <c r="B3" s="500"/>
      <c r="C3" s="500"/>
      <c r="D3" s="500"/>
      <c r="E3" s="500"/>
      <c r="F3" s="500"/>
      <c r="G3" s="500"/>
      <c r="H3" s="500"/>
      <c r="I3" s="500"/>
      <c r="J3" s="500"/>
    </row>
    <row r="4" spans="1:10" ht="15.75">
      <c r="A4" s="10"/>
      <c r="B4" s="10"/>
      <c r="C4" s="10"/>
      <c r="D4" s="10"/>
      <c r="E4" s="500"/>
      <c r="F4" s="500"/>
      <c r="G4" s="500"/>
      <c r="H4" s="145"/>
      <c r="I4" s="10"/>
      <c r="J4" s="146" t="s">
        <v>155</v>
      </c>
    </row>
    <row r="5" spans="1:10" ht="15.75">
      <c r="A5" s="147" t="s">
        <v>156</v>
      </c>
      <c r="B5" s="10" t="str">
        <f>CONCATENATE("Total Tax Levy Amount in ",J1-1," Budget")</f>
        <v>Total Tax Levy Amount in 2011 Budget</v>
      </c>
      <c r="C5" s="10"/>
      <c r="D5" s="10"/>
      <c r="E5" s="39"/>
      <c r="F5" s="39"/>
      <c r="G5" s="39"/>
      <c r="H5" s="148" t="s">
        <v>157</v>
      </c>
      <c r="I5" s="39" t="s">
        <v>158</v>
      </c>
      <c r="J5" s="149">
        <f>inputPrYr!E31</f>
        <v>81466</v>
      </c>
    </row>
    <row r="6" spans="1:10" ht="15.75">
      <c r="A6" s="147" t="s">
        <v>159</v>
      </c>
      <c r="B6" s="10" t="str">
        <f>CONCATENATE("Debt Service Levy in ",J1-1," Budget")</f>
        <v>Debt Service Levy in 2011 Budget</v>
      </c>
      <c r="C6" s="10"/>
      <c r="D6" s="10"/>
      <c r="E6" s="39"/>
      <c r="F6" s="39"/>
      <c r="G6" s="39"/>
      <c r="H6" s="148" t="s">
        <v>160</v>
      </c>
      <c r="I6" s="39" t="s">
        <v>158</v>
      </c>
      <c r="J6" s="45">
        <f>inputPrYr!E18</f>
        <v>0</v>
      </c>
    </row>
    <row r="7" spans="1:10" ht="15.75">
      <c r="A7" s="147" t="s">
        <v>187</v>
      </c>
      <c r="B7" s="29" t="s">
        <v>184</v>
      </c>
      <c r="C7" s="10"/>
      <c r="D7" s="10"/>
      <c r="E7" s="39"/>
      <c r="F7" s="39"/>
      <c r="G7" s="39"/>
      <c r="H7" s="39"/>
      <c r="I7" s="39" t="s">
        <v>158</v>
      </c>
      <c r="J7" s="45">
        <f>J5-J6</f>
        <v>81466</v>
      </c>
    </row>
    <row r="8" spans="1:10" ht="15.75">
      <c r="A8" s="10"/>
      <c r="B8" s="10"/>
      <c r="C8" s="10"/>
      <c r="D8" s="10"/>
      <c r="E8" s="39"/>
      <c r="F8" s="39"/>
      <c r="G8" s="39"/>
      <c r="H8" s="39"/>
      <c r="I8" s="39"/>
      <c r="J8" s="39"/>
    </row>
    <row r="9" spans="1:10" ht="15.75">
      <c r="A9" s="10"/>
      <c r="B9" s="29" t="str">
        <f>CONCATENATE("",J1-1," Valuation Information for Valuation Adjustments:")</f>
        <v>2011 Valuation Information for Valuation Adjustments:</v>
      </c>
      <c r="C9" s="10"/>
      <c r="D9" s="10"/>
      <c r="E9" s="39"/>
      <c r="F9" s="39"/>
      <c r="G9" s="39"/>
      <c r="H9" s="39"/>
      <c r="I9" s="39"/>
      <c r="J9" s="39"/>
    </row>
    <row r="10" spans="1:10" ht="15.75">
      <c r="A10" s="10"/>
      <c r="B10" s="10"/>
      <c r="C10" s="29"/>
      <c r="D10" s="10"/>
      <c r="E10" s="39"/>
      <c r="F10" s="39"/>
      <c r="G10" s="39"/>
      <c r="H10" s="39"/>
      <c r="I10" s="39"/>
      <c r="J10" s="39"/>
    </row>
    <row r="11" spans="1:10" ht="15.75">
      <c r="A11" s="147" t="s">
        <v>161</v>
      </c>
      <c r="B11" s="29" t="str">
        <f>CONCATENATE("New Improvements for ",J1-1,":")</f>
        <v>New Improvements for 2011:</v>
      </c>
      <c r="C11" s="10"/>
      <c r="D11" s="10"/>
      <c r="E11" s="148"/>
      <c r="F11" s="148" t="s">
        <v>157</v>
      </c>
      <c r="G11" s="149">
        <f>inputOth!E8</f>
        <v>20070</v>
      </c>
      <c r="H11" s="47"/>
      <c r="I11" s="39"/>
      <c r="J11" s="39"/>
    </row>
    <row r="12" spans="1:10" ht="15.75">
      <c r="A12" s="147"/>
      <c r="B12" s="150"/>
      <c r="C12" s="10"/>
      <c r="D12" s="10"/>
      <c r="E12" s="148"/>
      <c r="F12" s="148"/>
      <c r="G12" s="47"/>
      <c r="H12" s="47"/>
      <c r="I12" s="39"/>
      <c r="J12" s="39"/>
    </row>
    <row r="13" spans="1:10" ht="15.75">
      <c r="A13" s="147" t="s">
        <v>162</v>
      </c>
      <c r="B13" s="29" t="str">
        <f>CONCATENATE("Increase in Personal Property for ",J1-1,":")</f>
        <v>Increase in Personal Property for 2011:</v>
      </c>
      <c r="C13" s="10"/>
      <c r="D13" s="10"/>
      <c r="E13" s="148"/>
      <c r="F13" s="148"/>
      <c r="G13" s="47"/>
      <c r="H13" s="47"/>
      <c r="I13" s="39"/>
      <c r="J13" s="39"/>
    </row>
    <row r="14" spans="1:10" ht="15.75">
      <c r="A14" s="110"/>
      <c r="B14" s="10" t="s">
        <v>163</v>
      </c>
      <c r="C14" s="10" t="str">
        <f>CONCATENATE("Personal Property ",J1-1,"")</f>
        <v>Personal Property 2011</v>
      </c>
      <c r="D14" s="150" t="s">
        <v>157</v>
      </c>
      <c r="E14" s="149">
        <f>inputOth!E9</f>
        <v>25244</v>
      </c>
      <c r="F14" s="148"/>
      <c r="G14" s="39"/>
      <c r="H14" s="39"/>
      <c r="I14" s="47"/>
      <c r="J14" s="39"/>
    </row>
    <row r="15" spans="1:10" ht="15.75">
      <c r="A15" s="150"/>
      <c r="B15" s="10" t="s">
        <v>164</v>
      </c>
      <c r="C15" s="10" t="str">
        <f>CONCATENATE("Personal Property ",J1-2,"")</f>
        <v>Personal Property 2010</v>
      </c>
      <c r="D15" s="150" t="s">
        <v>160</v>
      </c>
      <c r="E15" s="45">
        <f>inputOth!E15</f>
        <v>27300</v>
      </c>
      <c r="F15" s="148"/>
      <c r="G15" s="47"/>
      <c r="H15" s="47"/>
      <c r="I15" s="39"/>
      <c r="J15" s="39"/>
    </row>
    <row r="16" spans="1:10" ht="15.75">
      <c r="A16" s="150"/>
      <c r="B16" s="10" t="s">
        <v>165</v>
      </c>
      <c r="C16" s="10" t="s">
        <v>186</v>
      </c>
      <c r="D16" s="10"/>
      <c r="E16" s="39"/>
      <c r="F16" s="39" t="s">
        <v>157</v>
      </c>
      <c r="G16" s="149">
        <f>IF(E14&gt;E15,E14-E15,0)</f>
        <v>0</v>
      </c>
      <c r="H16" s="47"/>
      <c r="I16" s="39"/>
      <c r="J16" s="39"/>
    </row>
    <row r="17" spans="1:10" ht="15.75">
      <c r="A17" s="150"/>
      <c r="B17" s="150"/>
      <c r="C17" s="10"/>
      <c r="D17" s="10"/>
      <c r="E17" s="39"/>
      <c r="F17" s="39"/>
      <c r="G17" s="47" t="s">
        <v>178</v>
      </c>
      <c r="H17" s="47"/>
      <c r="I17" s="39"/>
      <c r="J17" s="39"/>
    </row>
    <row r="18" spans="1:10" ht="15.75">
      <c r="A18" s="150" t="s">
        <v>166</v>
      </c>
      <c r="B18" s="29" t="str">
        <f>CONCATENATE("Valuation of annexed territory for ",J1-1,":")</f>
        <v>Valuation of annexed territory for 2011:</v>
      </c>
      <c r="C18" s="10"/>
      <c r="D18" s="10"/>
      <c r="E18" s="47"/>
      <c r="F18" s="39"/>
      <c r="G18" s="39"/>
      <c r="H18" s="39"/>
      <c r="I18" s="39"/>
      <c r="J18" s="39"/>
    </row>
    <row r="19" spans="1:10" ht="15.75">
      <c r="A19" s="150"/>
      <c r="B19" s="10" t="s">
        <v>167</v>
      </c>
      <c r="C19" s="10" t="s">
        <v>188</v>
      </c>
      <c r="D19" s="150" t="s">
        <v>157</v>
      </c>
      <c r="E19" s="149">
        <f>inputOth!E11</f>
        <v>0</v>
      </c>
      <c r="F19" s="39"/>
      <c r="G19" s="39"/>
      <c r="H19" s="39"/>
      <c r="I19" s="39"/>
      <c r="J19" s="39"/>
    </row>
    <row r="20" spans="1:10" ht="15.75">
      <c r="A20" s="150"/>
      <c r="B20" s="10" t="s">
        <v>168</v>
      </c>
      <c r="C20" s="10" t="s">
        <v>189</v>
      </c>
      <c r="D20" s="150" t="s">
        <v>157</v>
      </c>
      <c r="E20" s="149">
        <f>inputOth!E12</f>
        <v>0</v>
      </c>
      <c r="F20" s="39"/>
      <c r="G20" s="47"/>
      <c r="H20" s="47"/>
      <c r="I20" s="39"/>
      <c r="J20" s="39"/>
    </row>
    <row r="21" spans="1:10" ht="15.75">
      <c r="A21" s="150"/>
      <c r="B21" s="10" t="s">
        <v>169</v>
      </c>
      <c r="C21" s="10" t="s">
        <v>185</v>
      </c>
      <c r="D21" s="150" t="s">
        <v>160</v>
      </c>
      <c r="E21" s="149">
        <f>inputOth!E13</f>
        <v>0</v>
      </c>
      <c r="F21" s="39"/>
      <c r="G21" s="47"/>
      <c r="H21" s="47"/>
      <c r="I21" s="39"/>
      <c r="J21" s="39"/>
    </row>
    <row r="22" spans="1:10" ht="15.75">
      <c r="A22" s="150"/>
      <c r="B22" s="10" t="s">
        <v>170</v>
      </c>
      <c r="C22" s="10" t="s">
        <v>190</v>
      </c>
      <c r="D22" s="150"/>
      <c r="E22" s="47"/>
      <c r="F22" s="39" t="s">
        <v>157</v>
      </c>
      <c r="G22" s="149">
        <f>E19+E20-E21</f>
        <v>0</v>
      </c>
      <c r="H22" s="47"/>
      <c r="I22" s="39"/>
      <c r="J22" s="39"/>
    </row>
    <row r="23" spans="1:10" ht="15.75">
      <c r="A23" s="150"/>
      <c r="B23" s="150"/>
      <c r="C23" s="10"/>
      <c r="D23" s="150"/>
      <c r="E23" s="47"/>
      <c r="F23" s="39"/>
      <c r="G23" s="47"/>
      <c r="H23" s="47"/>
      <c r="I23" s="39"/>
      <c r="J23" s="39"/>
    </row>
    <row r="24" spans="1:10" ht="15.75">
      <c r="A24" s="150" t="s">
        <v>171</v>
      </c>
      <c r="B24" s="29" t="str">
        <f>CONCATENATE("Valuation of Property that has Changed in Use during ",J1-1,":")</f>
        <v>Valuation of Property that has Changed in Use during 2011:</v>
      </c>
      <c r="C24" s="10"/>
      <c r="D24" s="10"/>
      <c r="E24" s="39"/>
      <c r="F24" s="39"/>
      <c r="G24" s="39">
        <f>inputOth!E14</f>
        <v>6273</v>
      </c>
      <c r="H24" s="39"/>
      <c r="I24" s="39"/>
      <c r="J24" s="39"/>
    </row>
    <row r="25" spans="1:10" ht="15.75">
      <c r="A25" s="10" t="s">
        <v>59</v>
      </c>
      <c r="B25" s="10"/>
      <c r="C25" s="10"/>
      <c r="D25" s="150"/>
      <c r="E25" s="47"/>
      <c r="F25" s="39"/>
      <c r="G25" s="151"/>
      <c r="H25" s="47"/>
      <c r="I25" s="39"/>
      <c r="J25" s="39"/>
    </row>
    <row r="26" spans="1:10" ht="15.75">
      <c r="A26" s="150" t="s">
        <v>172</v>
      </c>
      <c r="B26" s="29" t="s">
        <v>191</v>
      </c>
      <c r="C26" s="10"/>
      <c r="D26" s="10"/>
      <c r="E26" s="39"/>
      <c r="F26" s="39"/>
      <c r="G26" s="149">
        <f>G11+G16+G22+G24</f>
        <v>26343</v>
      </c>
      <c r="H26" s="47"/>
      <c r="I26" s="39"/>
      <c r="J26" s="39"/>
    </row>
    <row r="27" spans="1:10" ht="15.75">
      <c r="A27" s="150"/>
      <c r="B27" s="150"/>
      <c r="C27" s="29"/>
      <c r="D27" s="10"/>
      <c r="E27" s="39"/>
      <c r="F27" s="39"/>
      <c r="G27" s="47"/>
      <c r="H27" s="47"/>
      <c r="I27" s="39"/>
      <c r="J27" s="39"/>
    </row>
    <row r="28" spans="1:10" ht="15.75">
      <c r="A28" s="150" t="s">
        <v>173</v>
      </c>
      <c r="B28" s="10" t="str">
        <f>CONCATENATE("Total Estimated Valuation July 1, ",J1-1,"")</f>
        <v>Total Estimated Valuation July 1, 2011</v>
      </c>
      <c r="C28" s="10"/>
      <c r="D28" s="10"/>
      <c r="E28" s="149">
        <f>inputOth!E7</f>
        <v>1550719</v>
      </c>
      <c r="F28" s="39"/>
      <c r="G28" s="39"/>
      <c r="H28" s="39"/>
      <c r="I28" s="148"/>
      <c r="J28" s="39"/>
    </row>
    <row r="29" spans="1:10" ht="15.75">
      <c r="A29" s="150"/>
      <c r="B29" s="150"/>
      <c r="C29" s="10"/>
      <c r="D29" s="10"/>
      <c r="E29" s="47"/>
      <c r="F29" s="39"/>
      <c r="G29" s="39"/>
      <c r="H29" s="39"/>
      <c r="I29" s="148"/>
      <c r="J29" s="39"/>
    </row>
    <row r="30" spans="1:10" ht="15.75">
      <c r="A30" s="150" t="s">
        <v>174</v>
      </c>
      <c r="B30" s="29" t="s">
        <v>192</v>
      </c>
      <c r="C30" s="10"/>
      <c r="D30" s="10"/>
      <c r="E30" s="39"/>
      <c r="F30" s="39"/>
      <c r="G30" s="149">
        <f>E28-G26</f>
        <v>1524376</v>
      </c>
      <c r="H30" s="47"/>
      <c r="I30" s="148"/>
      <c r="J30" s="39"/>
    </row>
    <row r="31" spans="1:10" ht="15.75">
      <c r="A31" s="150"/>
      <c r="B31" s="150"/>
      <c r="C31" s="29"/>
      <c r="D31" s="10"/>
      <c r="E31" s="10"/>
      <c r="F31" s="10"/>
      <c r="G31" s="84"/>
      <c r="H31" s="49"/>
      <c r="I31" s="150"/>
      <c r="J31" s="10"/>
    </row>
    <row r="32" spans="1:10" ht="15.75">
      <c r="A32" s="150" t="s">
        <v>175</v>
      </c>
      <c r="B32" s="10" t="s">
        <v>193</v>
      </c>
      <c r="C32" s="10"/>
      <c r="D32" s="10"/>
      <c r="E32" s="10"/>
      <c r="F32" s="10"/>
      <c r="G32" s="152">
        <f>IF(G30&gt;0,G26/G30,0)</f>
        <v>0.017281169475247576</v>
      </c>
      <c r="H32" s="49"/>
      <c r="I32" s="10"/>
      <c r="J32" s="10"/>
    </row>
    <row r="33" spans="1:10" ht="15.75">
      <c r="A33" s="150"/>
      <c r="B33" s="150"/>
      <c r="C33" s="10"/>
      <c r="D33" s="10"/>
      <c r="E33" s="10"/>
      <c r="F33" s="10"/>
      <c r="G33" s="49"/>
      <c r="H33" s="49"/>
      <c r="I33" s="10"/>
      <c r="J33" s="10"/>
    </row>
    <row r="34" spans="1:10" ht="15.75">
      <c r="A34" s="150" t="s">
        <v>176</v>
      </c>
      <c r="B34" s="10" t="s">
        <v>194</v>
      </c>
      <c r="C34" s="10"/>
      <c r="D34" s="10"/>
      <c r="E34" s="10"/>
      <c r="F34" s="10"/>
      <c r="G34" s="49"/>
      <c r="H34" s="153" t="s">
        <v>157</v>
      </c>
      <c r="I34" s="10" t="s">
        <v>158</v>
      </c>
      <c r="J34" s="149">
        <f>ROUND(G32*J7,0)</f>
        <v>1408</v>
      </c>
    </row>
    <row r="35" spans="1:10" ht="15.75">
      <c r="A35" s="150"/>
      <c r="B35" s="150"/>
      <c r="C35" s="10"/>
      <c r="D35" s="10"/>
      <c r="E35" s="10"/>
      <c r="F35" s="10"/>
      <c r="G35" s="49"/>
      <c r="H35" s="153"/>
      <c r="I35" s="10"/>
      <c r="J35" s="47"/>
    </row>
    <row r="36" spans="1:10" ht="16.5" thickBot="1">
      <c r="A36" s="150" t="s">
        <v>177</v>
      </c>
      <c r="B36" s="29" t="s">
        <v>200</v>
      </c>
      <c r="C36" s="10"/>
      <c r="D36" s="10"/>
      <c r="E36" s="10"/>
      <c r="F36" s="10"/>
      <c r="G36" s="10"/>
      <c r="H36" s="10"/>
      <c r="I36" s="10" t="s">
        <v>158</v>
      </c>
      <c r="J36" s="154">
        <f>J7+J34</f>
        <v>82874</v>
      </c>
    </row>
    <row r="37" spans="1:10" ht="16.5" thickTop="1">
      <c r="A37" s="10"/>
      <c r="B37" s="10"/>
      <c r="C37" s="10"/>
      <c r="D37" s="10"/>
      <c r="E37" s="10"/>
      <c r="F37" s="10"/>
      <c r="G37" s="10"/>
      <c r="H37" s="10"/>
      <c r="I37" s="10"/>
      <c r="J37" s="10"/>
    </row>
    <row r="38" spans="1:10" ht="15.75">
      <c r="A38" s="150" t="s">
        <v>198</v>
      </c>
      <c r="B38" s="29" t="str">
        <f>CONCATENATE("Debt Service Levy in this ",J1," Budget")</f>
        <v>Debt Service Levy in this 2012 Budget</v>
      </c>
      <c r="C38" s="10"/>
      <c r="D38" s="10"/>
      <c r="E38" s="10"/>
      <c r="F38" s="10"/>
      <c r="G38" s="10"/>
      <c r="H38" s="10"/>
      <c r="I38" s="10"/>
      <c r="J38" s="155">
        <f>'Bond &amp; int'!E38</f>
        <v>0</v>
      </c>
    </row>
    <row r="39" spans="1:10" ht="15.75">
      <c r="A39" s="150"/>
      <c r="B39" s="29"/>
      <c r="C39" s="10"/>
      <c r="D39" s="10"/>
      <c r="E39" s="10"/>
      <c r="F39" s="10"/>
      <c r="G39" s="10"/>
      <c r="H39" s="10"/>
      <c r="I39" s="10"/>
      <c r="J39" s="49"/>
    </row>
    <row r="40" spans="1:10" ht="16.5" thickBot="1">
      <c r="A40" s="150" t="s">
        <v>199</v>
      </c>
      <c r="B40" s="29" t="s">
        <v>201</v>
      </c>
      <c r="C40" s="10"/>
      <c r="D40" s="10"/>
      <c r="E40" s="10"/>
      <c r="F40" s="10"/>
      <c r="G40" s="10"/>
      <c r="H40" s="10"/>
      <c r="I40" s="10"/>
      <c r="J40" s="154">
        <f>J36+J38</f>
        <v>82874</v>
      </c>
    </row>
    <row r="41" spans="1:10" ht="16.5" thickTop="1">
      <c r="A41" s="10"/>
      <c r="B41" s="10"/>
      <c r="C41" s="10"/>
      <c r="D41" s="10"/>
      <c r="E41" s="10"/>
      <c r="F41" s="10"/>
      <c r="G41" s="10"/>
      <c r="H41" s="10"/>
      <c r="I41" s="10"/>
      <c r="J41" s="10"/>
    </row>
    <row r="42" spans="1:10" s="156" customFormat="1" ht="18.75">
      <c r="A42" s="497" t="str">
        <f>CONCATENATE("If the ",J1," budget includes tax levies exceeding the total on line 15, you must")</f>
        <v>If the 2012 budget includes tax levies exceeding the total on line 15, you must</v>
      </c>
      <c r="B42" s="497"/>
      <c r="C42" s="497"/>
      <c r="D42" s="497"/>
      <c r="E42" s="497"/>
      <c r="F42" s="497"/>
      <c r="G42" s="497"/>
      <c r="H42" s="497"/>
      <c r="I42" s="497"/>
      <c r="J42" s="497"/>
    </row>
    <row r="43" spans="1:10" s="156" customFormat="1" ht="18.75">
      <c r="A43" s="498" t="s">
        <v>267</v>
      </c>
      <c r="B43" s="498"/>
      <c r="C43" s="498"/>
      <c r="D43" s="498"/>
      <c r="E43" s="498"/>
      <c r="F43" s="498"/>
      <c r="G43" s="498"/>
      <c r="H43" s="498"/>
      <c r="I43" s="498"/>
      <c r="J43" s="498"/>
    </row>
    <row r="44" spans="1:10" ht="15.75" customHeight="1">
      <c r="A44" s="492" t="s">
        <v>268</v>
      </c>
      <c r="B44" s="492"/>
      <c r="C44" s="492"/>
      <c r="D44" s="492"/>
      <c r="E44" s="496"/>
      <c r="F44" s="492"/>
      <c r="G44" s="492"/>
      <c r="H44" s="492"/>
      <c r="I44" s="492"/>
      <c r="J44" s="492"/>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7" sqref="C7"/>
    </sheetView>
  </sheetViews>
  <sheetFormatPr defaultColWidth="8.8984375" defaultRowHeight="15"/>
  <cols>
    <col min="1" max="1" width="17.8984375" style="11" customWidth="1"/>
    <col min="2" max="2" width="15.296875" style="11" customWidth="1"/>
    <col min="3" max="6" width="10.796875" style="11" customWidth="1"/>
    <col min="7" max="16384" width="8.8984375" style="11" customWidth="1"/>
  </cols>
  <sheetData>
    <row r="1" spans="1:6" ht="15.75">
      <c r="A1" s="144" t="str">
        <f>inputPrYr!D2</f>
        <v>City of LaHarpe</v>
      </c>
      <c r="B1" s="144"/>
      <c r="C1" s="10"/>
      <c r="D1" s="10"/>
      <c r="E1" s="10"/>
      <c r="F1" s="10">
        <f>inputPrYr!$C$5</f>
        <v>2012</v>
      </c>
    </row>
    <row r="2" spans="1:6" ht="15.75">
      <c r="A2" s="10"/>
      <c r="B2" s="10"/>
      <c r="C2" s="10"/>
      <c r="D2" s="10"/>
      <c r="E2" s="10"/>
      <c r="F2" s="10"/>
    </row>
    <row r="3" spans="1:6" ht="15.75">
      <c r="A3" s="499" t="s">
        <v>17</v>
      </c>
      <c r="B3" s="499"/>
      <c r="C3" s="499"/>
      <c r="D3" s="499"/>
      <c r="E3" s="499"/>
      <c r="F3" s="10"/>
    </row>
    <row r="4" spans="1:6" ht="15.75">
      <c r="A4" s="10"/>
      <c r="B4" s="157"/>
      <c r="C4" s="158"/>
      <c r="D4" s="158"/>
      <c r="E4" s="10"/>
      <c r="F4" s="10"/>
    </row>
    <row r="5" spans="1:6" ht="21" customHeight="1">
      <c r="A5" s="159" t="s">
        <v>266</v>
      </c>
      <c r="B5" s="160" t="s">
        <v>265</v>
      </c>
      <c r="C5" s="501" t="str">
        <f>CONCATENATE("Allocation for Year ",F1,"")</f>
        <v>Allocation for Year 2012</v>
      </c>
      <c r="D5" s="471"/>
      <c r="E5" s="471"/>
      <c r="F5" s="472"/>
    </row>
    <row r="6" spans="1:6" ht="15.75">
      <c r="A6" s="161" t="str">
        <f>CONCATENATE("for ",F1-1,"")</f>
        <v>for 2011</v>
      </c>
      <c r="B6" s="161" t="str">
        <f>CONCATENATE("for ",F1-2,"")</f>
        <v>for 2010</v>
      </c>
      <c r="C6" s="120" t="s">
        <v>151</v>
      </c>
      <c r="D6" s="120" t="s">
        <v>152</v>
      </c>
      <c r="E6" s="120" t="s">
        <v>150</v>
      </c>
      <c r="F6" s="128" t="s">
        <v>233</v>
      </c>
    </row>
    <row r="7" spans="1:6" ht="15.75">
      <c r="A7" s="58" t="str">
        <f>(inputPrYr!B17)</f>
        <v>General</v>
      </c>
      <c r="B7" s="123">
        <f>(inputPrYr!E17)</f>
        <v>81466</v>
      </c>
      <c r="C7" s="123">
        <f>IF(inputOth!E39=0,0,C22-SUM(C8:C18))</f>
        <v>19695</v>
      </c>
      <c r="D7" s="123">
        <f>IF(inputOth!E40=0,0,D23-SUM(D8:D18))</f>
        <v>374</v>
      </c>
      <c r="E7" s="123">
        <f>IF(inputOth!E41=0,0,E24-SUM(E8:E18))</f>
        <v>164</v>
      </c>
      <c r="F7" s="123">
        <f>IF(inputOth!E44=0,0,F25-SUM(F8:F18))</f>
        <v>0</v>
      </c>
    </row>
    <row r="8" spans="1:6" ht="15.75">
      <c r="A8" s="58" t="str">
        <f>IF(inputPrYr!$B18&gt;"  ",(inputPrYr!$B18),"  ")</f>
        <v>Bond &amp; Interest</v>
      </c>
      <c r="B8" s="123" t="str">
        <f>IF(inputPrYr!$E18&gt;0,(inputPrYr!$E18),"  ")</f>
        <v>  </v>
      </c>
      <c r="C8" s="123" t="str">
        <f>IF(inputPrYr!E18&gt;0,ROUND(B8*$C$27,0),"  ")</f>
        <v>  </v>
      </c>
      <c r="D8" s="123" t="str">
        <f>IF(inputPrYr!E18&gt;0,ROUND(+B8*D$28,0)," ")</f>
        <v> </v>
      </c>
      <c r="E8" s="123" t="str">
        <f>IF(inputPrYr!E18&gt;0,ROUND(+B8*E$29,0)," ")</f>
        <v> </v>
      </c>
      <c r="F8" s="123" t="str">
        <f>IF(inputPrYr!E18&gt;0,ROUND(+B8*F$30,0)," ")</f>
        <v> </v>
      </c>
    </row>
    <row r="9" spans="1:6" ht="15.75">
      <c r="A9" s="58" t="str">
        <f>IF(inputPrYr!$B20&gt;"  ",(inputPrYr!$B20),"  ")</f>
        <v>  </v>
      </c>
      <c r="B9" s="123" t="str">
        <f>IF(inputPrYr!$E20&gt;0,(inputPrYr!$E20),"  ")</f>
        <v>  </v>
      </c>
      <c r="C9" s="123" t="str">
        <f>IF(inputPrYr!E20&gt;0,ROUND(B9*$C$27,0),"  ")</f>
        <v>  </v>
      </c>
      <c r="D9" s="123" t="str">
        <f>IF(inputPrYr!E20&gt;0,ROUND(+B9*D$28,0)," ")</f>
        <v> </v>
      </c>
      <c r="E9" s="123" t="str">
        <f>IF(inputPrYr!E20&gt;0,ROUND(+B9*E$29,0)," ")</f>
        <v> </v>
      </c>
      <c r="F9" s="123" t="str">
        <f>IF(inputPrYr!E20&gt;0,ROUND(+B9*F$30,0)," ")</f>
        <v> </v>
      </c>
    </row>
    <row r="10" spans="1:6" ht="15.75">
      <c r="A10" s="58" t="str">
        <f>IF(inputPrYr!$B21&gt;"  ",(inputPrYr!$B21),"  ")</f>
        <v>  </v>
      </c>
      <c r="B10" s="123" t="str">
        <f>IF(inputPrYr!$E21&gt;0,(inputPrYr!$E21),"  ")</f>
        <v>  </v>
      </c>
      <c r="C10" s="123" t="str">
        <f>IF(inputPrYr!E21&gt;0,ROUND(B10*$C$27,0),"  ")</f>
        <v>  </v>
      </c>
      <c r="D10" s="123" t="str">
        <f>IF(inputPrYr!E21&gt;0,ROUND(+B10*D$28,0)," ")</f>
        <v> </v>
      </c>
      <c r="E10" s="123" t="str">
        <f>IF(inputPrYr!E21&gt;0,ROUND(+B10*E$29,0)," ")</f>
        <v> </v>
      </c>
      <c r="F10" s="123" t="str">
        <f>IF(inputPrYr!E21&gt;0,ROUND(+B10*F$30,0)," ")</f>
        <v> </v>
      </c>
    </row>
    <row r="11" spans="1:6" ht="15.75">
      <c r="A11" s="58" t="str">
        <f>IF(inputPrYr!$B22&gt;"  ",(inputPrYr!$B22),"  ")</f>
        <v>  </v>
      </c>
      <c r="B11" s="123" t="str">
        <f>IF(inputPrYr!$E22&gt;0,(inputPrYr!$E22),"  ")</f>
        <v>  </v>
      </c>
      <c r="C11" s="123" t="str">
        <f>IF(inputPrYr!E22&gt;0,ROUND(B11*$C$27,0),"  ")</f>
        <v>  </v>
      </c>
      <c r="D11" s="123" t="str">
        <f>IF(inputPrYr!E22&gt;0,ROUND(+B11*D$28,0)," ")</f>
        <v> </v>
      </c>
      <c r="E11" s="123" t="str">
        <f>IF(inputPrYr!E22&gt;0,ROUND(+B11*E$29,0)," ")</f>
        <v> </v>
      </c>
      <c r="F11" s="123" t="str">
        <f>IF(inputPrYr!E22&gt;0,ROUND(+B11*F$30,0)," ")</f>
        <v> </v>
      </c>
    </row>
    <row r="12" spans="1:6" ht="15.75">
      <c r="A12" s="58" t="str">
        <f>IF(inputPrYr!$B23&gt;"  ",(inputPrYr!$B23),"  ")</f>
        <v>  </v>
      </c>
      <c r="B12" s="123" t="str">
        <f>IF(inputPrYr!$E23&gt;0,(inputPrYr!$E23),"  ")</f>
        <v>  </v>
      </c>
      <c r="C12" s="123" t="str">
        <f>IF(inputPrYr!E23&gt;0,ROUND(B12*$C$27,0),"  ")</f>
        <v>  </v>
      </c>
      <c r="D12" s="123" t="str">
        <f>IF(inputPrYr!E23&gt;0,ROUND(+B12*D$28,0)," ")</f>
        <v> </v>
      </c>
      <c r="E12" s="123" t="str">
        <f>IF(inputPrYr!E23&gt;0,ROUND(+B12*E$29,0)," ")</f>
        <v> </v>
      </c>
      <c r="F12" s="123" t="str">
        <f>IF(inputPrYr!E23&gt;0,ROUND(+B12*F$30,0)," ")</f>
        <v> </v>
      </c>
    </row>
    <row r="13" spans="1:6" ht="15.75">
      <c r="A13" s="58" t="str">
        <f>IF(inputPrYr!$B24&gt;"  ",(inputPrYr!$B24),"  ")</f>
        <v>  </v>
      </c>
      <c r="B13" s="123" t="str">
        <f>IF(inputPrYr!$E24&gt;0,(inputPrYr!$E24),"  ")</f>
        <v>  </v>
      </c>
      <c r="C13" s="123" t="str">
        <f>IF(inputPrYr!E24&gt;0,ROUND(B13*$C$27,0),"  ")</f>
        <v>  </v>
      </c>
      <c r="D13" s="123" t="str">
        <f>IF(inputPrYr!E24&gt;0,ROUND(+B13*D$28,0)," ")</f>
        <v> </v>
      </c>
      <c r="E13" s="123" t="str">
        <f>IF(inputPrYr!E24&gt;0,ROUND(+B13*E$29,0)," ")</f>
        <v> </v>
      </c>
      <c r="F13" s="123" t="str">
        <f>IF(inputPrYr!E24&gt;0,ROUND(+B13*F$30,0)," ")</f>
        <v> </v>
      </c>
    </row>
    <row r="14" spans="1:6" ht="15.75">
      <c r="A14" s="58" t="str">
        <f>IF(inputPrYr!$B25&gt;"  ",(inputPrYr!$B25),"  ")</f>
        <v>  </v>
      </c>
      <c r="B14" s="123" t="str">
        <f>IF(inputPrYr!$E25&gt;0,(inputPrYr!$E25),"  ")</f>
        <v>  </v>
      </c>
      <c r="C14" s="123" t="str">
        <f>IF(inputPrYr!E25&gt;0,ROUND(B14*$C$27,0),"  ")</f>
        <v>  </v>
      </c>
      <c r="D14" s="123" t="str">
        <f>IF(inputPrYr!E25&gt;0,ROUND(+B14*D$28,0)," ")</f>
        <v> </v>
      </c>
      <c r="E14" s="123" t="str">
        <f>IF(inputPrYr!E25&gt;0,ROUND(+B14*E$29,0)," ")</f>
        <v> </v>
      </c>
      <c r="F14" s="123" t="str">
        <f>IF(inputPrYr!E25&gt;0,ROUND(+B14*F$30,0)," ")</f>
        <v> </v>
      </c>
    </row>
    <row r="15" spans="1:6" ht="15.75">
      <c r="A15" s="58" t="str">
        <f>IF(inputPrYr!$B26&gt;"  ",(inputPrYr!$B26),"  ")</f>
        <v>  </v>
      </c>
      <c r="B15" s="123" t="str">
        <f>IF(inputPrYr!$E26&gt;0,(inputPrYr!$E26),"  ")</f>
        <v>  </v>
      </c>
      <c r="C15" s="123" t="str">
        <f>IF(inputPrYr!E26&gt;0,ROUND(B15*$C$27,0),"  ")</f>
        <v>  </v>
      </c>
      <c r="D15" s="123" t="str">
        <f>IF(inputPrYr!E26&gt;0,ROUND(+B15*D$28,0)," ")</f>
        <v> </v>
      </c>
      <c r="E15" s="123" t="str">
        <f>IF(inputPrYr!E26&gt;0,ROUND(+B15*E$29,0)," ")</f>
        <v> </v>
      </c>
      <c r="F15" s="123" t="str">
        <f>IF(inputPrYr!E26&gt;0,ROUND(+B15*F$30,0)," ")</f>
        <v> </v>
      </c>
    </row>
    <row r="16" spans="1:6" ht="15.75">
      <c r="A16" s="58" t="str">
        <f>IF(inputPrYr!$B27&gt;"  ",(inputPrYr!$B27),"  ")</f>
        <v>  </v>
      </c>
      <c r="B16" s="123" t="str">
        <f>IF(inputPrYr!$E27&gt;0,(inputPrYr!$E27),"  ")</f>
        <v>  </v>
      </c>
      <c r="C16" s="123" t="str">
        <f>IF(inputPrYr!E27&gt;0,ROUND(B16*$C$27,0),"  ")</f>
        <v>  </v>
      </c>
      <c r="D16" s="123" t="str">
        <f>IF(inputPrYr!E27&gt;0,ROUND(+B16*D$28,0)," ")</f>
        <v> </v>
      </c>
      <c r="E16" s="123" t="str">
        <f>IF(inputPrYr!E27&gt;0,ROUND(+B16*E$29,0)," ")</f>
        <v> </v>
      </c>
      <c r="F16" s="123" t="str">
        <f>IF(inputPrYr!E27&gt;0,ROUND(+B16*F$30,0)," ")</f>
        <v> </v>
      </c>
    </row>
    <row r="17" spans="1:6" ht="15.75">
      <c r="A17" s="58" t="str">
        <f>IF(inputPrYr!$B28&gt;"  ",(inputPrYr!$B28),"  ")</f>
        <v>  </v>
      </c>
      <c r="B17" s="123" t="str">
        <f>IF(inputPrYr!$E28&gt;0,(inputPrYr!$E28),"  ")</f>
        <v>  </v>
      </c>
      <c r="C17" s="123" t="str">
        <f>IF(inputPrYr!E28&gt;0,ROUND(B17*$C$27,0),"  ")</f>
        <v>  </v>
      </c>
      <c r="D17" s="123" t="str">
        <f>IF(inputPrYr!E28&gt;0,ROUND(+B17*D$28,0)," ")</f>
        <v> </v>
      </c>
      <c r="E17" s="123" t="str">
        <f>IF(inputPrYr!E28&gt;0,ROUND(+B17*E$29,0)," ")</f>
        <v> </v>
      </c>
      <c r="F17" s="123" t="str">
        <f>IF(inputPrYr!E28&gt;0,ROUND(+B17*F$30,0)," ")</f>
        <v> </v>
      </c>
    </row>
    <row r="18" spans="1:6" ht="15.75">
      <c r="A18" s="58" t="str">
        <f>IF(inputPrYr!$B29&gt;"  ",(inputPrYr!$B29),"  ")</f>
        <v>  </v>
      </c>
      <c r="B18" s="123" t="str">
        <f>IF(inputPrYr!$E29&gt;0,(inputPrYr!$E29),"  ")</f>
        <v>  </v>
      </c>
      <c r="C18" s="123" t="str">
        <f>IF(inputPrYr!E29&gt;0,ROUND(B18*$C$27,0),"  ")</f>
        <v>  </v>
      </c>
      <c r="D18" s="123" t="str">
        <f>IF(inputPrYr!E29&gt;0,ROUND(+B18*D$28,0)," ")</f>
        <v> </v>
      </c>
      <c r="E18" s="123" t="str">
        <f>IF(inputPrYr!E29&gt;0,ROUND(+B18*E$29,0)," ")</f>
        <v> </v>
      </c>
      <c r="F18" s="123" t="str">
        <f>IF(inputPrYr!E29&gt;0,ROUND(+B18*F$30,0)," ")</f>
        <v> </v>
      </c>
    </row>
    <row r="19" spans="1:6" ht="15.75">
      <c r="A19" s="58" t="str">
        <f>IF(inputPrYr!$B30&gt;"  ",(inputPrYr!$B30),"  ")</f>
        <v>  </v>
      </c>
      <c r="B19" s="123" t="str">
        <f>IF(inputPrYr!$E30&gt;0,(inputPrYr!$E30),"  ")</f>
        <v>  </v>
      </c>
      <c r="C19" s="123" t="str">
        <f>IF(inputPrYr!E30&gt;0,ROUND(B19*$C$27,0),"  ")</f>
        <v>  </v>
      </c>
      <c r="D19" s="123" t="str">
        <f>IF(inputPrYr!E30&gt;0,ROUND(+B19*D$28,0)," ")</f>
        <v> </v>
      </c>
      <c r="E19" s="123" t="str">
        <f>IF(inputPrYr!E30&gt;0,ROUND(+B19*E$29,0)," ")</f>
        <v> </v>
      </c>
      <c r="F19" s="123" t="str">
        <f>IF(inputPrYr!E30&gt;0,ROUND(+B19*F$30,0)," ")</f>
        <v> </v>
      </c>
    </row>
    <row r="20" spans="1:6" ht="16.5" thickBot="1">
      <c r="A20" s="10" t="s">
        <v>77</v>
      </c>
      <c r="B20" s="162">
        <f>SUM(B7:B19)</f>
        <v>81466</v>
      </c>
      <c r="C20" s="162">
        <f>SUM(C7:C19)</f>
        <v>19695</v>
      </c>
      <c r="D20" s="162">
        <f>SUM(D7:D19)</f>
        <v>374</v>
      </c>
      <c r="E20" s="162">
        <f>SUM(E7:E19)</f>
        <v>164</v>
      </c>
      <c r="F20" s="162">
        <f>SUM(F7:F19)</f>
        <v>0</v>
      </c>
    </row>
    <row r="21" spans="1:6" ht="16.5" thickTop="1">
      <c r="A21" s="10"/>
      <c r="B21" s="10"/>
      <c r="C21" s="10"/>
      <c r="D21" s="10"/>
      <c r="E21" s="10"/>
      <c r="F21" s="10"/>
    </row>
    <row r="22" spans="1:6" ht="15.75">
      <c r="A22" s="17" t="s">
        <v>78</v>
      </c>
      <c r="B22" s="163"/>
      <c r="C22" s="164">
        <f>(inputOth!E39)</f>
        <v>19695</v>
      </c>
      <c r="D22" s="163"/>
      <c r="E22" s="10"/>
      <c r="F22" s="10"/>
    </row>
    <row r="23" spans="1:6" ht="15.75">
      <c r="A23" s="17" t="s">
        <v>79</v>
      </c>
      <c r="B23" s="10"/>
      <c r="C23" s="10"/>
      <c r="D23" s="164">
        <f>(inputOth!E40)</f>
        <v>374</v>
      </c>
      <c r="E23" s="10"/>
      <c r="F23" s="10"/>
    </row>
    <row r="24" spans="1:6" ht="15.75">
      <c r="A24" s="17" t="s">
        <v>153</v>
      </c>
      <c r="B24" s="10"/>
      <c r="C24" s="10"/>
      <c r="D24" s="10"/>
      <c r="E24" s="164">
        <f>inputOth!E41</f>
        <v>164</v>
      </c>
      <c r="F24" s="10"/>
    </row>
    <row r="25" spans="1:6" ht="15.75">
      <c r="A25" s="17" t="s">
        <v>15</v>
      </c>
      <c r="B25" s="10"/>
      <c r="C25" s="10"/>
      <c r="D25" s="10"/>
      <c r="E25" s="165"/>
      <c r="F25" s="149">
        <f>inputOth!E44</f>
        <v>0</v>
      </c>
    </row>
    <row r="26" spans="1:6" ht="15.75">
      <c r="A26" s="17"/>
      <c r="B26" s="10"/>
      <c r="C26" s="10"/>
      <c r="D26" s="10"/>
      <c r="E26" s="165"/>
      <c r="F26" s="10"/>
    </row>
    <row r="27" spans="1:6" ht="15.75">
      <c r="A27" s="17" t="s">
        <v>80</v>
      </c>
      <c r="B27" s="10"/>
      <c r="C27" s="166">
        <f>IF(B20=0,0,C22/B20)</f>
        <v>0.241757297522893</v>
      </c>
      <c r="D27" s="10"/>
      <c r="E27" s="10"/>
      <c r="F27" s="10"/>
    </row>
    <row r="28" spans="1:6" ht="15.75">
      <c r="A28" s="10"/>
      <c r="B28" s="17" t="s">
        <v>81</v>
      </c>
      <c r="C28" s="10"/>
      <c r="D28" s="166">
        <f>IF(B20=0,0,D23/B20)</f>
        <v>0.004590872265730489</v>
      </c>
      <c r="E28" s="10"/>
      <c r="F28" s="10"/>
    </row>
    <row r="29" spans="1:6" ht="15.75">
      <c r="A29" s="10"/>
      <c r="B29" s="10"/>
      <c r="C29" s="17" t="s">
        <v>154</v>
      </c>
      <c r="D29" s="10"/>
      <c r="E29" s="166">
        <f>IF(E24=0,0,E24/B20)</f>
        <v>0.0020131097635823535</v>
      </c>
      <c r="F29" s="10"/>
    </row>
    <row r="30" spans="1:6" ht="15.75">
      <c r="A30" s="10"/>
      <c r="B30" s="10"/>
      <c r="C30" s="10"/>
      <c r="D30" s="10" t="s">
        <v>16</v>
      </c>
      <c r="E30" s="10"/>
      <c r="F30" s="166">
        <f>IF(F25=0,0,F25/B20)</f>
        <v>0</v>
      </c>
    </row>
    <row r="31" spans="1:6" ht="15" customHeight="1">
      <c r="A31" s="75"/>
      <c r="B31" s="75"/>
      <c r="C31" s="75"/>
      <c r="D31" s="75"/>
      <c r="E31" s="75"/>
      <c r="F31" s="75"/>
    </row>
    <row r="32" ht="15" customHeight="1"/>
    <row r="33" s="167"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A3:E3"/>
    <mergeCell ref="C5:F5"/>
  </mergeCells>
  <printOptions/>
  <pageMargins left="0.5" right="0.5" top="0.5" bottom="0" header="0.25" footer="0"/>
  <pageSetup blackAndWhite="1" fitToHeight="1" fitToWidth="1" horizontalDpi="120" verticalDpi="120" orientation="portrait" scale="98"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C25" sqref="C25"/>
    </sheetView>
  </sheetViews>
  <sheetFormatPr defaultColWidth="8.8984375" defaultRowHeight="15"/>
  <cols>
    <col min="1" max="2" width="17.796875" style="7" customWidth="1"/>
    <col min="3" max="6" width="12.796875" style="7" customWidth="1"/>
    <col min="7" max="16384" width="8.8984375" style="7" customWidth="1"/>
  </cols>
  <sheetData>
    <row r="1" spans="1:6" ht="15.75">
      <c r="A1" s="74" t="str">
        <f>inputPrYr!D2</f>
        <v>City of LaHarpe</v>
      </c>
      <c r="B1" s="74"/>
      <c r="C1" s="76"/>
      <c r="D1" s="76"/>
      <c r="E1" s="76"/>
      <c r="F1" s="76">
        <f>inputPrYr!$C$5</f>
        <v>2012</v>
      </c>
    </row>
    <row r="2" spans="1:6" ht="15.75">
      <c r="A2" s="76"/>
      <c r="B2" s="76"/>
      <c r="C2" s="76"/>
      <c r="D2" s="76"/>
      <c r="E2" s="76"/>
      <c r="F2" s="76"/>
    </row>
    <row r="3" spans="1:6" ht="15.75">
      <c r="A3" s="500" t="s">
        <v>206</v>
      </c>
      <c r="B3" s="500"/>
      <c r="C3" s="500"/>
      <c r="D3" s="500"/>
      <c r="E3" s="500"/>
      <c r="F3" s="500"/>
    </row>
    <row r="4" spans="1:6" ht="15.75">
      <c r="A4" s="168"/>
      <c r="B4" s="168"/>
      <c r="C4" s="168"/>
      <c r="D4" s="168"/>
      <c r="E4" s="168"/>
      <c r="F4" s="168"/>
    </row>
    <row r="5" spans="1:6" ht="15.75">
      <c r="A5" s="169" t="s">
        <v>32</v>
      </c>
      <c r="B5" s="169" t="s">
        <v>34</v>
      </c>
      <c r="C5" s="169" t="s">
        <v>102</v>
      </c>
      <c r="D5" s="169" t="s">
        <v>220</v>
      </c>
      <c r="E5" s="169" t="s">
        <v>221</v>
      </c>
      <c r="F5" s="169" t="s">
        <v>258</v>
      </c>
    </row>
    <row r="6" spans="1:6" ht="15.75">
      <c r="A6" s="170" t="s">
        <v>33</v>
      </c>
      <c r="B6" s="170" t="s">
        <v>35</v>
      </c>
      <c r="C6" s="170" t="s">
        <v>259</v>
      </c>
      <c r="D6" s="170" t="s">
        <v>259</v>
      </c>
      <c r="E6" s="170" t="s">
        <v>259</v>
      </c>
      <c r="F6" s="170" t="s">
        <v>260</v>
      </c>
    </row>
    <row r="7" spans="1:6" ht="15" customHeight="1">
      <c r="A7" s="171" t="s">
        <v>261</v>
      </c>
      <c r="B7" s="171" t="s">
        <v>262</v>
      </c>
      <c r="C7" s="172">
        <f>F1-2</f>
        <v>2010</v>
      </c>
      <c r="D7" s="172">
        <f>F1-1</f>
        <v>2011</v>
      </c>
      <c r="E7" s="172">
        <f>F1</f>
        <v>2012</v>
      </c>
      <c r="F7" s="171" t="s">
        <v>263</v>
      </c>
    </row>
    <row r="8" spans="1:6" ht="15" customHeight="1">
      <c r="A8" s="448" t="s">
        <v>284</v>
      </c>
      <c r="B8" s="448" t="s">
        <v>291</v>
      </c>
      <c r="C8" s="449">
        <v>3000</v>
      </c>
      <c r="D8" s="449">
        <v>3000</v>
      </c>
      <c r="E8" s="429">
        <v>3000</v>
      </c>
      <c r="F8" s="448" t="s">
        <v>295</v>
      </c>
    </row>
    <row r="9" spans="1:6" ht="15" customHeight="1">
      <c r="A9" s="448" t="s">
        <v>292</v>
      </c>
      <c r="B9" s="448" t="s">
        <v>293</v>
      </c>
      <c r="C9" s="449">
        <v>28031</v>
      </c>
      <c r="D9" s="449">
        <v>32682</v>
      </c>
      <c r="E9" s="429">
        <v>32682</v>
      </c>
      <c r="F9" s="447" t="s">
        <v>294</v>
      </c>
    </row>
    <row r="10" spans="1:6" ht="15" customHeight="1">
      <c r="A10" s="173" t="s">
        <v>358</v>
      </c>
      <c r="B10" s="173" t="s">
        <v>291</v>
      </c>
      <c r="C10" s="449">
        <v>0</v>
      </c>
      <c r="D10" s="449">
        <v>5000</v>
      </c>
      <c r="E10" s="429">
        <v>5000</v>
      </c>
      <c r="F10" s="448" t="s">
        <v>295</v>
      </c>
    </row>
    <row r="11" spans="1:6" ht="15" customHeight="1">
      <c r="A11" s="173"/>
      <c r="B11" s="173"/>
      <c r="C11" s="429"/>
      <c r="D11" s="429"/>
      <c r="E11" s="429"/>
      <c r="F11" s="173"/>
    </row>
    <row r="12" spans="1:6" ht="15" customHeight="1">
      <c r="A12" s="173"/>
      <c r="B12" s="173"/>
      <c r="C12" s="429"/>
      <c r="D12" s="429"/>
      <c r="E12" s="429"/>
      <c r="F12" s="173"/>
    </row>
    <row r="13" spans="1:6" ht="15" customHeight="1">
      <c r="A13" s="173"/>
      <c r="B13" s="173"/>
      <c r="C13" s="429"/>
      <c r="D13" s="429"/>
      <c r="E13" s="429"/>
      <c r="F13" s="173"/>
    </row>
    <row r="14" spans="1:6" ht="15" customHeight="1">
      <c r="A14" s="173"/>
      <c r="B14" s="173"/>
      <c r="C14" s="429"/>
      <c r="D14" s="429"/>
      <c r="E14" s="429"/>
      <c r="F14" s="173"/>
    </row>
    <row r="15" spans="1:6" ht="15" customHeight="1">
      <c r="A15" s="173"/>
      <c r="B15" s="173"/>
      <c r="C15" s="429"/>
      <c r="D15" s="429"/>
      <c r="E15" s="429"/>
      <c r="F15" s="173"/>
    </row>
    <row r="16" spans="1:6" ht="15" customHeight="1">
      <c r="A16" s="173"/>
      <c r="B16" s="173"/>
      <c r="C16" s="429"/>
      <c r="D16" s="429"/>
      <c r="E16" s="429"/>
      <c r="F16" s="173"/>
    </row>
    <row r="17" spans="1:6" ht="15" customHeight="1">
      <c r="A17" s="173"/>
      <c r="B17" s="173"/>
      <c r="C17" s="429"/>
      <c r="D17" s="429"/>
      <c r="E17" s="429"/>
      <c r="F17" s="173"/>
    </row>
    <row r="18" spans="1:6" ht="15" customHeight="1">
      <c r="A18" s="173"/>
      <c r="B18" s="173"/>
      <c r="C18" s="429"/>
      <c r="D18" s="429"/>
      <c r="E18" s="429"/>
      <c r="F18" s="173"/>
    </row>
    <row r="19" spans="1:6" ht="15" customHeight="1">
      <c r="A19" s="173"/>
      <c r="B19" s="173"/>
      <c r="C19" s="429"/>
      <c r="D19" s="429"/>
      <c r="E19" s="429"/>
      <c r="F19" s="173"/>
    </row>
    <row r="20" spans="1:6" ht="15" customHeight="1">
      <c r="A20" s="173"/>
      <c r="B20" s="173"/>
      <c r="C20" s="429"/>
      <c r="D20" s="429"/>
      <c r="E20" s="429"/>
      <c r="F20" s="173"/>
    </row>
    <row r="21" spans="1:6" ht="15" customHeight="1">
      <c r="A21" s="173"/>
      <c r="B21" s="173"/>
      <c r="C21" s="429"/>
      <c r="D21" s="429"/>
      <c r="E21" s="429"/>
      <c r="F21" s="173"/>
    </row>
    <row r="22" spans="1:6" ht="15" customHeight="1">
      <c r="A22" s="173"/>
      <c r="B22" s="173"/>
      <c r="C22" s="429"/>
      <c r="D22" s="429"/>
      <c r="E22" s="429"/>
      <c r="F22" s="173"/>
    </row>
    <row r="23" spans="1:6" ht="15" customHeight="1">
      <c r="A23" s="174"/>
      <c r="B23" s="175" t="s">
        <v>70</v>
      </c>
      <c r="C23" s="428">
        <f>SUM(C8:C22)</f>
        <v>31031</v>
      </c>
      <c r="D23" s="428">
        <f>SUM(D8:D22)</f>
        <v>40682</v>
      </c>
      <c r="E23" s="428">
        <f>SUM(E8:E22)</f>
        <v>40682</v>
      </c>
      <c r="F23" s="174"/>
    </row>
    <row r="24" spans="1:6" ht="15" customHeight="1">
      <c r="A24" s="174"/>
      <c r="B24" s="177" t="s">
        <v>36</v>
      </c>
      <c r="C24" s="428">
        <v>0</v>
      </c>
      <c r="D24" s="465">
        <v>0</v>
      </c>
      <c r="E24" s="466">
        <v>0</v>
      </c>
      <c r="F24" s="174"/>
    </row>
    <row r="25" spans="1:6" ht="15" customHeight="1">
      <c r="A25" s="174"/>
      <c r="B25" s="175" t="s">
        <v>264</v>
      </c>
      <c r="C25" s="428">
        <f>C23-C24</f>
        <v>31031</v>
      </c>
      <c r="D25" s="428">
        <f>SUM(D23-D24)</f>
        <v>40682</v>
      </c>
      <c r="E25" s="428">
        <f>SUM(E23-E24)</f>
        <v>40682</v>
      </c>
      <c r="F25" s="174"/>
    </row>
    <row r="26" spans="1:6" ht="15" customHeight="1">
      <c r="A26" s="68"/>
      <c r="B26" s="68"/>
      <c r="C26" s="68"/>
      <c r="D26" s="68"/>
      <c r="E26" s="68"/>
      <c r="F26" s="68"/>
    </row>
    <row r="27" spans="1:6" ht="15" customHeight="1">
      <c r="A27" s="68"/>
      <c r="B27" s="68"/>
      <c r="C27" s="68"/>
      <c r="D27" s="68"/>
      <c r="E27" s="68"/>
      <c r="F27" s="68"/>
    </row>
    <row r="28" spans="1:6" ht="21.75" customHeight="1">
      <c r="A28" s="318" t="s">
        <v>31</v>
      </c>
      <c r="B28" s="319" t="str">
        <f>CONCATENATE("Adjustments are required only if the transfer is being made in ",D7," and/or ",E7," from a non-budgeted fund.")</f>
        <v>Adjustments are required only if the transfer is being made in 2011 and/or 2012 from a non-budgeted fund.</v>
      </c>
      <c r="C28" s="68"/>
      <c r="D28" s="68"/>
      <c r="E28" s="68"/>
      <c r="F28" s="68"/>
    </row>
    <row r="29" ht="15" customHeight="1"/>
  </sheetData>
  <sheetProtection/>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
      <selection activeCell="L36" sqref="L36"/>
    </sheetView>
  </sheetViews>
  <sheetFormatPr defaultColWidth="8.8984375" defaultRowHeight="15"/>
  <cols>
    <col min="1" max="1" width="20.796875" style="11" customWidth="1"/>
    <col min="2" max="2" width="9.296875" style="11" customWidth="1"/>
    <col min="3" max="3" width="9.09765625" style="11" customWidth="1"/>
    <col min="4" max="4" width="8.796875" style="11" customWidth="1"/>
    <col min="5" max="5" width="12.69921875" style="11" customWidth="1"/>
    <col min="6" max="6" width="13.69921875" style="11" customWidth="1"/>
    <col min="7" max="8" width="9.296875" style="11" customWidth="1"/>
    <col min="9" max="12" width="9.796875" style="11" customWidth="1"/>
    <col min="13" max="16384" width="8.8984375" style="11" customWidth="1"/>
  </cols>
  <sheetData>
    <row r="1" spans="1:12" ht="18.75" customHeight="1">
      <c r="A1" s="144" t="str">
        <f>inputPrYr!$D$2</f>
        <v>City of LaHarpe</v>
      </c>
      <c r="B1" s="10"/>
      <c r="C1" s="10"/>
      <c r="D1" s="10"/>
      <c r="E1" s="10"/>
      <c r="F1" s="10"/>
      <c r="G1" s="10"/>
      <c r="H1" s="10"/>
      <c r="I1" s="10"/>
      <c r="J1" s="10"/>
      <c r="K1" s="10"/>
      <c r="L1" s="178">
        <f>inputPrYr!$C$5</f>
        <v>2012</v>
      </c>
    </row>
    <row r="2" spans="1:12" ht="15.75">
      <c r="A2" s="144"/>
      <c r="B2" s="10"/>
      <c r="C2" s="10"/>
      <c r="D2" s="10"/>
      <c r="E2" s="10"/>
      <c r="F2" s="10"/>
      <c r="G2" s="10"/>
      <c r="H2" s="10"/>
      <c r="I2" s="10"/>
      <c r="J2" s="10"/>
      <c r="K2" s="10"/>
      <c r="L2" s="139"/>
    </row>
    <row r="3" spans="1:12" ht="15.75">
      <c r="A3" s="179" t="s">
        <v>149</v>
      </c>
      <c r="B3" s="21"/>
      <c r="C3" s="21"/>
      <c r="D3" s="21"/>
      <c r="E3" s="21"/>
      <c r="F3" s="21"/>
      <c r="G3" s="21"/>
      <c r="H3" s="21"/>
      <c r="I3" s="21"/>
      <c r="J3" s="21"/>
      <c r="K3" s="21"/>
      <c r="L3" s="21"/>
    </row>
    <row r="4" spans="1:12" ht="15.75">
      <c r="A4" s="10"/>
      <c r="B4" s="180"/>
      <c r="C4" s="180"/>
      <c r="D4" s="180"/>
      <c r="E4" s="180"/>
      <c r="F4" s="180"/>
      <c r="G4" s="180"/>
      <c r="H4" s="180"/>
      <c r="I4" s="180"/>
      <c r="J4" s="180"/>
      <c r="K4" s="180"/>
      <c r="L4" s="180"/>
    </row>
    <row r="5" spans="1:12" ht="15.75">
      <c r="A5" s="10"/>
      <c r="B5" s="159" t="s">
        <v>117</v>
      </c>
      <c r="C5" s="159" t="s">
        <v>117</v>
      </c>
      <c r="D5" s="159" t="s">
        <v>132</v>
      </c>
      <c r="E5" s="159"/>
      <c r="F5" s="159" t="s">
        <v>253</v>
      </c>
      <c r="G5" s="10"/>
      <c r="H5" s="10"/>
      <c r="I5" s="181" t="s">
        <v>118</v>
      </c>
      <c r="J5" s="182"/>
      <c r="K5" s="181" t="s">
        <v>118</v>
      </c>
      <c r="L5" s="182"/>
    </row>
    <row r="6" spans="1:12" ht="15.75">
      <c r="A6" s="10"/>
      <c r="B6" s="118" t="s">
        <v>119</v>
      </c>
      <c r="C6" s="118" t="s">
        <v>254</v>
      </c>
      <c r="D6" s="118" t="s">
        <v>120</v>
      </c>
      <c r="E6" s="118" t="s">
        <v>75</v>
      </c>
      <c r="F6" s="118" t="s">
        <v>255</v>
      </c>
      <c r="G6" s="473" t="s">
        <v>121</v>
      </c>
      <c r="H6" s="467"/>
      <c r="I6" s="468">
        <f>L1-1</f>
        <v>2011</v>
      </c>
      <c r="J6" s="469"/>
      <c r="K6" s="468">
        <f>L1</f>
        <v>2012</v>
      </c>
      <c r="L6" s="469"/>
    </row>
    <row r="7" spans="1:12" ht="15.75">
      <c r="A7" s="184" t="s">
        <v>122</v>
      </c>
      <c r="B7" s="121" t="s">
        <v>123</v>
      </c>
      <c r="C7" s="121" t="s">
        <v>256</v>
      </c>
      <c r="D7" s="121" t="s">
        <v>97</v>
      </c>
      <c r="E7" s="121" t="s">
        <v>124</v>
      </c>
      <c r="F7" s="183" t="str">
        <f>CONCATENATE("Jan 1,",L1-1,"")</f>
        <v>Jan 1,2011</v>
      </c>
      <c r="G7" s="128" t="s">
        <v>132</v>
      </c>
      <c r="H7" s="128" t="s">
        <v>134</v>
      </c>
      <c r="I7" s="128" t="s">
        <v>132</v>
      </c>
      <c r="J7" s="128" t="s">
        <v>134</v>
      </c>
      <c r="K7" s="128" t="s">
        <v>132</v>
      </c>
      <c r="L7" s="128" t="s">
        <v>134</v>
      </c>
    </row>
    <row r="8" spans="1:12" ht="15.75">
      <c r="A8" s="184" t="s">
        <v>125</v>
      </c>
      <c r="B8" s="36"/>
      <c r="C8" s="36"/>
      <c r="D8" s="185"/>
      <c r="E8" s="186"/>
      <c r="F8" s="186"/>
      <c r="G8" s="36"/>
      <c r="H8" s="36"/>
      <c r="I8" s="186"/>
      <c r="J8" s="186"/>
      <c r="K8" s="186"/>
      <c r="L8" s="186"/>
    </row>
    <row r="9" spans="1:12" ht="15.75">
      <c r="A9" s="450" t="s">
        <v>296</v>
      </c>
      <c r="B9" s="321"/>
      <c r="C9" s="321"/>
      <c r="D9" s="187"/>
      <c r="E9" s="188"/>
      <c r="F9" s="189"/>
      <c r="G9" s="190"/>
      <c r="H9" s="190"/>
      <c r="I9" s="189"/>
      <c r="J9" s="189"/>
      <c r="K9" s="189"/>
      <c r="L9" s="189"/>
    </row>
    <row r="10" spans="1:12" ht="15.75">
      <c r="A10" s="42"/>
      <c r="B10" s="321"/>
      <c r="C10" s="321"/>
      <c r="D10" s="187"/>
      <c r="E10" s="188"/>
      <c r="F10" s="189"/>
      <c r="G10" s="190"/>
      <c r="H10" s="190"/>
      <c r="I10" s="189"/>
      <c r="J10" s="189"/>
      <c r="K10" s="189"/>
      <c r="L10" s="189"/>
    </row>
    <row r="11" spans="1:12" ht="15.75">
      <c r="A11" s="42"/>
      <c r="B11" s="321"/>
      <c r="C11" s="321"/>
      <c r="D11" s="187"/>
      <c r="E11" s="188"/>
      <c r="F11" s="189"/>
      <c r="G11" s="190"/>
      <c r="H11" s="190"/>
      <c r="I11" s="189"/>
      <c r="J11" s="189"/>
      <c r="K11" s="189"/>
      <c r="L11" s="189"/>
    </row>
    <row r="12" spans="1:12" ht="15.75">
      <c r="A12" s="42"/>
      <c r="B12" s="321"/>
      <c r="C12" s="321"/>
      <c r="D12" s="187"/>
      <c r="E12" s="188"/>
      <c r="F12" s="189"/>
      <c r="G12" s="190"/>
      <c r="H12" s="190"/>
      <c r="I12" s="189"/>
      <c r="J12" s="189"/>
      <c r="K12" s="189"/>
      <c r="L12" s="189"/>
    </row>
    <row r="13" spans="1:12" ht="15.75">
      <c r="A13" s="42"/>
      <c r="B13" s="321"/>
      <c r="C13" s="321"/>
      <c r="D13" s="187"/>
      <c r="E13" s="188"/>
      <c r="F13" s="189"/>
      <c r="G13" s="190"/>
      <c r="H13" s="190"/>
      <c r="I13" s="189"/>
      <c r="J13" s="189"/>
      <c r="K13" s="189"/>
      <c r="L13" s="189"/>
    </row>
    <row r="14" spans="1:12" ht="15.75">
      <c r="A14" s="42"/>
      <c r="B14" s="321"/>
      <c r="C14" s="321"/>
      <c r="D14" s="187"/>
      <c r="E14" s="188"/>
      <c r="F14" s="189"/>
      <c r="G14" s="190"/>
      <c r="H14" s="190"/>
      <c r="I14" s="189"/>
      <c r="J14" s="189"/>
      <c r="K14" s="189"/>
      <c r="L14" s="189"/>
    </row>
    <row r="15" spans="1:12" ht="15.75">
      <c r="A15" s="42"/>
      <c r="B15" s="321"/>
      <c r="C15" s="321"/>
      <c r="D15" s="187"/>
      <c r="E15" s="188"/>
      <c r="F15" s="189"/>
      <c r="G15" s="190"/>
      <c r="H15" s="190"/>
      <c r="I15" s="189"/>
      <c r="J15" s="189"/>
      <c r="K15" s="189"/>
      <c r="L15" s="189"/>
    </row>
    <row r="16" spans="1:12" ht="15.75">
      <c r="A16" s="42"/>
      <c r="B16" s="321"/>
      <c r="C16" s="321"/>
      <c r="D16" s="187"/>
      <c r="E16" s="188"/>
      <c r="F16" s="189"/>
      <c r="G16" s="190"/>
      <c r="H16" s="190"/>
      <c r="I16" s="189"/>
      <c r="J16" s="189"/>
      <c r="K16" s="189"/>
      <c r="L16" s="189"/>
    </row>
    <row r="17" spans="1:12" ht="15.75">
      <c r="A17" s="42"/>
      <c r="B17" s="321"/>
      <c r="C17" s="321"/>
      <c r="D17" s="187"/>
      <c r="E17" s="188"/>
      <c r="F17" s="189"/>
      <c r="G17" s="190"/>
      <c r="H17" s="190"/>
      <c r="I17" s="189"/>
      <c r="J17" s="189"/>
      <c r="K17" s="189"/>
      <c r="L17" s="189"/>
    </row>
    <row r="18" spans="1:12" ht="15.75">
      <c r="A18" s="42"/>
      <c r="B18" s="321"/>
      <c r="C18" s="321"/>
      <c r="D18" s="187"/>
      <c r="E18" s="188"/>
      <c r="F18" s="189"/>
      <c r="G18" s="190"/>
      <c r="H18" s="190"/>
      <c r="I18" s="189"/>
      <c r="J18" s="189"/>
      <c r="K18" s="189"/>
      <c r="L18" s="189"/>
    </row>
    <row r="19" spans="1:12" ht="15.75">
      <c r="A19" s="42"/>
      <c r="B19" s="321"/>
      <c r="C19" s="321"/>
      <c r="D19" s="187"/>
      <c r="E19" s="188"/>
      <c r="F19" s="189"/>
      <c r="G19" s="190"/>
      <c r="H19" s="190"/>
      <c r="I19" s="189"/>
      <c r="J19" s="189"/>
      <c r="K19" s="189"/>
      <c r="L19" s="189"/>
    </row>
    <row r="20" spans="1:12" ht="15.75">
      <c r="A20" s="191" t="s">
        <v>126</v>
      </c>
      <c r="B20" s="192"/>
      <c r="C20" s="192"/>
      <c r="D20" s="193"/>
      <c r="E20" s="194"/>
      <c r="F20" s="195">
        <f>SUM(F9:F19)</f>
        <v>0</v>
      </c>
      <c r="G20" s="196"/>
      <c r="H20" s="196"/>
      <c r="I20" s="195">
        <f>SUM(I9:I19)</f>
        <v>0</v>
      </c>
      <c r="J20" s="195">
        <f>SUM(J9:J19)</f>
        <v>0</v>
      </c>
      <c r="K20" s="195">
        <f>SUM(K9:K19)</f>
        <v>0</v>
      </c>
      <c r="L20" s="195">
        <f>SUM(L9:L19)</f>
        <v>0</v>
      </c>
    </row>
    <row r="21" spans="1:12" ht="15.75">
      <c r="A21" s="184" t="s">
        <v>127</v>
      </c>
      <c r="B21" s="197"/>
      <c r="C21" s="197"/>
      <c r="D21" s="198"/>
      <c r="E21" s="176"/>
      <c r="F21" s="176"/>
      <c r="G21" s="199"/>
      <c r="H21" s="199"/>
      <c r="I21" s="176"/>
      <c r="J21" s="176"/>
      <c r="K21" s="176"/>
      <c r="L21" s="176"/>
    </row>
    <row r="22" spans="1:12" ht="15.75">
      <c r="A22" s="42" t="s">
        <v>296</v>
      </c>
      <c r="B22" s="321"/>
      <c r="C22" s="321"/>
      <c r="D22" s="187"/>
      <c r="E22" s="188"/>
      <c r="F22" s="189"/>
      <c r="G22" s="190"/>
      <c r="H22" s="190"/>
      <c r="I22" s="189"/>
      <c r="J22" s="189"/>
      <c r="K22" s="189"/>
      <c r="L22" s="189"/>
    </row>
    <row r="23" spans="1:12" ht="15.75">
      <c r="A23" s="42"/>
      <c r="B23" s="321"/>
      <c r="C23" s="321"/>
      <c r="D23" s="187"/>
      <c r="E23" s="188"/>
      <c r="F23" s="189"/>
      <c r="G23" s="190"/>
      <c r="H23" s="190"/>
      <c r="I23" s="189"/>
      <c r="J23" s="189"/>
      <c r="K23" s="189"/>
      <c r="L23" s="189"/>
    </row>
    <row r="24" spans="1:12" ht="15.75">
      <c r="A24" s="42"/>
      <c r="B24" s="321"/>
      <c r="C24" s="321"/>
      <c r="D24" s="187"/>
      <c r="E24" s="188"/>
      <c r="F24" s="189"/>
      <c r="G24" s="190"/>
      <c r="H24" s="190"/>
      <c r="I24" s="189"/>
      <c r="J24" s="189"/>
      <c r="K24" s="189"/>
      <c r="L24" s="189"/>
    </row>
    <row r="25" spans="1:12" ht="15.75">
      <c r="A25" s="42"/>
      <c r="B25" s="321"/>
      <c r="C25" s="321"/>
      <c r="D25" s="187"/>
      <c r="E25" s="188"/>
      <c r="F25" s="189"/>
      <c r="G25" s="190"/>
      <c r="H25" s="190"/>
      <c r="I25" s="189"/>
      <c r="J25" s="189"/>
      <c r="K25" s="189"/>
      <c r="L25" s="189"/>
    </row>
    <row r="26" spans="1:12" ht="15.75">
      <c r="A26" s="42"/>
      <c r="B26" s="321"/>
      <c r="C26" s="321"/>
      <c r="D26" s="187"/>
      <c r="E26" s="188"/>
      <c r="F26" s="189"/>
      <c r="G26" s="190"/>
      <c r="H26" s="190"/>
      <c r="I26" s="189"/>
      <c r="J26" s="189"/>
      <c r="K26" s="189"/>
      <c r="L26" s="189"/>
    </row>
    <row r="27" spans="1:12" ht="15.75">
      <c r="A27" s="42"/>
      <c r="B27" s="321"/>
      <c r="C27" s="321"/>
      <c r="D27" s="187"/>
      <c r="E27" s="188"/>
      <c r="F27" s="189"/>
      <c r="G27" s="190"/>
      <c r="H27" s="190"/>
      <c r="I27" s="189"/>
      <c r="J27" s="189"/>
      <c r="K27" s="189"/>
      <c r="L27" s="189"/>
    </row>
    <row r="28" spans="1:12" ht="15.75">
      <c r="A28" s="42"/>
      <c r="B28" s="321"/>
      <c r="C28" s="321"/>
      <c r="D28" s="187"/>
      <c r="E28" s="188"/>
      <c r="F28" s="189"/>
      <c r="G28" s="190"/>
      <c r="H28" s="190"/>
      <c r="I28" s="189"/>
      <c r="J28" s="189"/>
      <c r="K28" s="189"/>
      <c r="L28" s="189"/>
    </row>
    <row r="29" spans="1:12" ht="15.75">
      <c r="A29" s="42"/>
      <c r="B29" s="321"/>
      <c r="C29" s="321"/>
      <c r="D29" s="187"/>
      <c r="E29" s="188"/>
      <c r="F29" s="189"/>
      <c r="G29" s="190"/>
      <c r="H29" s="190"/>
      <c r="I29" s="189"/>
      <c r="J29" s="189"/>
      <c r="K29" s="189"/>
      <c r="L29" s="189"/>
    </row>
    <row r="30" spans="1:12" ht="15.75">
      <c r="A30" s="42"/>
      <c r="B30" s="321"/>
      <c r="C30" s="321"/>
      <c r="D30" s="187"/>
      <c r="E30" s="188"/>
      <c r="F30" s="189"/>
      <c r="G30" s="190"/>
      <c r="H30" s="190"/>
      <c r="I30" s="189"/>
      <c r="J30" s="189"/>
      <c r="K30" s="189"/>
      <c r="L30" s="189"/>
    </row>
    <row r="31" spans="1:12" ht="15.75">
      <c r="A31" s="42"/>
      <c r="B31" s="321"/>
      <c r="C31" s="321"/>
      <c r="D31" s="187"/>
      <c r="E31" s="188"/>
      <c r="F31" s="189"/>
      <c r="G31" s="190"/>
      <c r="H31" s="190"/>
      <c r="I31" s="189"/>
      <c r="J31" s="189"/>
      <c r="K31" s="189"/>
      <c r="L31" s="189"/>
    </row>
    <row r="32" spans="1:12" ht="15.75">
      <c r="A32" s="191" t="s">
        <v>128</v>
      </c>
      <c r="B32" s="192"/>
      <c r="C32" s="192"/>
      <c r="D32" s="200"/>
      <c r="E32" s="194"/>
      <c r="F32" s="201">
        <f>SUM(F22:F31)</f>
        <v>0</v>
      </c>
      <c r="G32" s="196"/>
      <c r="H32" s="196"/>
      <c r="I32" s="201">
        <f>SUM(I22:I31)</f>
        <v>0</v>
      </c>
      <c r="J32" s="201">
        <f>SUM(J22:J31)</f>
        <v>0</v>
      </c>
      <c r="K32" s="195">
        <f>SUM(K22:K31)</f>
        <v>0</v>
      </c>
      <c r="L32" s="201">
        <f>SUM(L22:L31)</f>
        <v>0</v>
      </c>
    </row>
    <row r="33" spans="1:12" ht="15.75">
      <c r="A33" s="184" t="s">
        <v>129</v>
      </c>
      <c r="B33" s="197"/>
      <c r="C33" s="197"/>
      <c r="D33" s="198"/>
      <c r="E33" s="176"/>
      <c r="F33" s="202"/>
      <c r="G33" s="199"/>
      <c r="H33" s="199"/>
      <c r="I33" s="176"/>
      <c r="J33" s="176"/>
      <c r="K33" s="176"/>
      <c r="L33" s="176"/>
    </row>
    <row r="34" spans="1:12" ht="15.75">
      <c r="A34" s="450" t="s">
        <v>297</v>
      </c>
      <c r="B34" s="451"/>
      <c r="C34" s="451"/>
      <c r="D34" s="452"/>
      <c r="E34" s="453"/>
      <c r="F34" s="189"/>
      <c r="G34" s="190"/>
      <c r="H34" s="190"/>
      <c r="I34" s="189"/>
      <c r="J34" s="189"/>
      <c r="K34" s="189"/>
      <c r="L34" s="189"/>
    </row>
    <row r="35" spans="1:12" ht="15.75">
      <c r="A35" s="450" t="s">
        <v>298</v>
      </c>
      <c r="B35" s="451">
        <v>36337</v>
      </c>
      <c r="C35" s="451">
        <v>43709</v>
      </c>
      <c r="D35" s="452">
        <v>2.86</v>
      </c>
      <c r="E35" s="453">
        <v>760000</v>
      </c>
      <c r="F35" s="189">
        <v>399140</v>
      </c>
      <c r="G35" s="190" t="s">
        <v>299</v>
      </c>
      <c r="H35" s="190" t="s">
        <v>299</v>
      </c>
      <c r="I35" s="189">
        <v>12112</v>
      </c>
      <c r="J35" s="189">
        <v>39074</v>
      </c>
      <c r="K35" s="189">
        <v>10887</v>
      </c>
      <c r="L35" s="189">
        <v>40299</v>
      </c>
    </row>
    <row r="36" spans="1:12" ht="15.75">
      <c r="A36" s="42"/>
      <c r="B36" s="321"/>
      <c r="C36" s="321"/>
      <c r="D36" s="187"/>
      <c r="E36" s="188"/>
      <c r="F36" s="189"/>
      <c r="G36" s="190"/>
      <c r="H36" s="190"/>
      <c r="I36" s="189"/>
      <c r="J36" s="189"/>
      <c r="K36" s="189"/>
      <c r="L36" s="189"/>
    </row>
    <row r="37" spans="1:12" ht="15.75">
      <c r="A37" s="42"/>
      <c r="B37" s="321"/>
      <c r="C37" s="321"/>
      <c r="D37" s="187"/>
      <c r="E37" s="188"/>
      <c r="F37" s="189"/>
      <c r="G37" s="190"/>
      <c r="H37" s="190"/>
      <c r="I37" s="189"/>
      <c r="J37" s="189"/>
      <c r="K37" s="189"/>
      <c r="L37" s="189"/>
    </row>
    <row r="38" spans="1:12" ht="15.75">
      <c r="A38" s="42"/>
      <c r="B38" s="321"/>
      <c r="C38" s="321"/>
      <c r="D38" s="187"/>
      <c r="E38" s="188"/>
      <c r="F38" s="189"/>
      <c r="G38" s="190"/>
      <c r="H38" s="190"/>
      <c r="I38" s="189"/>
      <c r="J38" s="189"/>
      <c r="K38" s="189"/>
      <c r="L38" s="189"/>
    </row>
    <row r="39" spans="1:12" ht="15.75">
      <c r="A39" s="42"/>
      <c r="B39" s="321"/>
      <c r="C39" s="321"/>
      <c r="D39" s="187"/>
      <c r="E39" s="188"/>
      <c r="F39" s="189"/>
      <c r="G39" s="190"/>
      <c r="H39" s="190"/>
      <c r="I39" s="189"/>
      <c r="J39" s="189"/>
      <c r="K39" s="189"/>
      <c r="L39" s="189"/>
    </row>
    <row r="40" spans="1:12" ht="15.75">
      <c r="A40" s="42"/>
      <c r="B40" s="321"/>
      <c r="C40" s="321"/>
      <c r="D40" s="187"/>
      <c r="E40" s="188"/>
      <c r="F40" s="189"/>
      <c r="G40" s="190"/>
      <c r="H40" s="190"/>
      <c r="I40" s="189"/>
      <c r="J40" s="189"/>
      <c r="K40" s="189"/>
      <c r="L40" s="189"/>
    </row>
    <row r="41" spans="1:28" ht="15.75">
      <c r="A41" s="42"/>
      <c r="B41" s="321"/>
      <c r="C41" s="321"/>
      <c r="D41" s="187"/>
      <c r="E41" s="188"/>
      <c r="F41" s="189"/>
      <c r="G41" s="190"/>
      <c r="H41" s="190"/>
      <c r="I41" s="189"/>
      <c r="J41" s="189"/>
      <c r="K41" s="189"/>
      <c r="L41" s="189"/>
      <c r="M41" s="7"/>
      <c r="N41" s="7"/>
      <c r="O41" s="7"/>
      <c r="P41" s="7"/>
      <c r="Q41" s="7"/>
      <c r="R41" s="7"/>
      <c r="S41" s="7"/>
      <c r="T41" s="7"/>
      <c r="U41" s="7"/>
      <c r="V41" s="7"/>
      <c r="W41" s="7"/>
      <c r="X41" s="7"/>
      <c r="Y41" s="7"/>
      <c r="Z41" s="7"/>
      <c r="AA41" s="7"/>
      <c r="AB41" s="7"/>
    </row>
    <row r="42" spans="1:12" ht="15.75">
      <c r="A42" s="191" t="s">
        <v>257</v>
      </c>
      <c r="B42" s="175"/>
      <c r="C42" s="175"/>
      <c r="D42" s="200"/>
      <c r="E42" s="194"/>
      <c r="F42" s="201">
        <f>SUM(F34:F41)</f>
        <v>399140</v>
      </c>
      <c r="G42" s="194"/>
      <c r="H42" s="194"/>
      <c r="I42" s="201">
        <f>SUM(I34:I41)</f>
        <v>12112</v>
      </c>
      <c r="J42" s="201">
        <f>SUM(J34:J41)</f>
        <v>39074</v>
      </c>
      <c r="K42" s="201">
        <f>SUM(K34:K41)</f>
        <v>10887</v>
      </c>
      <c r="L42" s="201">
        <f>SUM(L34:L41)</f>
        <v>40299</v>
      </c>
    </row>
    <row r="43" spans="1:12" ht="15.75">
      <c r="A43" s="191" t="s">
        <v>130</v>
      </c>
      <c r="B43" s="175"/>
      <c r="C43" s="175"/>
      <c r="D43" s="175"/>
      <c r="E43" s="194"/>
      <c r="F43" s="201">
        <f>SUM(F20+F32+F42)</f>
        <v>399140</v>
      </c>
      <c r="G43" s="194"/>
      <c r="H43" s="194"/>
      <c r="I43" s="201">
        <f>SUM(I20+I32+I42)</f>
        <v>12112</v>
      </c>
      <c r="J43" s="201">
        <f>SUM(J20+J32+J42)</f>
        <v>39074</v>
      </c>
      <c r="K43" s="201">
        <f>SUM(K20+K32+K42)</f>
        <v>10887</v>
      </c>
      <c r="L43" s="201">
        <f>SUM(L20+L32+L42)</f>
        <v>40299</v>
      </c>
    </row>
    <row r="44" spans="1:12" ht="15.75">
      <c r="A44" s="7"/>
      <c r="B44" s="7"/>
      <c r="C44" s="7"/>
      <c r="D44" s="7"/>
      <c r="E44" s="7"/>
      <c r="F44" s="7"/>
      <c r="G44" s="7"/>
      <c r="H44" s="7"/>
      <c r="I44" s="7"/>
      <c r="J44" s="7"/>
      <c r="K44" s="7"/>
      <c r="L44" s="7"/>
    </row>
    <row r="45" spans="5:12" ht="15.75">
      <c r="E45" s="203"/>
      <c r="F45" s="203"/>
      <c r="I45" s="203"/>
      <c r="J45" s="203"/>
      <c r="K45" s="203"/>
      <c r="L45" s="203"/>
    </row>
    <row r="46" spans="5:13" ht="15.75">
      <c r="E46" s="7"/>
      <c r="G46" s="204"/>
      <c r="M46" s="7"/>
    </row>
    <row r="47" spans="1:12" ht="15.75">
      <c r="A47" s="7"/>
      <c r="B47" s="7"/>
      <c r="C47" s="7"/>
      <c r="D47" s="7"/>
      <c r="E47" s="7"/>
      <c r="F47" s="7"/>
      <c r="G47" s="7"/>
      <c r="H47" s="7"/>
      <c r="I47" s="7"/>
      <c r="J47" s="7"/>
      <c r="K47" s="7"/>
      <c r="L47" s="7"/>
    </row>
    <row r="48" spans="1:12" ht="15.75">
      <c r="A48" s="7"/>
      <c r="B48" s="7"/>
      <c r="C48" s="7"/>
      <c r="D48" s="7"/>
      <c r="E48" s="7"/>
      <c r="F48" s="7"/>
      <c r="G48" s="7"/>
      <c r="H48" s="7"/>
      <c r="I48" s="7"/>
      <c r="J48" s="7"/>
      <c r="K48" s="7"/>
      <c r="L48" s="7"/>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7"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sherrie</cp:lastModifiedBy>
  <cp:lastPrinted>2011-07-07T14:42:56Z</cp:lastPrinted>
  <dcterms:created xsi:type="dcterms:W3CDTF">1999-08-03T13:11:47Z</dcterms:created>
  <dcterms:modified xsi:type="dcterms:W3CDTF">2011-10-13T21:06:46Z</dcterms:modified>
  <cp:category/>
  <cp:version/>
  <cp:contentType/>
  <cp:contentStatus/>
</cp:coreProperties>
</file>