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easePurchase" sheetId="11" r:id="rId11"/>
    <sheet name="general" sheetId="12" r:id="rId12"/>
    <sheet name="GenDetail" sheetId="13" r:id="rId13"/>
    <sheet name="DebtSvs-levy page 8" sheetId="14" r:id="rId14"/>
    <sheet name="Sp Hwy" sheetId="15" r:id="rId15"/>
    <sheet name="Water" sheetId="16" r:id="rId16"/>
    <sheet name="Sewer" sheetId="17" r:id="rId17"/>
    <sheet name="Gas" sheetId="18" r:id="rId18"/>
    <sheet name="EqResCapImp" sheetId="19" r:id="rId19"/>
    <sheet name="RecylWaste" sheetId="20" r:id="rId20"/>
    <sheet name="summ"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Sheet1" sheetId="31" r:id="rId31"/>
  </sheets>
  <externalReferences>
    <externalReference r:id="rId34"/>
  </externalReferences>
  <definedNames>
    <definedName name="_xlnm.Print_Area" localSheetId="13">'DebtSvs-levy page 8'!$B$1:$E$44</definedName>
    <definedName name="_xlnm.Print_Area" localSheetId="11">'general'!$B$1:$E$120</definedName>
    <definedName name="_xlnm.Print_Area" localSheetId="1">'inputPrYr'!$A$1:$E$125</definedName>
    <definedName name="_xlnm.Print_Area" localSheetId="10">'LeasePurchase'!$A$1:$H$38</definedName>
    <definedName name="_xlnm.Print_Area" localSheetId="27">'Mill Rate Computation'!$B$1:$W$149</definedName>
    <definedName name="_xlnm.Print_Area" localSheetId="20">'summ'!$A$1:$H$55</definedName>
  </definedNames>
  <calcPr fullCalcOnLoad="1"/>
</workbook>
</file>

<file path=xl/sharedStrings.xml><?xml version="1.0" encoding="utf-8"?>
<sst xmlns="http://schemas.openxmlformats.org/spreadsheetml/2006/main" count="1505" uniqueCount="980">
  <si>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</si>
  <si>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</si>
  <si>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</si>
  <si>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</si>
  <si>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</si>
  <si>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</si>
  <si>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</si>
  <si>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</si>
  <si>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</si>
  <si>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</si>
  <si>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</si>
  <si>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</si>
  <si>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</si>
  <si>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</si>
  <si>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</si>
  <si>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</si>
  <si>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</si>
  <si>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</si>
  <si>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</si>
  <si>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</si>
  <si>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</si>
  <si>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</si>
  <si>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</si>
  <si>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</si>
  <si>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</si>
  <si>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</si>
  <si>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</si>
  <si>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</si>
  <si>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</si>
  <si>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</si>
  <si>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</si>
  <si>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</si>
  <si>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</si>
  <si>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</si>
  <si>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</si>
  <si>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</si>
  <si>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</si>
  <si>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</si>
  <si>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</si>
  <si>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</si>
  <si>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</si>
  <si>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</si>
  <si>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</si>
  <si>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</si>
  <si>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</si>
  <si>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</si>
  <si>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</si>
  <si>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</si>
  <si>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</si>
  <si>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</si>
  <si>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</si>
  <si>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</si>
  <si>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</si>
  <si>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</si>
  <si>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</si>
  <si>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</si>
  <si>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</si>
  <si>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</si>
  <si>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</si>
  <si>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</si>
  <si>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</si>
  <si>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</si>
  <si>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</si>
  <si>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</si>
  <si>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</si>
  <si>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</si>
  <si>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</si>
  <si>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</si>
  <si>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</si>
  <si>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</si>
  <si>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</si>
  <si>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</si>
  <si>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</si>
  <si>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</si>
  <si>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</si>
  <si>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</si>
  <si>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</si>
  <si>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</si>
  <si>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</si>
  <si>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</si>
  <si>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</si>
  <si>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</si>
  <si>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</si>
  <si>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</si>
  <si>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</si>
  <si>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</si>
  <si>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</si>
  <si>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</si>
  <si>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</si>
  <si>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</si>
  <si>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</si>
  <si>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</si>
  <si>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</si>
  <si>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</si>
  <si>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</si>
  <si>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</si>
  <si>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</si>
  <si>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</si>
  <si>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</si>
  <si>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</si>
  <si>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</si>
  <si>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</si>
  <si>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</si>
  <si>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</si>
  <si>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</si>
  <si>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</si>
  <si>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</si>
  <si>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</si>
  <si>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</si>
  <si>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</si>
  <si>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</si>
  <si>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</si>
  <si>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</si>
  <si>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</si>
  <si>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</si>
  <si>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</si>
  <si>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</si>
  <si>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</si>
  <si>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</si>
  <si>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</si>
  <si>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</si>
  <si>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</si>
  <si>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</si>
  <si>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</si>
  <si>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</si>
  <si>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</si>
  <si>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</si>
  <si>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</si>
  <si>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</si>
  <si>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</si>
  <si>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</si>
  <si>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</si>
  <si>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</si>
  <si>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</si>
  <si>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</si>
  <si>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</si>
  <si>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</si>
  <si>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</si>
  <si>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</si>
  <si>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</si>
  <si>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</si>
  <si>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</si>
  <si>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</si>
  <si>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</si>
  <si>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</si>
  <si>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</si>
  <si>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</si>
  <si>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</si>
  <si>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</si>
  <si>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</si>
  <si>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</si>
  <si>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</si>
  <si>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</si>
  <si>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</si>
  <si>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</si>
  <si>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</si>
  <si>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</si>
  <si>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</si>
  <si>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</si>
  <si>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</si>
  <si>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</si>
  <si>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</si>
  <si>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</si>
  <si>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</si>
  <si>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</si>
  <si>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</si>
  <si>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</si>
  <si>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</si>
  <si>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</si>
  <si>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</si>
  <si>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</si>
  <si>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</si>
  <si>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</si>
  <si>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</si>
  <si>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</si>
  <si>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</si>
  <si>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</si>
  <si>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</si>
  <si>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</si>
  <si>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</si>
  <si>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</si>
  <si>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</si>
  <si>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</si>
  <si>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</si>
  <si>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</si>
  <si>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</si>
  <si>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</si>
  <si>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</si>
  <si>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</si>
  <si>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</si>
  <si>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</si>
  <si>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</si>
  <si>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</si>
  <si>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</si>
  <si>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</si>
  <si>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</si>
  <si>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</si>
  <si>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</si>
  <si>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</si>
  <si>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</si>
  <si>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</si>
  <si>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</si>
  <si>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</si>
  <si>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</si>
  <si>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</si>
  <si>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</si>
  <si>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</si>
  <si>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</si>
  <si>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</si>
  <si>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</si>
  <si>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</si>
  <si>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</si>
  <si>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</si>
  <si>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</si>
  <si>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</si>
  <si>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</si>
  <si>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</si>
  <si>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</si>
  <si>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</si>
  <si>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</si>
  <si>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</si>
  <si>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</si>
  <si>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</si>
  <si>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</si>
  <si>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</si>
  <si>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</si>
  <si>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</si>
  <si>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</si>
  <si>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</si>
  <si>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</si>
  <si>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</si>
  <si>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</si>
  <si>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</si>
  <si>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</si>
  <si>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</si>
  <si>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</si>
  <si>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</si>
  <si>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</si>
  <si>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</si>
  <si>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</si>
  <si>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</si>
  <si>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</si>
  <si>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</si>
  <si>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</si>
  <si>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</si>
  <si>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</si>
  <si>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</si>
  <si>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</si>
  <si>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</si>
  <si>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</si>
  <si>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</si>
  <si>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</si>
  <si>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</si>
  <si>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</si>
  <si>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</si>
  <si>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</si>
  <si>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</si>
  <si>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</si>
  <si>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</si>
  <si>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</si>
  <si>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</si>
  <si>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</si>
  <si>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</si>
  <si>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</si>
  <si>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</si>
  <si>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</si>
  <si>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</si>
  <si>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</si>
  <si>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</si>
  <si>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</si>
  <si>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</si>
  <si>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</si>
  <si>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</si>
  <si>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</si>
  <si>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</si>
  <si>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</si>
  <si>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</si>
  <si>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</si>
  <si>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</si>
  <si>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</si>
  <si>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</si>
  <si>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</si>
  <si>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</si>
  <si>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</si>
  <si>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</si>
  <si>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</si>
  <si>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</si>
  <si>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</si>
  <si>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</si>
  <si>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</si>
  <si>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</si>
  <si>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</si>
  <si>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</si>
  <si>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</si>
  <si>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</si>
  <si>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</si>
  <si>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</si>
  <si>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</si>
  <si>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</si>
  <si>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</si>
  <si>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</si>
  <si>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</si>
  <si>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</si>
  <si>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</si>
  <si>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</si>
  <si>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</si>
  <si>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</si>
  <si>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</si>
  <si>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</si>
  <si>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</si>
  <si>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</si>
  <si>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</si>
  <si>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</si>
  <si>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</si>
  <si>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</si>
  <si>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</si>
  <si>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</si>
  <si>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</si>
  <si>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</si>
  <si>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</si>
  <si>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</si>
  <si>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</si>
  <si>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</si>
  <si>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</si>
  <si>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</si>
  <si>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</si>
  <si>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</si>
  <si>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</si>
  <si>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</si>
  <si>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</si>
  <si>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</si>
  <si>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</si>
  <si>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</si>
  <si>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</si>
  <si>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</si>
  <si>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</si>
  <si>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</si>
  <si>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</si>
  <si>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</si>
  <si>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</si>
  <si>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</si>
  <si>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</si>
  <si>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</si>
  <si>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</si>
  <si>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</si>
  <si>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</si>
  <si>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</si>
  <si>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</si>
  <si>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</si>
  <si>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</si>
  <si>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</si>
  <si>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</si>
  <si>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</si>
  <si>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</si>
  <si>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</si>
  <si>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</si>
  <si>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</si>
  <si>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</si>
  <si>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</si>
  <si>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</si>
  <si>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</si>
  <si>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</si>
  <si>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 xml:space="preserve">           General Fund - Detail Page 1</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</si>
  <si>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</si>
  <si>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</si>
  <si>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</si>
  <si>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</si>
  <si>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</si>
  <si>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</si>
  <si>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</si>
  <si>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</si>
  <si>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</si>
  <si>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</si>
  <si>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</si>
  <si>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</si>
  <si>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</si>
  <si>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</si>
  <si>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</si>
  <si>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</si>
  <si>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</si>
  <si>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</si>
  <si>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</si>
  <si>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</si>
  <si>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</si>
  <si>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</si>
  <si>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</si>
  <si>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</si>
  <si>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</si>
  <si>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</si>
  <si>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</si>
  <si>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</si>
  <si>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</si>
  <si>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</si>
  <si>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</si>
  <si>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</si>
  <si>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</si>
  <si>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</si>
  <si>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</si>
  <si>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</si>
  <si>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</si>
  <si>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</si>
  <si>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</si>
  <si>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</si>
  <si>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</si>
  <si>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</si>
  <si>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</si>
  <si>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</si>
  <si>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</si>
  <si>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</si>
  <si>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</si>
  <si>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</si>
  <si>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</si>
  <si>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</si>
  <si>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</si>
  <si>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</si>
  <si>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</si>
  <si>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</si>
  <si>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</si>
  <si>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</si>
  <si>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</si>
  <si>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</si>
  <si>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</si>
  <si>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</si>
  <si>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</si>
  <si>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</si>
  <si>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</si>
  <si>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</si>
  <si>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</si>
  <si>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</si>
  <si>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</si>
  <si>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</si>
  <si>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</si>
  <si>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</si>
  <si>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</si>
  <si>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</si>
  <si>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</si>
  <si>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</si>
  <si>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</si>
  <si>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</si>
  <si>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</si>
  <si>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</si>
  <si>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</si>
  <si>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</si>
  <si>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</si>
  <si>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</si>
  <si>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</si>
  <si>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</si>
  <si>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</si>
  <si>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</si>
  <si>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</si>
  <si>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</si>
  <si>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</si>
  <si>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</si>
  <si>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</si>
  <si>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</si>
  <si>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</si>
  <si>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</si>
  <si>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</si>
  <si>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</si>
  <si>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</si>
  <si>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</si>
  <si>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</si>
  <si>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</si>
  <si>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</si>
  <si>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</si>
  <si>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</si>
  <si>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</si>
  <si>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</si>
  <si>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</si>
  <si>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</si>
  <si>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</si>
  <si>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</si>
  <si>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</si>
  <si>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</si>
  <si>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</si>
  <si>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</si>
  <si>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</si>
  <si>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</si>
  <si>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</si>
  <si>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</si>
  <si>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</si>
  <si>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</si>
  <si>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</si>
  <si>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</si>
  <si>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</si>
  <si>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</si>
  <si>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</si>
  <si>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</si>
  <si>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</si>
  <si>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</si>
  <si>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</si>
  <si>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</si>
  <si>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</si>
  <si>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</si>
  <si>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</si>
  <si>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</si>
  <si>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</si>
  <si>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</si>
  <si>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</si>
  <si>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</si>
  <si>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</si>
  <si>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</si>
  <si>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</si>
  <si>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</si>
  <si>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</si>
  <si>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</si>
  <si>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</si>
  <si>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</si>
  <si>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</si>
  <si>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</si>
  <si>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</si>
  <si>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</si>
  <si>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</si>
  <si>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</si>
  <si>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</si>
  <si>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</si>
  <si>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</si>
  <si>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</si>
  <si>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</si>
  <si>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</si>
  <si>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</si>
  <si>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</si>
  <si>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</si>
  <si>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</si>
  <si>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</si>
  <si>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</si>
  <si>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</si>
  <si>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</si>
  <si>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</si>
  <si>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</si>
  <si>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</si>
  <si>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</si>
  <si>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</si>
  <si>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</si>
  <si>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</si>
  <si>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</si>
  <si>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</si>
  <si>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</si>
  <si>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</si>
  <si>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</si>
  <si>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</si>
  <si>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</si>
  <si>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</si>
  <si>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</si>
  <si>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</si>
  <si>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</si>
  <si>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</si>
  <si>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</si>
  <si>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</si>
  <si>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</si>
  <si>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</si>
  <si>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</si>
  <si>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</si>
  <si>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</si>
  <si>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</si>
  <si>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</si>
  <si>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</si>
  <si>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</si>
  <si>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</si>
  <si>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</si>
  <si>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</si>
  <si>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</si>
  <si>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</si>
  <si>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</si>
  <si>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</si>
  <si>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</si>
  <si>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</si>
  <si>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</si>
  <si>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</si>
  <si>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</si>
  <si>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</si>
  <si>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</si>
  <si>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</si>
  <si>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</si>
  <si>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</si>
  <si>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</si>
  <si>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</si>
  <si>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</si>
  <si>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</si>
  <si>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</si>
  <si>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</si>
  <si>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</si>
  <si>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</si>
  <si>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</si>
  <si>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</si>
  <si>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</si>
  <si>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</si>
  <si>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</si>
  <si>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</si>
  <si>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</si>
  <si>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</si>
  <si>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</si>
  <si>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</si>
  <si>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</si>
  <si>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</si>
  <si>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</si>
  <si>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</si>
  <si>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</si>
  <si>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</si>
  <si>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</si>
  <si>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</si>
  <si>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</si>
  <si>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</si>
  <si>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</si>
  <si>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</si>
  <si>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</si>
  <si>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</si>
  <si>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</si>
  <si>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</si>
  <si>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</si>
  <si>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</si>
  <si>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</si>
  <si>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</si>
  <si>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</si>
  <si>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</si>
  <si>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</si>
  <si>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</si>
  <si>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</si>
  <si>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</si>
  <si>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</si>
  <si>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</si>
  <si>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</si>
  <si>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</si>
  <si>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</si>
  <si>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</si>
  <si>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</si>
  <si>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</si>
  <si>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</si>
  <si>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</si>
  <si>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</si>
  <si>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</si>
  <si>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</si>
  <si>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</si>
  <si>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</si>
  <si>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</si>
  <si>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</si>
  <si>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</si>
  <si>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</si>
  <si>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</si>
  <si>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</si>
  <si>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</si>
  <si>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</si>
  <si>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</si>
  <si>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</si>
  <si>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</si>
  <si>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</si>
  <si>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</si>
  <si>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</si>
  <si>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</si>
  <si>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</si>
  <si>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</si>
  <si>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</si>
  <si>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</si>
  <si>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</si>
  <si>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</si>
  <si>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</si>
  <si>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</si>
  <si>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</si>
  <si>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</si>
  <si>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</si>
  <si>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</si>
  <si>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</si>
  <si>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</si>
  <si>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</si>
  <si>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</si>
  <si>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</si>
  <si>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</si>
  <si>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</si>
  <si>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</si>
  <si>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</si>
  <si>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</si>
  <si>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</si>
  <si>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</si>
  <si>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</si>
  <si>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</si>
  <si>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</si>
  <si>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</si>
  <si>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</si>
  <si>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</si>
  <si>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</si>
  <si>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</si>
  <si>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</si>
  <si>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</si>
  <si>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</si>
  <si>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</si>
  <si>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</si>
  <si>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</si>
  <si>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</si>
  <si>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</si>
  <si>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</si>
  <si>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</si>
  <si>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</si>
  <si>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</si>
  <si>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</si>
  <si>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</si>
  <si>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</si>
  <si>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</si>
  <si>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</si>
  <si>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</si>
  <si>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</si>
  <si>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</si>
  <si>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</si>
  <si>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</si>
  <si>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</si>
  <si>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</si>
  <si>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</si>
  <si>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</si>
  <si>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</si>
  <si>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</si>
  <si>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</si>
  <si>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</si>
  <si>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</si>
  <si>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</si>
  <si>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</si>
  <si>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</si>
  <si>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</si>
  <si>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</si>
  <si>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</si>
  <si>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</si>
  <si>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</si>
  <si>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</si>
  <si>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</si>
  <si>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</si>
  <si>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</si>
  <si>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</si>
  <si>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</si>
  <si>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</si>
  <si>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</si>
  <si>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</si>
  <si>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</si>
  <si>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</si>
  <si>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</si>
  <si>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</si>
  <si>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</si>
  <si>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</si>
  <si>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</si>
  <si>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</si>
  <si>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</si>
  <si>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</si>
  <si>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</si>
  <si>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</si>
  <si>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</si>
  <si>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</si>
  <si>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</si>
  <si>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</si>
  <si>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</si>
  <si>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</si>
  <si>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</si>
  <si>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</si>
  <si>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</si>
  <si>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</si>
  <si>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</si>
  <si>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</si>
  <si>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</si>
  <si>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</si>
  <si>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</si>
  <si>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</si>
  <si>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</si>
  <si>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</si>
  <si>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</si>
  <si>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</si>
  <si>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</si>
  <si>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</si>
  <si>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</si>
  <si>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</si>
  <si>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</si>
  <si>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</si>
  <si>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</si>
  <si>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</si>
  <si>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</si>
  <si>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</si>
  <si>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</si>
  <si>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</si>
  <si>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</si>
  <si>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</si>
  <si>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</si>
  <si>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</si>
  <si>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</si>
  <si>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</si>
  <si>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</si>
  <si>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</si>
  <si>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</si>
  <si>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</si>
  <si>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</si>
  <si>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</si>
  <si>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</si>
  <si>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</si>
  <si>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</si>
  <si>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</si>
  <si>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</si>
  <si>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</si>
  <si>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</si>
  <si>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</si>
  <si>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</si>
  <si>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</si>
  <si>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</si>
  <si>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</si>
  <si>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</si>
  <si>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</si>
  <si>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</si>
  <si>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</si>
  <si>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</si>
  <si>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</si>
  <si>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</si>
  <si>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</si>
  <si>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</si>
  <si>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</si>
  <si>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</si>
  <si>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</si>
  <si>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</si>
  <si>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</si>
  <si>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</si>
  <si>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</si>
  <si>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</si>
  <si>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</si>
  <si>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t>Water</t>
  </si>
  <si>
    <t>Water Reserve</t>
  </si>
  <si>
    <t>Sewer</t>
  </si>
  <si>
    <t>Sewer Reserve</t>
  </si>
  <si>
    <t>Gas</t>
  </si>
  <si>
    <t>Gas Reserve</t>
  </si>
  <si>
    <t>Equipment Reserve</t>
  </si>
  <si>
    <t>Capital Improvements</t>
  </si>
  <si>
    <t>Recycling</t>
  </si>
  <si>
    <t xml:space="preserve">City of Kechi </t>
  </si>
  <si>
    <t>Sedgwick County</t>
  </si>
  <si>
    <t xml:space="preserve">220 W. Kechi Rd.  </t>
  </si>
  <si>
    <t>Lift Station/Sewer Improv.</t>
  </si>
  <si>
    <t>Northridge G/W/S under Oliver</t>
  </si>
  <si>
    <t xml:space="preserve">   &amp; Oliver Water Line</t>
  </si>
  <si>
    <t>Northwood/Snowbird addn</t>
  </si>
  <si>
    <t>Northwoods Ph. 2</t>
  </si>
  <si>
    <t>NR Hts. Interceptor</t>
  </si>
  <si>
    <t>2010 G.O. Refunding Bonds</t>
  </si>
  <si>
    <t>Temporary Notes</t>
  </si>
  <si>
    <t>Rock Pointe/Water Improv</t>
  </si>
  <si>
    <t>Other Debt</t>
  </si>
  <si>
    <t xml:space="preserve">Public Building Commission </t>
  </si>
  <si>
    <t xml:space="preserve">Ford Motor Credit  </t>
  </si>
  <si>
    <t xml:space="preserve">   Small Dump Truck </t>
  </si>
  <si>
    <t>Computers</t>
  </si>
  <si>
    <t>Building Permits &amp; Licenses</t>
  </si>
  <si>
    <t>Municipal Court Fines &amp; Fees</t>
  </si>
  <si>
    <t>Reimbursed Expenditures</t>
  </si>
  <si>
    <t xml:space="preserve">Gov. Grant </t>
  </si>
  <si>
    <t>Other Reimbursements</t>
  </si>
  <si>
    <t xml:space="preserve">Lease Payments Received </t>
  </si>
  <si>
    <t xml:space="preserve">Miscellaneous </t>
  </si>
  <si>
    <t>Interst on Idle Funds</t>
  </si>
  <si>
    <t>Solid Waste</t>
  </si>
  <si>
    <t xml:space="preserve">General Administration </t>
  </si>
  <si>
    <t>Police and Court Services</t>
  </si>
  <si>
    <t>General Share Employee Benefits</t>
  </si>
  <si>
    <t xml:space="preserve">  Health &amp; Dental Insurance</t>
  </si>
  <si>
    <t xml:space="preserve">  Retirement</t>
  </si>
  <si>
    <t xml:space="preserve">  Social Security</t>
  </si>
  <si>
    <t>Planning &amp; Zoning</t>
  </si>
  <si>
    <t xml:space="preserve">  Personal Services</t>
  </si>
  <si>
    <t xml:space="preserve">  Misc. Other</t>
  </si>
  <si>
    <t>General Services Expenses</t>
  </si>
  <si>
    <t>Education &amp; Training</t>
  </si>
  <si>
    <t>Capital Outlay</t>
  </si>
  <si>
    <t>Transfer to other funds</t>
  </si>
  <si>
    <t xml:space="preserve">  To Equipment Reserve</t>
  </si>
  <si>
    <t xml:space="preserve">  To Capital Improvement</t>
  </si>
  <si>
    <t xml:space="preserve">  Grants to outside agencies</t>
  </si>
  <si>
    <t xml:space="preserve">  Overtime &amp; Raises</t>
  </si>
  <si>
    <t>Police Share Employee Benefits</t>
  </si>
  <si>
    <t>Contracted Services</t>
  </si>
  <si>
    <t>Commodities</t>
  </si>
  <si>
    <t>Maintenance &amp; Repair</t>
  </si>
  <si>
    <t>Dues, Training Programs &amp; Other</t>
  </si>
  <si>
    <t>Payment to Building Commission</t>
  </si>
  <si>
    <t>K-9</t>
  </si>
  <si>
    <t>Capital Outlay &amp; Misc</t>
  </si>
  <si>
    <t>Street Lighting</t>
  </si>
  <si>
    <t>Parks &amp; Recreation</t>
  </si>
  <si>
    <t>Kechi Economic Development</t>
  </si>
  <si>
    <t>Business Retention Program</t>
  </si>
  <si>
    <t>61st/Oliver Business Corridor</t>
  </si>
  <si>
    <t>Matching Grant</t>
  </si>
  <si>
    <t>Website</t>
  </si>
  <si>
    <t>Computer Software &amp; Training</t>
  </si>
  <si>
    <t>Printed Marketing Materials</t>
  </si>
  <si>
    <t>Home Shows</t>
  </si>
  <si>
    <t>Kechi Home Tours</t>
  </si>
  <si>
    <t xml:space="preserve">Special Projects </t>
  </si>
  <si>
    <t>Other EcoDevo</t>
  </si>
  <si>
    <t xml:space="preserve">  Debt Service to offset B&amp;I levy</t>
  </si>
  <si>
    <t xml:space="preserve">  Repay Temp Notes</t>
  </si>
  <si>
    <t>Special Assessments</t>
  </si>
  <si>
    <t>Debt Issued Proceeds</t>
  </si>
  <si>
    <t>Transfer from other funds</t>
  </si>
  <si>
    <t>Bond Refinancing Issue &amp; Principle</t>
  </si>
  <si>
    <t xml:space="preserve">Interest </t>
  </si>
  <si>
    <t>Bond Issue Costs</t>
  </si>
  <si>
    <t>Commission &amp; Postage</t>
  </si>
  <si>
    <t>Anticipated Water Tower Payment</t>
  </si>
  <si>
    <t>Contractual</t>
  </si>
  <si>
    <t>Sales</t>
  </si>
  <si>
    <t>Connection Fees</t>
  </si>
  <si>
    <t xml:space="preserve">  Water Supply Purchases</t>
  </si>
  <si>
    <t xml:space="preserve">   Employee Benefits</t>
  </si>
  <si>
    <t xml:space="preserve">  Transfers to other funds</t>
  </si>
  <si>
    <t xml:space="preserve">        Equipment Reserve</t>
  </si>
  <si>
    <t xml:space="preserve">        Capital Improvements</t>
  </si>
  <si>
    <t xml:space="preserve">        Water Reserve </t>
  </si>
  <si>
    <t xml:space="preserve">        Debt Service</t>
  </si>
  <si>
    <t>Transfers from other funds</t>
  </si>
  <si>
    <t>User Fees</t>
  </si>
  <si>
    <t xml:space="preserve">  Wastewater Treatment Services</t>
  </si>
  <si>
    <t xml:space="preserve">        Sewer Reserve </t>
  </si>
  <si>
    <t xml:space="preserve">        Debt Service </t>
  </si>
  <si>
    <t>Permits &amp; Fees</t>
  </si>
  <si>
    <t>Connections</t>
  </si>
  <si>
    <t>Transfer to Bond &amp; Interest</t>
  </si>
  <si>
    <t>Transfers from other funds-Rock Pointe Prj.</t>
  </si>
  <si>
    <t xml:space="preserve">  Gas Supply Purchases</t>
  </si>
  <si>
    <t xml:space="preserve">        Gas Reserve </t>
  </si>
  <si>
    <t>Transfer from Gas</t>
  </si>
  <si>
    <t>Capital outlay</t>
  </si>
  <si>
    <t xml:space="preserve">   from Gas</t>
  </si>
  <si>
    <t xml:space="preserve">   from Water</t>
  </si>
  <si>
    <t xml:space="preserve">   from General </t>
  </si>
  <si>
    <t xml:space="preserve"> Dump Truck</t>
  </si>
  <si>
    <t xml:space="preserve"> Road Grader</t>
  </si>
  <si>
    <t xml:space="preserve"> Other </t>
  </si>
  <si>
    <t xml:space="preserve">   from gas</t>
  </si>
  <si>
    <t xml:space="preserve">   from water</t>
  </si>
  <si>
    <t>Contratual Services</t>
  </si>
  <si>
    <t>Commodities and other</t>
  </si>
  <si>
    <t>Contractual Services</t>
  </si>
  <si>
    <t>Contractual services</t>
  </si>
  <si>
    <t>Commodities &amp; Other</t>
  </si>
  <si>
    <t xml:space="preserve">  Merit</t>
  </si>
  <si>
    <t>Transfer from Sewer fund</t>
  </si>
  <si>
    <t xml:space="preserve">  Emergency Overtime</t>
  </si>
  <si>
    <t xml:space="preserve">   from Sewer</t>
  </si>
  <si>
    <t>Computer Upgrades</t>
  </si>
  <si>
    <t>Police Vehicle  Lease Payment</t>
  </si>
  <si>
    <t>Police Radios Lease Payment</t>
  </si>
  <si>
    <t>___________________________________________________</t>
  </si>
  <si>
    <t>Brian Adams</t>
  </si>
  <si>
    <t>Kevin Opat, Council President</t>
  </si>
  <si>
    <t>Debbie Jacobs</t>
  </si>
  <si>
    <t>David McConnaughhay</t>
  </si>
  <si>
    <t>Virginia Riemann</t>
  </si>
  <si>
    <t>Kechi Governing Body</t>
  </si>
  <si>
    <t xml:space="preserve">    Emergency Overtime</t>
  </si>
  <si>
    <t xml:space="preserve">    Merit</t>
  </si>
  <si>
    <t xml:space="preserve">  City Park</t>
  </si>
  <si>
    <t xml:space="preserve">     Contractual &amp; Commodities</t>
  </si>
  <si>
    <t xml:space="preserve">     Capital Outlay</t>
  </si>
  <si>
    <t xml:space="preserve">  South City Park</t>
  </si>
  <si>
    <t xml:space="preserve">      Contractual &amp; Commodities</t>
  </si>
  <si>
    <t xml:space="preserve">      Capital Outlay</t>
  </si>
  <si>
    <t xml:space="preserve">  Equipment Reserve</t>
  </si>
  <si>
    <t xml:space="preserve">  Capital Improvement</t>
  </si>
  <si>
    <t xml:space="preserve">   from sewer</t>
  </si>
  <si>
    <t xml:space="preserve">   from general</t>
  </si>
  <si>
    <t>Rock Pointe Temp. Note</t>
  </si>
  <si>
    <t>Gas Fund</t>
  </si>
  <si>
    <t>12_6a16</t>
  </si>
  <si>
    <t xml:space="preserve">Gas Fund </t>
  </si>
  <si>
    <t>Capital Improvement</t>
  </si>
  <si>
    <t>12-1,118</t>
  </si>
  <si>
    <t xml:space="preserve">Water Fund </t>
  </si>
  <si>
    <t xml:space="preserve">Sewer Fund </t>
  </si>
  <si>
    <t>Bond &amp; Interest</t>
  </si>
  <si>
    <t>12-825d</t>
  </si>
  <si>
    <t xml:space="preserve">General Fund </t>
  </si>
  <si>
    <t>12-1,117</t>
  </si>
  <si>
    <t xml:space="preserve">Sewer Reserve Fund </t>
  </si>
  <si>
    <t>12-631o</t>
  </si>
  <si>
    <t>Business Attraction</t>
  </si>
  <si>
    <t xml:space="preserve">Laura Hill, City Clerk </t>
  </si>
  <si>
    <t>August 11, 2011</t>
  </si>
  <si>
    <t>7:00 PM</t>
  </si>
  <si>
    <t>C35 Explained</t>
  </si>
  <si>
    <t xml:space="preserve">  We refinanced a number of bond issues.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</si>
</sst>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8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3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0" xfId="0"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41"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7" fillId="0" borderId="0" xfId="341">
      <alignment/>
      <protection/>
    </xf>
    <xf numFmtId="0" fontId="5" fillId="0" borderId="0" xfId="341" applyFont="1" applyAlignment="1">
      <alignment horizontal="left" vertical="center"/>
      <protection/>
    </xf>
    <xf numFmtId="0" fontId="27" fillId="0" borderId="0" xfId="341" applyNumberFormat="1" applyFont="1" applyAlignment="1">
      <alignment horizontal="left" vertical="center"/>
      <protection/>
    </xf>
    <xf numFmtId="49" fontId="5" fillId="42"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42" borderId="0" xfId="341" applyFont="1" applyFill="1" applyAlignment="1" applyProtection="1">
      <alignment horizontal="left" vertical="center"/>
      <protection locked="0"/>
    </xf>
    <xf numFmtId="0" fontId="27" fillId="42"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75"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43" borderId="26" xfId="77" applyFont="1" applyFill="1" applyBorder="1" applyAlignment="1" applyProtection="1">
      <alignment vertical="center"/>
      <protection locked="0"/>
    </xf>
    <xf numFmtId="0" fontId="5" fillId="43" borderId="0" xfId="77" applyFont="1" applyFill="1" applyBorder="1" applyAlignment="1" applyProtection="1">
      <alignment vertical="center"/>
      <protection locked="0"/>
    </xf>
    <xf numFmtId="0" fontId="5" fillId="43" borderId="21" xfId="77" applyFont="1" applyFill="1" applyBorder="1" applyAlignment="1" applyProtection="1">
      <alignment vertical="center"/>
      <protection locked="0"/>
    </xf>
    <xf numFmtId="0" fontId="5" fillId="43"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43" borderId="26" xfId="77" applyNumberFormat="1" applyFont="1" applyFill="1" applyBorder="1" applyAlignment="1" applyProtection="1">
      <alignment vertical="center"/>
      <protection locked="0"/>
    </xf>
    <xf numFmtId="195" fontId="13" fillId="43" borderId="25" xfId="77" applyNumberFormat="1" applyFont="1" applyFill="1" applyBorder="1" applyAlignment="1" applyProtection="1">
      <alignment horizontal="center" vertical="center"/>
      <protection locked="0"/>
    </xf>
    <xf numFmtId="195" fontId="13" fillId="43" borderId="26" xfId="77" applyNumberFormat="1" applyFont="1" applyFill="1" applyBorder="1" applyAlignment="1" applyProtection="1">
      <alignment horizontal="center" vertical="center"/>
      <protection locked="0"/>
    </xf>
    <xf numFmtId="0" fontId="13" fillId="43" borderId="11" xfId="77" applyFont="1" applyFill="1" applyBorder="1" applyAlignment="1" applyProtection="1">
      <alignment vertical="center"/>
      <protection locked="0"/>
    </xf>
    <xf numFmtId="0" fontId="13" fillId="43" borderId="0" xfId="77" applyFont="1" applyFill="1" applyBorder="1" applyAlignment="1" applyProtection="1">
      <alignment vertical="center"/>
      <protection locked="0"/>
    </xf>
    <xf numFmtId="0" fontId="13" fillId="43"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0" fillId="0" borderId="0" xfId="0" applyFont="1" applyAlignment="1" applyProtection="1">
      <alignment vertical="center"/>
      <protection/>
    </xf>
    <xf numFmtId="0" fontId="31" fillId="0" borderId="0" xfId="0" applyFont="1" applyAlignment="1">
      <alignment/>
    </xf>
    <xf numFmtId="0" fontId="31" fillId="44" borderId="0" xfId="0" applyFont="1" applyFill="1" applyAlignment="1">
      <alignment/>
    </xf>
    <xf numFmtId="0" fontId="31" fillId="43" borderId="0" xfId="0" applyFont="1" applyFill="1" applyAlignment="1">
      <alignment/>
    </xf>
    <xf numFmtId="0" fontId="76" fillId="44" borderId="0" xfId="0" applyFont="1" applyFill="1" applyAlignment="1">
      <alignment horizontal="center" wrapText="1"/>
    </xf>
    <xf numFmtId="0" fontId="76" fillId="43" borderId="0" xfId="0" applyFont="1" applyFill="1" applyAlignment="1">
      <alignment/>
    </xf>
    <xf numFmtId="0" fontId="31" fillId="43" borderId="0" xfId="0" applyFont="1" applyFill="1" applyAlignment="1">
      <alignment horizontal="center"/>
    </xf>
    <xf numFmtId="0" fontId="76" fillId="43" borderId="27" xfId="0" applyFont="1" applyFill="1" applyBorder="1" applyAlignment="1">
      <alignment/>
    </xf>
    <xf numFmtId="0" fontId="31" fillId="43" borderId="28" xfId="0" applyFont="1" applyFill="1" applyBorder="1" applyAlignment="1">
      <alignment/>
    </xf>
    <xf numFmtId="0" fontId="31" fillId="43" borderId="29" xfId="0" applyFont="1" applyFill="1" applyBorder="1" applyAlignment="1">
      <alignment/>
    </xf>
    <xf numFmtId="195" fontId="31" fillId="43" borderId="30" xfId="0" applyNumberFormat="1" applyFont="1" applyFill="1" applyBorder="1" applyAlignment="1">
      <alignment/>
    </xf>
    <xf numFmtId="0" fontId="31" fillId="43" borderId="0" xfId="0" applyFont="1" applyFill="1" applyBorder="1" applyAlignment="1">
      <alignment/>
    </xf>
    <xf numFmtId="195" fontId="31" fillId="43" borderId="11" xfId="0" applyNumberFormat="1" applyFont="1" applyFill="1" applyBorder="1" applyAlignment="1">
      <alignment horizontal="center"/>
    </xf>
    <xf numFmtId="0" fontId="31" fillId="43" borderId="31" xfId="0" applyFont="1" applyFill="1" applyBorder="1" applyAlignment="1">
      <alignment/>
    </xf>
    <xf numFmtId="0" fontId="31" fillId="43" borderId="32" xfId="0" applyFont="1" applyFill="1" applyBorder="1" applyAlignment="1">
      <alignment/>
    </xf>
    <xf numFmtId="0" fontId="31" fillId="43" borderId="33" xfId="0" applyFont="1" applyFill="1" applyBorder="1" applyAlignment="1">
      <alignment/>
    </xf>
    <xf numFmtId="0" fontId="31" fillId="43" borderId="34" xfId="0" applyFont="1" applyFill="1" applyBorder="1" applyAlignment="1">
      <alignment/>
    </xf>
    <xf numFmtId="195" fontId="31" fillId="43" borderId="0" xfId="0" applyNumberFormat="1" applyFont="1" applyFill="1" applyAlignment="1">
      <alignment/>
    </xf>
    <xf numFmtId="0" fontId="31" fillId="43" borderId="27" xfId="0" applyFont="1" applyFill="1" applyBorder="1" applyAlignment="1">
      <alignment/>
    </xf>
    <xf numFmtId="0" fontId="31" fillId="43" borderId="35" xfId="0" applyFont="1" applyFill="1" applyBorder="1" applyAlignment="1">
      <alignment/>
    </xf>
    <xf numFmtId="195" fontId="31" fillId="42" borderId="30" xfId="0" applyNumberFormat="1" applyFont="1" applyFill="1" applyBorder="1" applyAlignment="1" applyProtection="1">
      <alignment horizontal="center"/>
      <protection locked="0"/>
    </xf>
    <xf numFmtId="188" fontId="31" fillId="43" borderId="0" xfId="0" applyNumberFormat="1" applyFont="1" applyFill="1" applyBorder="1" applyAlignment="1">
      <alignment horizontal="center"/>
    </xf>
    <xf numFmtId="0" fontId="77" fillId="0" borderId="0" xfId="0" applyFont="1" applyBorder="1" applyAlignment="1">
      <alignment/>
    </xf>
    <xf numFmtId="0" fontId="31" fillId="0" borderId="0" xfId="0" applyFont="1" applyBorder="1" applyAlignment="1">
      <alignment/>
    </xf>
    <xf numFmtId="0" fontId="76" fillId="0" borderId="0" xfId="0" applyFont="1" applyBorder="1" applyAlignment="1">
      <alignment horizontal="centerContinuous"/>
    </xf>
    <xf numFmtId="0" fontId="31" fillId="0" borderId="0" xfId="0" applyFont="1" applyBorder="1" applyAlignment="1">
      <alignment horizontal="centerContinuous"/>
    </xf>
    <xf numFmtId="0" fontId="31" fillId="44" borderId="0" xfId="0" applyFont="1" applyFill="1" applyBorder="1" applyAlignment="1">
      <alignment/>
    </xf>
    <xf numFmtId="0" fontId="31" fillId="43" borderId="36" xfId="0" applyFont="1" applyFill="1" applyBorder="1" applyAlignment="1">
      <alignment/>
    </xf>
    <xf numFmtId="0" fontId="31" fillId="43" borderId="19" xfId="0" applyFont="1" applyFill="1" applyBorder="1" applyAlignment="1">
      <alignment/>
    </xf>
    <xf numFmtId="0" fontId="31" fillId="43" borderId="37" xfId="0" applyFont="1" applyFill="1" applyBorder="1" applyAlignment="1">
      <alignment/>
    </xf>
    <xf numFmtId="196" fontId="31" fillId="43" borderId="0" xfId="0" applyNumberFormat="1" applyFont="1" applyFill="1" applyBorder="1" applyAlignment="1">
      <alignment horizontal="center"/>
    </xf>
    <xf numFmtId="5" fontId="31" fillId="43" borderId="33" xfId="0" applyNumberFormat="1" applyFont="1" applyFill="1" applyBorder="1" applyAlignment="1">
      <alignment horizontal="center"/>
    </xf>
    <xf numFmtId="0" fontId="31" fillId="43" borderId="33" xfId="0" applyFont="1" applyFill="1" applyBorder="1" applyAlignment="1">
      <alignment horizontal="center"/>
    </xf>
    <xf numFmtId="188" fontId="31" fillId="43" borderId="33" xfId="0" applyNumberFormat="1" applyFont="1" applyFill="1" applyBorder="1" applyAlignment="1">
      <alignment horizontal="center"/>
    </xf>
    <xf numFmtId="196" fontId="31" fillId="43" borderId="33" xfId="0" applyNumberFormat="1" applyFont="1" applyFill="1" applyBorder="1" applyAlignment="1">
      <alignment horizontal="center"/>
    </xf>
    <xf numFmtId="0" fontId="31" fillId="43" borderId="0" xfId="0" applyFont="1" applyFill="1" applyAlignment="1">
      <alignment horizontal="center" wrapText="1"/>
    </xf>
    <xf numFmtId="0" fontId="76" fillId="43" borderId="27" xfId="0" applyFont="1" applyFill="1" applyBorder="1" applyAlignment="1">
      <alignment/>
    </xf>
    <xf numFmtId="0" fontId="31" fillId="43" borderId="28" xfId="0" applyFont="1" applyFill="1" applyBorder="1" applyAlignment="1">
      <alignment/>
    </xf>
    <xf numFmtId="0" fontId="31" fillId="43" borderId="29" xfId="0" applyFont="1" applyFill="1" applyBorder="1" applyAlignment="1">
      <alignment/>
    </xf>
    <xf numFmtId="0" fontId="31" fillId="43" borderId="35" xfId="0" applyFont="1" applyFill="1" applyBorder="1" applyAlignment="1">
      <alignment/>
    </xf>
    <xf numFmtId="0" fontId="31" fillId="43" borderId="31" xfId="0" applyFont="1" applyFill="1" applyBorder="1" applyAlignment="1">
      <alignment/>
    </xf>
    <xf numFmtId="0" fontId="31" fillId="43" borderId="36" xfId="0" applyFont="1" applyFill="1" applyBorder="1" applyAlignment="1">
      <alignment/>
    </xf>
    <xf numFmtId="0" fontId="31" fillId="43" borderId="19" xfId="0" applyFont="1" applyFill="1" applyBorder="1" applyAlignment="1">
      <alignment/>
    </xf>
    <xf numFmtId="0" fontId="31" fillId="43" borderId="37" xfId="0" applyFont="1" applyFill="1" applyBorder="1" applyAlignment="1">
      <alignment/>
    </xf>
    <xf numFmtId="178" fontId="31" fillId="43" borderId="0" xfId="0" applyNumberFormat="1" applyFont="1" applyFill="1" applyBorder="1" applyAlignment="1">
      <alignment horizontal="center"/>
    </xf>
    <xf numFmtId="0" fontId="31" fillId="43" borderId="32" xfId="0" applyFont="1" applyFill="1" applyBorder="1" applyAlignment="1">
      <alignment/>
    </xf>
    <xf numFmtId="5" fontId="31" fillId="43" borderId="0" xfId="0" applyNumberFormat="1" applyFont="1" applyFill="1" applyBorder="1" applyAlignment="1">
      <alignment horizontal="center"/>
    </xf>
    <xf numFmtId="0" fontId="31" fillId="44" borderId="0" xfId="0" applyFont="1" applyFill="1" applyAlignment="1">
      <alignment/>
    </xf>
    <xf numFmtId="188" fontId="31" fillId="42" borderId="11" xfId="0" applyNumberFormat="1" applyFont="1" applyFill="1" applyBorder="1" applyAlignment="1" applyProtection="1">
      <alignment horizontal="center"/>
      <protection locked="0"/>
    </xf>
    <xf numFmtId="196" fontId="31" fillId="43" borderId="0" xfId="0" applyNumberFormat="1" applyFont="1" applyFill="1" applyBorder="1" applyAlignment="1">
      <alignment/>
    </xf>
    <xf numFmtId="0" fontId="31" fillId="45" borderId="0" xfId="0" applyFont="1" applyFill="1" applyAlignment="1">
      <alignment/>
    </xf>
    <xf numFmtId="0" fontId="33" fillId="0" borderId="0" xfId="0" applyFont="1" applyAlignment="1">
      <alignment horizontal="center"/>
    </xf>
    <xf numFmtId="0" fontId="5" fillId="0" borderId="0" xfId="0" applyFont="1" applyAlignment="1">
      <alignment wrapText="1"/>
    </xf>
    <xf numFmtId="0" fontId="34"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78" fillId="0" borderId="0" xfId="0" applyFont="1" applyAlignment="1">
      <alignment wrapText="1"/>
    </xf>
    <xf numFmtId="0" fontId="24" fillId="0" borderId="0" xfId="0" applyFont="1" applyAlignment="1">
      <alignment wrapText="1"/>
    </xf>
    <xf numFmtId="188" fontId="5" fillId="42" borderId="21" xfId="77" applyNumberFormat="1" applyFont="1" applyFill="1" applyBorder="1" applyAlignment="1" applyProtection="1">
      <alignment horizontal="center"/>
      <protection locked="0"/>
    </xf>
    <xf numFmtId="0" fontId="35" fillId="43" borderId="26" xfId="77" applyFont="1" applyFill="1" applyBorder="1" applyProtection="1">
      <alignment/>
      <protection/>
    </xf>
    <xf numFmtId="0" fontId="5" fillId="43" borderId="0" xfId="77" applyFont="1" applyFill="1" applyBorder="1" applyProtection="1">
      <alignment/>
      <protection/>
    </xf>
    <xf numFmtId="195" fontId="5" fillId="43" borderId="21" xfId="77" applyNumberFormat="1" applyFont="1" applyFill="1" applyBorder="1" applyAlignment="1" applyProtection="1">
      <alignment horizontal="center"/>
      <protection/>
    </xf>
    <xf numFmtId="0" fontId="5" fillId="43" borderId="25" xfId="77" applyFont="1" applyFill="1" applyBorder="1" applyProtection="1">
      <alignment/>
      <protection/>
    </xf>
    <xf numFmtId="0" fontId="5" fillId="43" borderId="11" xfId="77" applyFont="1" applyFill="1" applyBorder="1" applyProtection="1">
      <alignment/>
      <protection/>
    </xf>
    <xf numFmtId="195" fontId="5" fillId="46"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3" borderId="26" xfId="77" applyFont="1" applyFill="1" applyBorder="1" applyProtection="1">
      <alignment/>
      <protection/>
    </xf>
    <xf numFmtId="0" fontId="5" fillId="43" borderId="21" xfId="77" applyFont="1" applyFill="1" applyBorder="1" applyProtection="1">
      <alignment/>
      <protection/>
    </xf>
    <xf numFmtId="178" fontId="5" fillId="43" borderId="21" xfId="77" applyNumberFormat="1" applyFont="1" applyFill="1" applyBorder="1" applyAlignment="1" applyProtection="1">
      <alignment horizontal="center"/>
      <protection/>
    </xf>
    <xf numFmtId="0" fontId="5" fillId="46" borderId="26" xfId="77" applyFont="1" applyFill="1" applyBorder="1" applyProtection="1">
      <alignment/>
      <protection/>
    </xf>
    <xf numFmtId="0" fontId="5" fillId="46" borderId="0" xfId="77" applyFont="1" applyFill="1" applyBorder="1" applyProtection="1">
      <alignment/>
      <protection/>
    </xf>
    <xf numFmtId="0" fontId="5" fillId="46" borderId="25" xfId="77" applyFont="1" applyFill="1" applyBorder="1" applyProtection="1">
      <alignment/>
      <protection/>
    </xf>
    <xf numFmtId="0" fontId="5" fillId="46" borderId="11" xfId="77" applyFont="1" applyFill="1" applyBorder="1" applyProtection="1">
      <alignment/>
      <protection/>
    </xf>
    <xf numFmtId="0" fontId="5" fillId="0" borderId="0" xfId="77" applyFont="1" applyProtection="1">
      <alignment/>
      <protection/>
    </xf>
    <xf numFmtId="195" fontId="5" fillId="43"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79" fillId="0" borderId="0" xfId="0" applyFont="1" applyAlignment="1">
      <alignment vertical="center"/>
    </xf>
    <xf numFmtId="0" fontId="80" fillId="0" borderId="0" xfId="0" applyFont="1" applyAlignment="1" applyProtection="1">
      <alignment horizontal="center" vertical="center"/>
      <protection locked="0"/>
    </xf>
    <xf numFmtId="0" fontId="81"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47" borderId="14" xfId="0" applyNumberFormat="1" applyFont="1" applyFill="1" applyBorder="1" applyAlignment="1" applyProtection="1">
      <alignment horizontal="center" vertical="center"/>
      <protection/>
    </xf>
    <xf numFmtId="188" fontId="5" fillId="47"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43"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43" borderId="0" xfId="77" applyFont="1" applyFill="1" applyBorder="1" applyAlignment="1" applyProtection="1">
      <alignment vertical="center"/>
      <protection locked="0"/>
    </xf>
    <xf numFmtId="0" fontId="5" fillId="43" borderId="0" xfId="77" applyFont="1" applyFill="1" applyBorder="1" applyAlignment="1" applyProtection="1">
      <alignment vertical="center"/>
      <protection/>
    </xf>
    <xf numFmtId="0" fontId="35" fillId="43" borderId="0" xfId="77" applyFont="1" applyFill="1" applyBorder="1" applyAlignment="1" applyProtection="1">
      <alignment vertical="center"/>
      <protection locked="0"/>
    </xf>
    <xf numFmtId="0" fontId="35" fillId="46" borderId="11" xfId="77" applyFont="1" applyFill="1" applyBorder="1" applyAlignment="1" applyProtection="1">
      <alignment vertical="center"/>
      <protection locked="0"/>
    </xf>
    <xf numFmtId="0" fontId="5" fillId="46" borderId="11" xfId="77" applyFont="1" applyFill="1" applyBorder="1" applyAlignment="1" applyProtection="1">
      <alignment vertical="center"/>
      <protection locked="0"/>
    </xf>
    <xf numFmtId="0" fontId="38" fillId="46" borderId="25" xfId="77" applyFont="1" applyFill="1" applyBorder="1" applyAlignment="1" applyProtection="1">
      <alignment vertical="center"/>
      <protection locked="0"/>
    </xf>
    <xf numFmtId="195" fontId="35" fillId="42" borderId="10" xfId="77" applyNumberFormat="1" applyFont="1" applyFill="1" applyBorder="1" applyAlignment="1" applyProtection="1">
      <alignment horizontal="center" vertical="center"/>
      <protection locked="0"/>
    </xf>
    <xf numFmtId="0" fontId="5" fillId="43" borderId="26" xfId="77" applyFont="1" applyFill="1" applyBorder="1" applyAlignment="1" applyProtection="1">
      <alignment vertical="center"/>
      <protection/>
    </xf>
    <xf numFmtId="0" fontId="5" fillId="43" borderId="21" xfId="77" applyFont="1" applyFill="1" applyBorder="1" applyAlignment="1" applyProtection="1">
      <alignment vertical="center"/>
      <protection/>
    </xf>
    <xf numFmtId="195" fontId="35" fillId="43" borderId="26" xfId="77" applyNumberFormat="1" applyFont="1" applyFill="1" applyBorder="1" applyAlignment="1" applyProtection="1">
      <alignment horizontal="center" vertical="center"/>
      <protection/>
    </xf>
    <xf numFmtId="0" fontId="35" fillId="43" borderId="0" xfId="77" applyFont="1" applyFill="1" applyBorder="1" applyAlignment="1" applyProtection="1">
      <alignment horizontal="left" vertical="center"/>
      <protection/>
    </xf>
    <xf numFmtId="0" fontId="35" fillId="43" borderId="21" xfId="77" applyFont="1" applyFill="1" applyBorder="1" applyAlignment="1" applyProtection="1">
      <alignment vertical="center"/>
      <protection/>
    </xf>
    <xf numFmtId="0" fontId="35" fillId="43" borderId="0" xfId="77" applyFont="1" applyFill="1" applyBorder="1" applyAlignment="1" applyProtection="1">
      <alignment vertical="center"/>
      <protection/>
    </xf>
    <xf numFmtId="195" fontId="35" fillId="43" borderId="25" xfId="77" applyNumberFormat="1" applyFont="1" applyFill="1" applyBorder="1" applyAlignment="1" applyProtection="1">
      <alignment horizontal="center" vertical="center"/>
      <protection/>
    </xf>
    <xf numFmtId="195" fontId="35" fillId="43" borderId="26" xfId="77" applyNumberFormat="1" applyFont="1" applyFill="1" applyBorder="1" applyAlignment="1" applyProtection="1">
      <alignment vertical="center"/>
      <protection/>
    </xf>
    <xf numFmtId="0" fontId="38" fillId="46" borderId="11" xfId="77" applyFont="1" applyFill="1" applyBorder="1" applyAlignment="1" applyProtection="1">
      <alignment vertical="center"/>
      <protection/>
    </xf>
    <xf numFmtId="0" fontId="35" fillId="46" borderId="17" xfId="77" applyFont="1" applyFill="1" applyBorder="1" applyAlignment="1" applyProtection="1">
      <alignment vertical="center"/>
      <protection/>
    </xf>
    <xf numFmtId="0" fontId="5" fillId="46" borderId="17" xfId="77" applyFont="1" applyFill="1" applyBorder="1" applyAlignment="1" applyProtection="1">
      <alignment vertical="center"/>
      <protection/>
    </xf>
    <xf numFmtId="0" fontId="35" fillId="43" borderId="26" xfId="77" applyFont="1" applyFill="1" applyBorder="1" applyAlignment="1" applyProtection="1">
      <alignment horizontal="left" vertical="center"/>
      <protection/>
    </xf>
    <xf numFmtId="195" fontId="38" fillId="46" borderId="25" xfId="77" applyNumberFormat="1" applyFont="1" applyFill="1" applyBorder="1" applyAlignment="1" applyProtection="1">
      <alignment horizontal="center" vertical="center"/>
      <protection/>
    </xf>
    <xf numFmtId="195" fontId="38" fillId="46" borderId="17" xfId="77" applyNumberFormat="1" applyFont="1" applyFill="1" applyBorder="1" applyAlignment="1" applyProtection="1">
      <alignment horizontal="center" vertical="center"/>
      <protection locked="0"/>
    </xf>
    <xf numFmtId="0" fontId="5" fillId="43" borderId="18" xfId="71" applyFont="1" applyFill="1" applyBorder="1" applyAlignment="1" applyProtection="1">
      <alignment vertical="center"/>
      <protection locked="0"/>
    </xf>
    <xf numFmtId="0" fontId="5" fillId="43" borderId="16" xfId="71" applyFont="1" applyFill="1" applyBorder="1" applyAlignment="1" applyProtection="1">
      <alignment vertical="center"/>
      <protection locked="0"/>
    </xf>
    <xf numFmtId="0" fontId="35" fillId="43" borderId="16" xfId="77" applyFont="1" applyFill="1" applyBorder="1" applyAlignment="1" applyProtection="1">
      <alignment horizontal="left" vertical="center"/>
      <protection/>
    </xf>
    <xf numFmtId="188" fontId="35" fillId="43" borderId="18" xfId="77" applyNumberFormat="1" applyFont="1" applyFill="1" applyBorder="1" applyAlignment="1" applyProtection="1">
      <alignment horizontal="center" vertical="center"/>
      <protection locked="0"/>
    </xf>
    <xf numFmtId="0" fontId="35" fillId="43"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76" fillId="43" borderId="0" xfId="0" applyFont="1" applyFill="1" applyAlignment="1">
      <alignment horizontal="center" wrapText="1"/>
    </xf>
    <xf numFmtId="0" fontId="76" fillId="43" borderId="0" xfId="0" applyFont="1" applyFill="1" applyAlignment="1">
      <alignment horizontal="center"/>
    </xf>
    <xf numFmtId="195" fontId="31" fillId="43" borderId="0" xfId="0" applyNumberFormat="1" applyFont="1" applyFill="1" applyAlignment="1">
      <alignment horizontal="center"/>
    </xf>
    <xf numFmtId="195" fontId="31" fillId="42" borderId="11" xfId="0" applyNumberFormat="1" applyFont="1" applyFill="1" applyBorder="1" applyAlignment="1" applyProtection="1">
      <alignment horizontal="center"/>
      <protection locked="0"/>
    </xf>
    <xf numFmtId="0" fontId="31" fillId="43" borderId="0" xfId="0" applyFont="1" applyFill="1" applyBorder="1" applyAlignment="1">
      <alignment/>
    </xf>
    <xf numFmtId="0" fontId="31" fillId="43" borderId="34" xfId="0" applyFont="1" applyFill="1" applyBorder="1" applyAlignment="1">
      <alignment/>
    </xf>
    <xf numFmtId="0" fontId="31" fillId="43" borderId="0" xfId="0" applyFont="1" applyFill="1" applyBorder="1" applyAlignment="1">
      <alignment horizontal="center"/>
    </xf>
    <xf numFmtId="195" fontId="31" fillId="43" borderId="0" xfId="0" applyNumberFormat="1" applyFont="1" applyFill="1" applyBorder="1" applyAlignment="1">
      <alignment horizontal="center"/>
    </xf>
    <xf numFmtId="0" fontId="31" fillId="43" borderId="19" xfId="0" applyFont="1" applyFill="1" applyBorder="1" applyAlignment="1">
      <alignment horizontal="center"/>
    </xf>
    <xf numFmtId="3" fontId="5" fillId="47" borderId="15" xfId="0" applyNumberFormat="1" applyFont="1" applyFill="1" applyBorder="1" applyAlignment="1" applyProtection="1">
      <alignment horizontal="center" vertical="center"/>
      <protection/>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0" fontId="76" fillId="43" borderId="35" xfId="0" applyFont="1" applyFill="1" applyBorder="1" applyAlignment="1">
      <alignment horizontal="centerContinuous" vertical="center"/>
    </xf>
    <xf numFmtId="195" fontId="76" fillId="43" borderId="0" xfId="0" applyNumberFormat="1" applyFont="1" applyFill="1" applyBorder="1" applyAlignment="1">
      <alignment horizontal="centerContinuous" vertical="center"/>
    </xf>
    <xf numFmtId="0" fontId="76" fillId="43" borderId="0" xfId="0" applyFont="1" applyFill="1" applyBorder="1" applyAlignment="1">
      <alignment horizontal="centerContinuous" vertical="center"/>
    </xf>
    <xf numFmtId="188" fontId="76" fillId="43" borderId="0" xfId="0" applyNumberFormat="1" applyFont="1" applyFill="1" applyBorder="1" applyAlignment="1" applyProtection="1">
      <alignment horizontal="centerContinuous" vertical="center"/>
      <protection locked="0"/>
    </xf>
    <xf numFmtId="196" fontId="76" fillId="43" borderId="0" xfId="0" applyNumberFormat="1" applyFont="1" applyFill="1" applyBorder="1" applyAlignment="1">
      <alignment horizontal="centerContinuous" vertical="center"/>
    </xf>
    <xf numFmtId="0" fontId="76" fillId="43" borderId="31" xfId="0" applyFont="1" applyFill="1" applyBorder="1" applyAlignment="1">
      <alignment horizontal="centerContinuous" vertical="center"/>
    </xf>
    <xf numFmtId="0" fontId="76" fillId="43" borderId="35" xfId="0" applyFont="1" applyFill="1" applyBorder="1" applyAlignment="1">
      <alignment horizontal="centerContinuous"/>
    </xf>
    <xf numFmtId="195" fontId="76" fillId="43" borderId="0" xfId="0" applyNumberFormat="1" applyFont="1" applyFill="1" applyBorder="1" applyAlignment="1">
      <alignment horizontal="centerContinuous"/>
    </xf>
    <xf numFmtId="0" fontId="76" fillId="43" borderId="0" xfId="0" applyFont="1" applyFill="1" applyBorder="1" applyAlignment="1">
      <alignment horizontal="centerContinuous"/>
    </xf>
    <xf numFmtId="188" fontId="76" fillId="43" borderId="0" xfId="0" applyNumberFormat="1" applyFont="1" applyFill="1" applyBorder="1" applyAlignment="1" applyProtection="1">
      <alignment horizontal="centerContinuous"/>
      <protection locked="0"/>
    </xf>
    <xf numFmtId="196" fontId="76" fillId="43" borderId="0" xfId="0" applyNumberFormat="1" applyFont="1" applyFill="1" applyBorder="1" applyAlignment="1">
      <alignment horizontal="centerContinuous"/>
    </xf>
    <xf numFmtId="0" fontId="76" fillId="43" borderId="31" xfId="0" applyFont="1" applyFill="1" applyBorder="1" applyAlignment="1">
      <alignment horizontal="centerContinuous"/>
    </xf>
    <xf numFmtId="195" fontId="31" fillId="0" borderId="0" xfId="0" applyNumberFormat="1" applyFont="1" applyAlignment="1">
      <alignment/>
    </xf>
    <xf numFmtId="195" fontId="31" fillId="43" borderId="33" xfId="0" applyNumberFormat="1" applyFont="1" applyFill="1" applyBorder="1" applyAlignment="1">
      <alignment horizontal="center"/>
    </xf>
    <xf numFmtId="188" fontId="31" fillId="43" borderId="33" xfId="0" applyNumberFormat="1" applyFont="1" applyFill="1" applyBorder="1" applyAlignment="1" applyProtection="1">
      <alignment horizontal="center"/>
      <protection locked="0"/>
    </xf>
    <xf numFmtId="196" fontId="31" fillId="43" borderId="33" xfId="0" applyNumberFormat="1" applyFont="1" applyFill="1" applyBorder="1" applyAlignment="1">
      <alignment/>
    </xf>
    <xf numFmtId="188" fontId="31" fillId="43" borderId="0" xfId="0" applyNumberFormat="1" applyFont="1" applyFill="1" applyBorder="1" applyAlignment="1" applyProtection="1">
      <alignment horizontal="center"/>
      <protection locked="0"/>
    </xf>
    <xf numFmtId="195" fontId="31" fillId="43" borderId="28" xfId="0" applyNumberFormat="1" applyFont="1" applyFill="1" applyBorder="1" applyAlignment="1">
      <alignment horizontal="center"/>
    </xf>
    <xf numFmtId="0" fontId="31" fillId="43" borderId="28" xfId="0" applyFont="1" applyFill="1" applyBorder="1" applyAlignment="1">
      <alignment horizontal="center"/>
    </xf>
    <xf numFmtId="188" fontId="31" fillId="43" borderId="28" xfId="0" applyNumberFormat="1" applyFont="1" applyFill="1" applyBorder="1" applyAlignment="1" applyProtection="1">
      <alignment horizontal="center"/>
      <protection locked="0"/>
    </xf>
    <xf numFmtId="196" fontId="31" fillId="43" borderId="28" xfId="0" applyNumberFormat="1" applyFont="1" applyFill="1" applyBorder="1" applyAlignment="1">
      <alignment/>
    </xf>
    <xf numFmtId="195" fontId="31" fillId="43" borderId="0" xfId="0" applyNumberFormat="1" applyFont="1" applyFill="1" applyBorder="1" applyAlignment="1" applyProtection="1">
      <alignment horizontal="center"/>
      <protection locked="0"/>
    </xf>
    <xf numFmtId="195" fontId="5" fillId="46" borderId="21" xfId="77" applyNumberFormat="1" applyFont="1" applyFill="1" applyBorder="1" applyAlignment="1" applyProtection="1">
      <alignment horizontal="center"/>
      <protection/>
    </xf>
    <xf numFmtId="0" fontId="5" fillId="46" borderId="25" xfId="0" applyFont="1" applyFill="1" applyBorder="1" applyAlignment="1">
      <alignment vertical="center"/>
    </xf>
    <xf numFmtId="0" fontId="5" fillId="46" borderId="11" xfId="0" applyFont="1" applyFill="1" applyBorder="1" applyAlignment="1">
      <alignment vertical="center"/>
    </xf>
    <xf numFmtId="195" fontId="5" fillId="46" borderId="17" xfId="0" applyNumberFormat="1" applyFont="1" applyFill="1" applyBorder="1" applyAlignment="1">
      <alignment horizontal="center" vertical="center"/>
    </xf>
    <xf numFmtId="197" fontId="5" fillId="34" borderId="10" xfId="0" applyNumberFormat="1" applyFont="1" applyFill="1" applyBorder="1" applyAlignment="1" applyProtection="1">
      <alignment horizontal="center" vertical="center"/>
      <protection/>
    </xf>
    <xf numFmtId="0" fontId="35" fillId="42" borderId="10" xfId="133" applyFont="1" applyFill="1" applyBorder="1" applyProtection="1">
      <alignment/>
      <protection locked="0"/>
    </xf>
    <xf numFmtId="14" fontId="35" fillId="42" borderId="10" xfId="133" applyNumberFormat="1" applyFont="1" applyFill="1" applyBorder="1" applyProtection="1">
      <alignment/>
      <protection locked="0"/>
    </xf>
    <xf numFmtId="174" fontId="5" fillId="42" borderId="10" xfId="133" applyNumberFormat="1" applyFont="1" applyFill="1" applyBorder="1" applyAlignment="1" applyProtection="1">
      <alignment horizontal="center"/>
      <protection locked="0"/>
    </xf>
    <xf numFmtId="2" fontId="35" fillId="42" borderId="10" xfId="133" applyNumberFormat="1" applyFont="1" applyFill="1" applyBorder="1" applyProtection="1">
      <alignment/>
      <protection locked="0"/>
    </xf>
    <xf numFmtId="3" fontId="35" fillId="42" borderId="10" xfId="133" applyNumberFormat="1" applyFont="1" applyFill="1" applyBorder="1" applyProtection="1">
      <alignment/>
      <protection locked="0"/>
    </xf>
    <xf numFmtId="16" fontId="35" fillId="42" borderId="10" xfId="133" applyNumberFormat="1" applyFont="1" applyFill="1" applyBorder="1" applyProtection="1">
      <alignment/>
      <protection locked="0"/>
    </xf>
    <xf numFmtId="37" fontId="35" fillId="42" borderId="10" xfId="133" applyNumberFormat="1" applyFont="1" applyFill="1" applyBorder="1" applyAlignment="1" applyProtection="1">
      <alignment horizontal="right"/>
      <protection locked="0"/>
    </xf>
    <xf numFmtId="3" fontId="38" fillId="42" borderId="10" xfId="133" applyNumberFormat="1" applyFont="1" applyFill="1" applyBorder="1" applyAlignment="1" applyProtection="1">
      <alignment horizontal="right"/>
      <protection locked="0"/>
    </xf>
    <xf numFmtId="3" fontId="38" fillId="42" borderId="10" xfId="133" applyNumberFormat="1" applyFont="1" applyFill="1" applyBorder="1" applyProtection="1">
      <alignment/>
      <protection locked="0"/>
    </xf>
    <xf numFmtId="1" fontId="35" fillId="42" borderId="10" xfId="133" applyNumberFormat="1" applyFont="1" applyFill="1" applyBorder="1" applyProtection="1">
      <alignment/>
      <protection locked="0"/>
    </xf>
    <xf numFmtId="0" fontId="35" fillId="33" borderId="10" xfId="133" applyFont="1" applyFill="1" applyBorder="1" applyProtection="1">
      <alignment/>
      <protection locked="0"/>
    </xf>
    <xf numFmtId="174" fontId="5" fillId="33" borderId="10" xfId="133" applyNumberFormat="1" applyFont="1" applyFill="1" applyBorder="1" applyAlignment="1" applyProtection="1">
      <alignment horizontal="center"/>
      <protection locked="0"/>
    </xf>
    <xf numFmtId="37" fontId="35" fillId="33" borderId="10" xfId="133" applyNumberFormat="1" applyFont="1" applyFill="1" applyBorder="1" applyProtection="1">
      <alignment/>
      <protection locked="0"/>
    </xf>
    <xf numFmtId="16" fontId="35" fillId="33" borderId="10" xfId="133" applyNumberFormat="1" applyFont="1" applyFill="1" applyBorder="1" applyProtection="1">
      <alignment/>
      <protection locked="0"/>
    </xf>
    <xf numFmtId="37" fontId="35" fillId="42" borderId="10" xfId="133" applyNumberFormat="1" applyFont="1" applyFill="1" applyBorder="1" applyProtection="1">
      <alignment/>
      <protection locked="0"/>
    </xf>
    <xf numFmtId="0" fontId="38" fillId="33" borderId="10" xfId="133" applyFont="1" applyFill="1" applyBorder="1" applyProtection="1">
      <alignment/>
      <protection locked="0"/>
    </xf>
    <xf numFmtId="14" fontId="35" fillId="33" borderId="10" xfId="133" applyNumberFormat="1" applyFont="1" applyFill="1" applyBorder="1" applyProtection="1">
      <alignment/>
      <protection locked="0"/>
    </xf>
    <xf numFmtId="2" fontId="35" fillId="33" borderId="10" xfId="133" applyNumberFormat="1" applyFont="1" applyFill="1" applyBorder="1" applyProtection="1">
      <alignment/>
      <protection locked="0"/>
    </xf>
    <xf numFmtId="3" fontId="35" fillId="33" borderId="10" xfId="133" applyNumberFormat="1" applyFont="1" applyFill="1" applyBorder="1" applyProtection="1">
      <alignment/>
      <protection locked="0"/>
    </xf>
    <xf numFmtId="174" fontId="35" fillId="33" borderId="10" xfId="133" applyNumberFormat="1" applyFont="1" applyFill="1" applyBorder="1" applyProtection="1">
      <alignment/>
      <protection locked="0"/>
    </xf>
    <xf numFmtId="0" fontId="5" fillId="33" borderId="10" xfId="331" applyFont="1" applyFill="1" applyBorder="1" applyProtection="1">
      <alignment/>
      <protection locked="0"/>
    </xf>
    <xf numFmtId="14" fontId="5" fillId="33" borderId="10" xfId="331" applyNumberFormat="1" applyFont="1" applyFill="1" applyBorder="1" applyProtection="1">
      <alignment/>
      <protection locked="0"/>
    </xf>
    <xf numFmtId="1" fontId="5" fillId="33" borderId="10" xfId="331" applyNumberFormat="1" applyFont="1" applyFill="1" applyBorder="1" applyProtection="1">
      <alignment/>
      <protection locked="0"/>
    </xf>
    <xf numFmtId="2" fontId="5" fillId="33" borderId="10" xfId="331" applyNumberFormat="1" applyFont="1" applyFill="1" applyBorder="1" applyProtection="1">
      <alignment/>
      <protection locked="0"/>
    </xf>
    <xf numFmtId="3" fontId="5" fillId="33" borderId="10" xfId="331" applyNumberFormat="1" applyFont="1" applyFill="1" applyBorder="1" applyProtection="1">
      <alignment/>
      <protection locked="0"/>
    </xf>
    <xf numFmtId="3" fontId="5" fillId="33" borderId="10" xfId="331" applyNumberFormat="1" applyFont="1" applyFill="1" applyBorder="1" applyAlignment="1" applyProtection="1">
      <alignment horizontal="center"/>
      <protection locked="0"/>
    </xf>
    <xf numFmtId="0" fontId="5" fillId="33" borderId="10" xfId="331" applyFont="1" applyFill="1" applyBorder="1" applyAlignment="1" applyProtection="1">
      <alignment horizontal="center"/>
      <protection locked="0"/>
    </xf>
    <xf numFmtId="1" fontId="5" fillId="33" borderId="10" xfId="331" applyNumberFormat="1" applyFont="1" applyFill="1" applyBorder="1" applyAlignment="1" applyProtection="1">
      <alignment horizontal="center"/>
      <protection locked="0"/>
    </xf>
    <xf numFmtId="2" fontId="5" fillId="33" borderId="10" xfId="331" applyNumberFormat="1" applyFont="1" applyFill="1" applyBorder="1" applyAlignment="1" applyProtection="1">
      <alignment horizontal="center"/>
      <protection locked="0"/>
    </xf>
    <xf numFmtId="14" fontId="5" fillId="33" borderId="10" xfId="331" applyNumberFormat="1" applyFont="1" applyFill="1" applyBorder="1" applyAlignment="1" applyProtection="1">
      <alignment horizont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0" fontId="4" fillId="33" borderId="0" xfId="0" applyFont="1" applyFill="1" applyAlignment="1" applyProtection="1">
      <alignment horizontal="left" vertical="center"/>
      <protection locked="0"/>
    </xf>
    <xf numFmtId="0" fontId="5" fillId="33" borderId="10" xfId="0" applyFont="1" applyFill="1" applyBorder="1" applyAlignment="1" applyProtection="1">
      <alignment horizontal="left"/>
      <protection locked="0"/>
    </xf>
    <xf numFmtId="0" fontId="5" fillId="33"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0" fontId="35" fillId="33" borderId="14" xfId="0" applyFont="1" applyFill="1" applyBorder="1" applyAlignment="1" applyProtection="1">
      <alignment vertical="center"/>
      <protection locked="0"/>
    </xf>
    <xf numFmtId="177" fontId="35" fillId="33" borderId="14" xfId="42" applyNumberFormat="1"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35" fillId="33" borderId="10" xfId="0" applyFont="1" applyFill="1" applyBorder="1" applyAlignment="1" applyProtection="1">
      <alignment vertical="center"/>
      <protection locked="0"/>
    </xf>
    <xf numFmtId="177" fontId="35" fillId="33" borderId="10" xfId="42" applyNumberFormat="1" applyFont="1" applyFill="1" applyBorder="1" applyAlignment="1" applyProtection="1">
      <alignment horizontal="center" vertical="center"/>
      <protection locked="0"/>
    </xf>
    <xf numFmtId="0" fontId="0" fillId="46" borderId="0" xfId="77" applyFill="1">
      <alignment/>
      <protection/>
    </xf>
    <xf numFmtId="0" fontId="5" fillId="46" borderId="0" xfId="0" applyFont="1" applyFill="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19"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7"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1" fillId="0" borderId="0" xfId="0" applyFont="1"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0" applyFont="1" applyFill="1" applyAlignment="1" applyProtection="1">
      <alignment horizontal="center" vertical="center"/>
      <protection/>
    </xf>
    <xf numFmtId="0" fontId="36" fillId="43" borderId="24" xfId="77" applyFont="1" applyFill="1" applyBorder="1" applyAlignment="1" applyProtection="1">
      <alignment horizontal="center" vertical="center"/>
      <protection/>
    </xf>
    <xf numFmtId="0" fontId="37"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6" fillId="43"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9" fillId="43"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14" fillId="43"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9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43" borderId="19" xfId="77" applyFont="1" applyFill="1" applyBorder="1" applyAlignment="1" applyProtection="1">
      <alignment horizontal="center"/>
      <protection/>
    </xf>
    <xf numFmtId="0" fontId="14" fillId="43" borderId="22" xfId="77" applyFont="1" applyFill="1" applyBorder="1" applyAlignment="1" applyProtection="1">
      <alignment horizontal="center"/>
      <protection/>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0" fillId="0" borderId="0" xfId="0" applyAlignment="1">
      <alignment vertical="center"/>
    </xf>
    <xf numFmtId="195" fontId="31" fillId="42" borderId="11" xfId="0" applyNumberFormat="1" applyFont="1" applyFill="1" applyBorder="1" applyAlignment="1" applyProtection="1">
      <alignment horizontal="center"/>
      <protection locked="0"/>
    </xf>
    <xf numFmtId="195" fontId="31" fillId="43" borderId="0" xfId="0" applyNumberFormat="1" applyFont="1" applyFill="1" applyBorder="1" applyAlignment="1">
      <alignment horizontal="center"/>
    </xf>
    <xf numFmtId="0" fontId="31" fillId="43" borderId="19" xfId="0" applyFont="1" applyFill="1" applyBorder="1" applyAlignment="1">
      <alignment horizontal="center"/>
    </xf>
    <xf numFmtId="0" fontId="31" fillId="43" borderId="0" xfId="0" applyFont="1" applyFill="1" applyAlignment="1">
      <alignment wrapText="1"/>
    </xf>
    <xf numFmtId="5" fontId="31" fillId="43" borderId="11" xfId="0" applyNumberFormat="1" applyFont="1" applyFill="1" applyBorder="1" applyAlignment="1">
      <alignment horizontal="center"/>
    </xf>
    <xf numFmtId="0" fontId="76" fillId="43" borderId="28" xfId="0" applyFont="1" applyFill="1" applyBorder="1" applyAlignment="1">
      <alignment horizontal="center" vertical="center"/>
    </xf>
    <xf numFmtId="0" fontId="31" fillId="0" borderId="28" xfId="0" applyFont="1" applyBorder="1" applyAlignment="1">
      <alignment horizontal="center" vertical="center"/>
    </xf>
    <xf numFmtId="0" fontId="76" fillId="43" borderId="0" xfId="0" applyFont="1" applyFill="1" applyAlignment="1">
      <alignment horizontal="center" wrapText="1"/>
    </xf>
    <xf numFmtId="0" fontId="31" fillId="0" borderId="0" xfId="0" applyFont="1" applyAlignment="1">
      <alignment wrapText="1"/>
    </xf>
    <xf numFmtId="0" fontId="76" fillId="43" borderId="0" xfId="0" applyFont="1" applyFill="1" applyAlignment="1">
      <alignment horizontal="center"/>
    </xf>
    <xf numFmtId="0" fontId="31" fillId="0" borderId="0" xfId="0" applyFont="1" applyAlignment="1">
      <alignment horizontal="center" wrapText="1"/>
    </xf>
    <xf numFmtId="0" fontId="76" fillId="43" borderId="0" xfId="0" applyFont="1" applyFill="1" applyAlignment="1">
      <alignment horizontal="center" vertical="center"/>
    </xf>
    <xf numFmtId="0" fontId="76" fillId="0" borderId="0" xfId="0" applyFont="1" applyAlignment="1">
      <alignment horizontal="center" vertical="center"/>
    </xf>
    <xf numFmtId="195" fontId="31" fillId="43" borderId="0" xfId="0" applyNumberFormat="1" applyFont="1" applyFill="1" applyAlignment="1">
      <alignment/>
    </xf>
    <xf numFmtId="195" fontId="31" fillId="43" borderId="0" xfId="0" applyNumberFormat="1" applyFont="1" applyFill="1" applyAlignment="1">
      <alignment horizontal="center"/>
    </xf>
    <xf numFmtId="0" fontId="31" fillId="43" borderId="0" xfId="0" applyFont="1" applyFill="1" applyBorder="1" applyAlignment="1">
      <alignment/>
    </xf>
    <xf numFmtId="0" fontId="31" fillId="0" borderId="0" xfId="0" applyFont="1" applyBorder="1" applyAlignment="1">
      <alignment/>
    </xf>
    <xf numFmtId="0" fontId="31" fillId="43" borderId="33" xfId="0" applyFont="1" applyFill="1" applyBorder="1" applyAlignment="1">
      <alignment/>
    </xf>
    <xf numFmtId="0" fontId="31" fillId="43" borderId="34" xfId="0" applyFont="1" applyFill="1" applyBorder="1" applyAlignment="1">
      <alignment/>
    </xf>
    <xf numFmtId="0" fontId="76" fillId="43" borderId="0" xfId="0" applyFont="1" applyFill="1" applyBorder="1" applyAlignment="1">
      <alignment horizontal="center" wrapText="1"/>
    </xf>
    <xf numFmtId="0" fontId="76" fillId="0" borderId="0" xfId="0" applyFont="1" applyAlignment="1">
      <alignment horizontal="center" wrapText="1"/>
    </xf>
    <xf numFmtId="0" fontId="31" fillId="43" borderId="0" xfId="0" applyFont="1" applyFill="1" applyBorder="1" applyAlignment="1">
      <alignment wrapText="1"/>
    </xf>
    <xf numFmtId="0" fontId="31" fillId="43" borderId="0" xfId="0" applyFont="1" applyFill="1" applyBorder="1" applyAlignment="1">
      <alignment horizontal="center"/>
    </xf>
    <xf numFmtId="0" fontId="31" fillId="43" borderId="35" xfId="0" applyFont="1" applyFill="1" applyBorder="1" applyAlignment="1">
      <alignment vertical="top" wrapText="1"/>
    </xf>
    <xf numFmtId="0" fontId="31" fillId="0" borderId="0" xfId="0" applyFont="1" applyAlignment="1">
      <alignment vertical="top" wrapText="1"/>
    </xf>
    <xf numFmtId="0" fontId="31" fillId="0" borderId="31" xfId="0" applyFont="1" applyBorder="1" applyAlignment="1">
      <alignment vertical="top" wrapText="1"/>
    </xf>
    <xf numFmtId="196" fontId="31" fillId="43" borderId="0" xfId="0" applyNumberFormat="1" applyFont="1" applyFill="1" applyBorder="1" applyAlignment="1">
      <alignment horizontal="center"/>
    </xf>
    <xf numFmtId="0" fontId="31" fillId="0" borderId="31" xfId="0" applyFont="1" applyBorder="1" applyAlignment="1">
      <alignment horizontal="center"/>
    </xf>
    <xf numFmtId="178" fontId="31" fillId="42" borderId="11" xfId="0" applyNumberFormat="1" applyFont="1" applyFill="1" applyBorder="1" applyAlignment="1" applyProtection="1">
      <alignment horizontal="center"/>
      <protection locked="0"/>
    </xf>
    <xf numFmtId="195" fontId="31" fillId="0" borderId="31" xfId="0" applyNumberFormat="1"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13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leggett\Local%20Settings\Temporary%20Internet%20Files\Content.Outlook\T2JG1D4H\2012%20WIP%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general"/>
      <sheetName val="GenDetail"/>
      <sheetName val="DebtSvs-levy page 8"/>
      <sheetName val="Sp Hiway"/>
      <sheetName val="no levy page15"/>
      <sheetName val="no levy page16"/>
      <sheetName val="no levy page17"/>
      <sheetName val="no levy page18"/>
      <sheetName val="no levy page19"/>
      <sheetName val="NonBudFunds"/>
      <sheetName val="summ"/>
      <sheetName val="nhood"/>
      <sheetName val="ordinance"/>
      <sheetName val="Tab A"/>
      <sheetName val="Tab B"/>
      <sheetName val="Tab C"/>
      <sheetName val="Tab D"/>
      <sheetName val="Tab E"/>
      <sheetName val="Mill Rate Computation"/>
      <sheetName val="Helpful Links"/>
      <sheetName val="legend"/>
    </sheetNames>
    <sheetDataSet>
      <sheetData sheetId="1">
        <row r="2">
          <cell r="D2" t="str">
            <v>City of Kechi</v>
          </cell>
        </row>
        <row r="5">
          <cell r="C5">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6">
      <selection activeCell="C68" sqref="C68"/>
    </sheetView>
  </sheetViews>
  <sheetFormatPr defaultColWidth="8.796875" defaultRowHeight="15"/>
  <cols>
    <col min="1" max="1" width="75.796875" style="30" customWidth="1"/>
    <col min="2" max="16384" width="8.8984375" style="30" customWidth="1"/>
  </cols>
  <sheetData>
    <row r="1" ht="15.75">
      <c r="A1" s="29" t="s">
        <v>244</v>
      </c>
    </row>
    <row r="3" ht="39.75" customHeight="1">
      <c r="A3" s="31" t="s">
        <v>303</v>
      </c>
    </row>
    <row r="4" ht="15.75">
      <c r="A4" s="32"/>
    </row>
    <row r="5" ht="49.5" customHeight="1">
      <c r="A5" s="33" t="s">
        <v>9</v>
      </c>
    </row>
    <row r="6" ht="15.75">
      <c r="A6" s="33"/>
    </row>
    <row r="7" ht="66.75" customHeight="1">
      <c r="A7" s="33" t="s">
        <v>762</v>
      </c>
    </row>
    <row r="8" ht="15.75">
      <c r="A8" s="33"/>
    </row>
    <row r="9" ht="32.25" customHeight="1">
      <c r="A9" s="33" t="s">
        <v>304</v>
      </c>
    </row>
    <row r="11" ht="51" customHeight="1">
      <c r="A11" s="33" t="s">
        <v>65</v>
      </c>
    </row>
    <row r="13" ht="15.75">
      <c r="A13" s="29" t="s">
        <v>20</v>
      </c>
    </row>
    <row r="14" ht="15.75">
      <c r="A14" s="29"/>
    </row>
    <row r="15" ht="15.75">
      <c r="A15" s="32" t="s">
        <v>21</v>
      </c>
    </row>
    <row r="17" ht="37.5" customHeight="1">
      <c r="A17" s="34" t="s">
        <v>328</v>
      </c>
    </row>
    <row r="18" ht="9" customHeight="1">
      <c r="A18" s="34"/>
    </row>
    <row r="20" ht="15.75">
      <c r="A20" s="29" t="s">
        <v>71</v>
      </c>
    </row>
    <row r="22" ht="36" customHeight="1">
      <c r="A22" s="33" t="s">
        <v>305</v>
      </c>
    </row>
    <row r="23" ht="15.75">
      <c r="A23" s="33"/>
    </row>
    <row r="24" ht="15.75">
      <c r="A24" s="35" t="s">
        <v>306</v>
      </c>
    </row>
    <row r="25" ht="12" customHeight="1">
      <c r="A25" s="33"/>
    </row>
    <row r="26" ht="15.75">
      <c r="A26" s="36" t="s">
        <v>232</v>
      </c>
    </row>
    <row r="27" ht="15.75">
      <c r="A27" s="37"/>
    </row>
    <row r="28" ht="84.75" customHeight="1">
      <c r="A28" s="38" t="s">
        <v>2</v>
      </c>
    </row>
    <row r="29" ht="12.75" customHeight="1">
      <c r="A29" s="39"/>
    </row>
    <row r="30" ht="15.75">
      <c r="A30" s="40" t="s">
        <v>307</v>
      </c>
    </row>
    <row r="31" ht="15.75">
      <c r="A31" s="39"/>
    </row>
    <row r="32" ht="15.75">
      <c r="A32" s="41" t="s">
        <v>19</v>
      </c>
    </row>
    <row r="33" ht="15.75">
      <c r="A33" s="39"/>
    </row>
    <row r="34" ht="15.75">
      <c r="A34" s="33" t="s">
        <v>167</v>
      </c>
    </row>
    <row r="36" ht="15.75">
      <c r="A36" s="29" t="s">
        <v>168</v>
      </c>
    </row>
    <row r="38" ht="66.75" customHeight="1">
      <c r="A38" s="33" t="s">
        <v>718</v>
      </c>
    </row>
    <row r="39" ht="35.25" customHeight="1">
      <c r="A39" s="33" t="s">
        <v>246</v>
      </c>
    </row>
    <row r="40" ht="53.25" customHeight="1">
      <c r="A40" s="42" t="s">
        <v>308</v>
      </c>
    </row>
    <row r="42" ht="84" customHeight="1">
      <c r="A42" s="33" t="s">
        <v>719</v>
      </c>
    </row>
    <row r="43" ht="53.25" customHeight="1">
      <c r="A43" s="33" t="s">
        <v>309</v>
      </c>
    </row>
    <row r="44" ht="102" customHeight="1">
      <c r="A44" s="33" t="s">
        <v>66</v>
      </c>
    </row>
    <row r="45" ht="15.75" customHeight="1">
      <c r="A45" s="33"/>
    </row>
    <row r="46" ht="73.5" customHeight="1">
      <c r="A46" s="340" t="s">
        <v>720</v>
      </c>
    </row>
    <row r="47" ht="69.75" customHeight="1">
      <c r="A47" s="341" t="s">
        <v>594</v>
      </c>
    </row>
    <row r="48" ht="15.75" customHeight="1">
      <c r="A48" s="33"/>
    </row>
    <row r="49" ht="69.75" customHeight="1">
      <c r="A49" s="33" t="s">
        <v>595</v>
      </c>
    </row>
    <row r="50" ht="37.5" customHeight="1">
      <c r="A50" s="33" t="s">
        <v>596</v>
      </c>
    </row>
    <row r="51" ht="69" customHeight="1">
      <c r="A51" s="33" t="s">
        <v>597</v>
      </c>
    </row>
    <row r="53" ht="84.75" customHeight="1">
      <c r="A53" s="33" t="s">
        <v>598</v>
      </c>
    </row>
    <row r="54" ht="116.25" customHeight="1">
      <c r="A54" s="33" t="s">
        <v>599</v>
      </c>
    </row>
    <row r="55" ht="38.25" customHeight="1">
      <c r="A55" s="33" t="s">
        <v>600</v>
      </c>
    </row>
    <row r="56" ht="15.75">
      <c r="A56" s="33"/>
    </row>
    <row r="57" ht="68.25" customHeight="1">
      <c r="A57" s="33" t="s">
        <v>601</v>
      </c>
    </row>
    <row r="58" ht="15.75">
      <c r="A58" s="33"/>
    </row>
    <row r="59" ht="66.75" customHeight="1">
      <c r="A59" s="33" t="s">
        <v>602</v>
      </c>
    </row>
    <row r="60" ht="37.5" customHeight="1">
      <c r="A60" s="33" t="s">
        <v>616</v>
      </c>
    </row>
    <row r="61" ht="91.5" customHeight="1">
      <c r="A61" s="33" t="s">
        <v>617</v>
      </c>
    </row>
    <row r="62" ht="47.25" customHeight="1">
      <c r="A62" s="314" t="s">
        <v>618</v>
      </c>
    </row>
    <row r="64" s="33" customFormat="1" ht="66.75" customHeight="1">
      <c r="A64" s="33" t="s">
        <v>603</v>
      </c>
    </row>
    <row r="66" ht="67.5" customHeight="1">
      <c r="A66" s="33" t="s">
        <v>604</v>
      </c>
    </row>
    <row r="68" ht="95.25" customHeight="1">
      <c r="A68" s="33" t="s">
        <v>763</v>
      </c>
    </row>
    <row r="69" ht="95.25" customHeight="1">
      <c r="A69" s="469" t="s">
        <v>721</v>
      </c>
    </row>
    <row r="70" ht="75" customHeight="1">
      <c r="A70" s="469" t="s">
        <v>722</v>
      </c>
    </row>
    <row r="71" ht="137.25" customHeight="1">
      <c r="A71" s="33" t="s">
        <v>723</v>
      </c>
    </row>
    <row r="72" ht="114.75" customHeight="1">
      <c r="A72" s="33" t="s">
        <v>724</v>
      </c>
    </row>
    <row r="73" ht="135" customHeight="1">
      <c r="A73" s="33" t="s">
        <v>725</v>
      </c>
    </row>
    <row r="74" ht="141.75" customHeight="1">
      <c r="A74" s="33" t="s">
        <v>726</v>
      </c>
    </row>
    <row r="75" ht="117" customHeight="1">
      <c r="A75" s="33" t="s">
        <v>727</v>
      </c>
    </row>
    <row r="76" ht="45" customHeight="1">
      <c r="A76" s="33" t="s">
        <v>728</v>
      </c>
    </row>
    <row r="77" ht="86.25" customHeight="1">
      <c r="A77" s="33" t="s">
        <v>729</v>
      </c>
    </row>
    <row r="78" ht="129.75" customHeight="1">
      <c r="A78" s="33" t="s">
        <v>730</v>
      </c>
    </row>
    <row r="79" ht="110.25" customHeight="1">
      <c r="A79" s="470" t="s">
        <v>731</v>
      </c>
    </row>
    <row r="80" ht="117" customHeight="1">
      <c r="A80" s="471" t="s">
        <v>732</v>
      </c>
    </row>
    <row r="81" ht="72" customHeight="1">
      <c r="A81" s="339" t="s">
        <v>733</v>
      </c>
    </row>
    <row r="82" ht="20.25" customHeight="1"/>
    <row r="83" ht="125.25" customHeight="1">
      <c r="A83" s="33" t="s">
        <v>605</v>
      </c>
    </row>
    <row r="84" ht="134.25" customHeight="1">
      <c r="A84" s="33" t="s">
        <v>606</v>
      </c>
    </row>
    <row r="85" ht="59.25" customHeight="1">
      <c r="A85" s="33" t="s">
        <v>607</v>
      </c>
    </row>
    <row r="86" ht="30.75" customHeight="1">
      <c r="A86" s="33" t="s">
        <v>608</v>
      </c>
    </row>
    <row r="87" ht="15" customHeight="1"/>
    <row r="88" ht="36.75" customHeight="1">
      <c r="A88" s="33" t="s">
        <v>609</v>
      </c>
    </row>
    <row r="89" ht="34.5" customHeight="1">
      <c r="A89" s="342" t="s">
        <v>611</v>
      </c>
    </row>
    <row r="90" ht="99.75" customHeight="1">
      <c r="A90" s="469" t="s">
        <v>734</v>
      </c>
    </row>
    <row r="91" ht="34.5" customHeight="1">
      <c r="A91" s="469" t="s">
        <v>735</v>
      </c>
    </row>
    <row r="92" ht="85.5" customHeight="1">
      <c r="A92" s="469" t="s">
        <v>736</v>
      </c>
    </row>
    <row r="93" ht="91.5" customHeight="1">
      <c r="A93" s="469" t="s">
        <v>737</v>
      </c>
    </row>
    <row r="94" ht="58.5" customHeight="1">
      <c r="A94" s="342" t="s">
        <v>738</v>
      </c>
    </row>
    <row r="95" ht="66" customHeight="1">
      <c r="A95" s="342" t="s">
        <v>739</v>
      </c>
    </row>
    <row r="96" ht="16.5" customHeight="1">
      <c r="A96" s="33"/>
    </row>
    <row r="97" ht="72.75" customHeight="1">
      <c r="A97" s="33" t="s">
        <v>610</v>
      </c>
    </row>
    <row r="99" ht="69" customHeight="1">
      <c r="A99" s="469" t="s">
        <v>740</v>
      </c>
    </row>
    <row r="100" ht="110.25" customHeight="1">
      <c r="A100" s="469" t="s">
        <v>741</v>
      </c>
    </row>
    <row r="101" ht="132" customHeight="1">
      <c r="A101" s="469" t="s">
        <v>742</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6">
      <selection activeCell="A30" sqref="A30:L30"/>
    </sheetView>
  </sheetViews>
  <sheetFormatPr defaultColWidth="8.796875" defaultRowHeight="15"/>
  <cols>
    <col min="1" max="1" width="20.796875" style="43" customWidth="1"/>
    <col min="2" max="2" width="9.296875" style="43" customWidth="1"/>
    <col min="3" max="3" width="8.69921875" style="43" customWidth="1"/>
    <col min="4" max="4" width="8.796875" style="43" customWidth="1"/>
    <col min="5" max="5" width="12.796875" style="43" customWidth="1"/>
    <col min="6" max="6" width="14.296875" style="43" customWidth="1"/>
    <col min="7" max="12" width="9.796875" style="43" customWidth="1"/>
    <col min="13" max="16384" width="8.8984375" style="43" customWidth="1"/>
  </cols>
  <sheetData>
    <row r="1" spans="1:12" ht="15.75">
      <c r="A1" s="198" t="str">
        <f>'[1]inputPrYr'!$D$2</f>
        <v>City of Kechi</v>
      </c>
      <c r="B1" s="45"/>
      <c r="C1" s="45"/>
      <c r="D1" s="45"/>
      <c r="E1" s="45"/>
      <c r="F1" s="45"/>
      <c r="G1" s="45"/>
      <c r="H1" s="45"/>
      <c r="I1" s="45"/>
      <c r="J1" s="45"/>
      <c r="K1" s="45"/>
      <c r="L1" s="219">
        <f>'[1]inputPrYr'!$C$5</f>
        <v>2012</v>
      </c>
    </row>
    <row r="2" spans="1:12" ht="15.75">
      <c r="A2" s="198"/>
      <c r="B2" s="45"/>
      <c r="C2" s="45"/>
      <c r="D2" s="45"/>
      <c r="E2" s="45"/>
      <c r="F2" s="45"/>
      <c r="G2" s="45"/>
      <c r="H2" s="45"/>
      <c r="I2" s="45"/>
      <c r="J2" s="45"/>
      <c r="K2" s="45"/>
      <c r="L2" s="169"/>
    </row>
    <row r="3" spans="1:12" ht="15.75">
      <c r="A3" s="220" t="s">
        <v>176</v>
      </c>
      <c r="B3" s="54"/>
      <c r="C3" s="54"/>
      <c r="D3" s="54"/>
      <c r="E3" s="54"/>
      <c r="F3" s="54"/>
      <c r="G3" s="54"/>
      <c r="H3" s="54"/>
      <c r="I3" s="54"/>
      <c r="J3" s="54"/>
      <c r="K3" s="54"/>
      <c r="L3" s="54"/>
    </row>
    <row r="4" spans="1:12" ht="10.5" customHeight="1">
      <c r="A4" s="45"/>
      <c r="B4" s="221"/>
      <c r="C4" s="221"/>
      <c r="D4" s="221"/>
      <c r="E4" s="221"/>
      <c r="F4" s="221"/>
      <c r="G4" s="221"/>
      <c r="H4" s="221"/>
      <c r="I4" s="221"/>
      <c r="J4" s="221"/>
      <c r="K4" s="221"/>
      <c r="L4" s="221"/>
    </row>
    <row r="5" spans="1:12" ht="18" customHeight="1">
      <c r="A5" s="45"/>
      <c r="B5" s="200" t="s">
        <v>142</v>
      </c>
      <c r="C5" s="200" t="s">
        <v>142</v>
      </c>
      <c r="D5" s="200" t="s">
        <v>157</v>
      </c>
      <c r="E5" s="200"/>
      <c r="F5" s="200" t="s">
        <v>269</v>
      </c>
      <c r="G5" s="45"/>
      <c r="H5" s="45"/>
      <c r="I5" s="222" t="s">
        <v>143</v>
      </c>
      <c r="J5" s="223"/>
      <c r="K5" s="222" t="s">
        <v>143</v>
      </c>
      <c r="L5" s="223"/>
    </row>
    <row r="6" spans="1:12" ht="15.75">
      <c r="A6" s="45"/>
      <c r="B6" s="224" t="s">
        <v>144</v>
      </c>
      <c r="C6" s="224" t="s">
        <v>270</v>
      </c>
      <c r="D6" s="224" t="s">
        <v>145</v>
      </c>
      <c r="E6" s="224" t="s">
        <v>97</v>
      </c>
      <c r="F6" s="224" t="s">
        <v>271</v>
      </c>
      <c r="G6" s="671" t="s">
        <v>146</v>
      </c>
      <c r="H6" s="672"/>
      <c r="I6" s="673">
        <f>L1-1</f>
        <v>2011</v>
      </c>
      <c r="J6" s="674"/>
      <c r="K6" s="673">
        <f>L1</f>
        <v>2012</v>
      </c>
      <c r="L6" s="674"/>
    </row>
    <row r="7" spans="1:12" ht="15.75">
      <c r="A7" s="226" t="s">
        <v>147</v>
      </c>
      <c r="B7" s="202" t="s">
        <v>148</v>
      </c>
      <c r="C7" s="202" t="s">
        <v>272</v>
      </c>
      <c r="D7" s="202" t="s">
        <v>122</v>
      </c>
      <c r="E7" s="202" t="s">
        <v>149</v>
      </c>
      <c r="F7" s="225" t="str">
        <f>CONCATENATE("Jan 1,",L1-1,"")</f>
        <v>Jan 1,2011</v>
      </c>
      <c r="G7" s="156" t="s">
        <v>157</v>
      </c>
      <c r="H7" s="156" t="s">
        <v>159</v>
      </c>
      <c r="I7" s="156" t="s">
        <v>157</v>
      </c>
      <c r="J7" s="156" t="s">
        <v>159</v>
      </c>
      <c r="K7" s="156" t="s">
        <v>157</v>
      </c>
      <c r="L7" s="156" t="s">
        <v>159</v>
      </c>
    </row>
    <row r="8" spans="1:12" ht="15.75">
      <c r="A8" s="226" t="s">
        <v>150</v>
      </c>
      <c r="B8" s="63"/>
      <c r="C8" s="63"/>
      <c r="D8" s="227"/>
      <c r="E8" s="228"/>
      <c r="F8" s="228"/>
      <c r="G8" s="63"/>
      <c r="H8" s="63"/>
      <c r="I8" s="228"/>
      <c r="J8" s="228"/>
      <c r="K8" s="228"/>
      <c r="L8" s="228"/>
    </row>
    <row r="9" spans="1:12" ht="15.75">
      <c r="A9" s="599" t="s">
        <v>827</v>
      </c>
      <c r="B9" s="600">
        <v>36819</v>
      </c>
      <c r="C9" s="601"/>
      <c r="D9" s="602">
        <v>5.39</v>
      </c>
      <c r="E9" s="603">
        <v>425000</v>
      </c>
      <c r="F9" s="603">
        <v>220000</v>
      </c>
      <c r="G9" s="604">
        <v>36251</v>
      </c>
      <c r="H9" s="604"/>
      <c r="I9" s="605">
        <v>5921</v>
      </c>
      <c r="J9" s="606"/>
      <c r="K9" s="605">
        <v>5133</v>
      </c>
      <c r="L9" s="607"/>
    </row>
    <row r="10" spans="1:12" ht="15.75">
      <c r="A10" s="599"/>
      <c r="B10" s="599"/>
      <c r="C10" s="601"/>
      <c r="D10" s="602"/>
      <c r="E10" s="603"/>
      <c r="F10" s="608"/>
      <c r="G10" s="604">
        <v>36434</v>
      </c>
      <c r="H10" s="604">
        <v>36434</v>
      </c>
      <c r="I10" s="603">
        <v>5921</v>
      </c>
      <c r="J10" s="603">
        <v>30000</v>
      </c>
      <c r="K10" s="603">
        <v>5133</v>
      </c>
      <c r="L10" s="603">
        <v>35000</v>
      </c>
    </row>
    <row r="11" spans="1:12" ht="15.75">
      <c r="A11" s="609"/>
      <c r="B11" s="600"/>
      <c r="C11" s="610"/>
      <c r="D11" s="599"/>
      <c r="E11" s="599"/>
      <c r="F11" s="611"/>
      <c r="G11" s="612"/>
      <c r="H11" s="612"/>
      <c r="I11" s="611"/>
      <c r="J11" s="611"/>
      <c r="K11" s="611"/>
      <c r="L11" s="611"/>
    </row>
    <row r="12" spans="1:12" ht="15.75">
      <c r="A12" s="599" t="s">
        <v>828</v>
      </c>
      <c r="B12" s="600">
        <v>39041</v>
      </c>
      <c r="C12" s="601"/>
      <c r="D12" s="602">
        <v>4.25</v>
      </c>
      <c r="E12" s="603"/>
      <c r="F12" s="613"/>
      <c r="G12" s="604">
        <v>39207</v>
      </c>
      <c r="H12" s="604"/>
      <c r="I12" s="613">
        <v>18648</v>
      </c>
      <c r="J12" s="613"/>
      <c r="K12" s="613">
        <v>17223.75</v>
      </c>
      <c r="L12" s="613"/>
    </row>
    <row r="13" spans="1:12" ht="15.75">
      <c r="A13" s="599" t="s">
        <v>829</v>
      </c>
      <c r="B13" s="601"/>
      <c r="C13" s="601"/>
      <c r="D13" s="601"/>
      <c r="E13" s="603">
        <v>1011800</v>
      </c>
      <c r="F13" s="603">
        <v>890000</v>
      </c>
      <c r="G13" s="604">
        <v>39397</v>
      </c>
      <c r="H13" s="604">
        <v>39397</v>
      </c>
      <c r="I13" s="613">
        <v>18648</v>
      </c>
      <c r="J13" s="613">
        <v>60000</v>
      </c>
      <c r="K13" s="613">
        <v>17224</v>
      </c>
      <c r="L13" s="613">
        <v>60000</v>
      </c>
    </row>
    <row r="14" spans="1:12" ht="15.75">
      <c r="A14" s="609"/>
      <c r="B14" s="600"/>
      <c r="C14" s="610"/>
      <c r="D14" s="599"/>
      <c r="E14" s="599"/>
      <c r="F14" s="611"/>
      <c r="G14" s="612"/>
      <c r="H14" s="612"/>
      <c r="I14" s="611"/>
      <c r="J14" s="611"/>
      <c r="K14" s="611"/>
      <c r="L14" s="611"/>
    </row>
    <row r="15" spans="1:12" ht="15.75">
      <c r="A15" s="599" t="s">
        <v>830</v>
      </c>
      <c r="B15" s="600">
        <v>39205</v>
      </c>
      <c r="C15" s="601"/>
      <c r="D15" s="602">
        <v>4.82</v>
      </c>
      <c r="E15" s="603"/>
      <c r="F15" s="603"/>
      <c r="G15" s="604">
        <v>39207</v>
      </c>
      <c r="H15" s="604"/>
      <c r="I15" s="613">
        <v>30115</v>
      </c>
      <c r="J15" s="613"/>
      <c r="K15" s="613">
        <v>28360</v>
      </c>
      <c r="L15" s="613"/>
    </row>
    <row r="16" spans="1:12" ht="15.75">
      <c r="A16" s="599"/>
      <c r="B16" s="600"/>
      <c r="C16" s="601"/>
      <c r="D16" s="602"/>
      <c r="E16" s="603">
        <v>1496077</v>
      </c>
      <c r="F16" s="603">
        <v>1350000</v>
      </c>
      <c r="G16" s="604">
        <v>39397</v>
      </c>
      <c r="H16" s="604">
        <v>39397</v>
      </c>
      <c r="I16" s="613">
        <v>30115</v>
      </c>
      <c r="J16" s="613">
        <v>60000</v>
      </c>
      <c r="K16" s="613">
        <v>28360</v>
      </c>
      <c r="L16" s="613">
        <v>65000</v>
      </c>
    </row>
    <row r="17" spans="1:12" ht="15.75">
      <c r="A17" s="609"/>
      <c r="B17" s="600"/>
      <c r="C17" s="610"/>
      <c r="D17" s="599"/>
      <c r="E17" s="599"/>
      <c r="F17" s="611"/>
      <c r="G17" s="612"/>
      <c r="H17" s="612"/>
      <c r="I17" s="611"/>
      <c r="J17" s="611"/>
      <c r="K17" s="611"/>
      <c r="L17" s="611"/>
    </row>
    <row r="18" spans="1:12" ht="15.75">
      <c r="A18" s="599" t="s">
        <v>831</v>
      </c>
      <c r="B18" s="600">
        <v>39708</v>
      </c>
      <c r="C18" s="601"/>
      <c r="D18" s="602"/>
      <c r="E18" s="603">
        <v>575000</v>
      </c>
      <c r="F18" s="613">
        <v>575000</v>
      </c>
      <c r="G18" s="604">
        <v>40252</v>
      </c>
      <c r="H18" s="604"/>
      <c r="I18" s="613">
        <v>11999</v>
      </c>
      <c r="J18" s="613"/>
      <c r="K18" s="613">
        <v>11699</v>
      </c>
      <c r="L18" s="613"/>
    </row>
    <row r="19" spans="1:12" ht="15.75">
      <c r="A19" s="599"/>
      <c r="B19" s="600"/>
      <c r="C19" s="601"/>
      <c r="D19" s="602"/>
      <c r="E19" s="603"/>
      <c r="F19" s="613"/>
      <c r="G19" s="604">
        <v>40436</v>
      </c>
      <c r="H19" s="604">
        <v>40436</v>
      </c>
      <c r="I19" s="613">
        <v>11999</v>
      </c>
      <c r="J19" s="613">
        <v>20000</v>
      </c>
      <c r="K19" s="613">
        <v>11699</v>
      </c>
      <c r="L19" s="613">
        <v>20000</v>
      </c>
    </row>
    <row r="20" spans="1:12" ht="15.75">
      <c r="A20" s="609"/>
      <c r="B20" s="600"/>
      <c r="C20" s="610"/>
      <c r="D20" s="599"/>
      <c r="E20" s="599"/>
      <c r="F20" s="611"/>
      <c r="G20" s="612"/>
      <c r="H20" s="612"/>
      <c r="I20" s="611"/>
      <c r="J20" s="611"/>
      <c r="K20" s="611"/>
      <c r="L20" s="611"/>
    </row>
    <row r="21" spans="1:12" ht="15.75">
      <c r="A21" s="67"/>
      <c r="B21" s="346"/>
      <c r="C21" s="346"/>
      <c r="D21" s="229"/>
      <c r="E21" s="230"/>
      <c r="F21" s="231"/>
      <c r="G21" s="232"/>
      <c r="H21" s="232"/>
      <c r="I21" s="231"/>
      <c r="J21" s="231"/>
      <c r="K21" s="231"/>
      <c r="L21" s="231"/>
    </row>
    <row r="22" spans="1:12" ht="15.75">
      <c r="A22" s="599" t="s">
        <v>832</v>
      </c>
      <c r="B22" s="600">
        <v>39486</v>
      </c>
      <c r="C22" s="601"/>
      <c r="D22" s="602"/>
      <c r="E22" s="603">
        <v>1405000</v>
      </c>
      <c r="F22" s="613">
        <v>1340000</v>
      </c>
      <c r="G22" s="604">
        <v>36586</v>
      </c>
      <c r="H22" s="604"/>
      <c r="I22" s="613">
        <v>27450</v>
      </c>
      <c r="J22" s="613"/>
      <c r="K22" s="613">
        <v>26150</v>
      </c>
      <c r="L22" s="613"/>
    </row>
    <row r="23" spans="1:12" ht="15.75">
      <c r="A23" s="599"/>
      <c r="B23" s="600"/>
      <c r="C23" s="601"/>
      <c r="D23" s="602"/>
      <c r="E23" s="603"/>
      <c r="F23" s="613"/>
      <c r="G23" s="604">
        <v>36404</v>
      </c>
      <c r="H23" s="604">
        <v>36404</v>
      </c>
      <c r="I23" s="613">
        <v>27450</v>
      </c>
      <c r="J23" s="613">
        <v>50000</v>
      </c>
      <c r="K23" s="613">
        <v>26150</v>
      </c>
      <c r="L23" s="613">
        <v>55000</v>
      </c>
    </row>
    <row r="24" spans="1:12" ht="15.75">
      <c r="A24" s="67"/>
      <c r="B24" s="346"/>
      <c r="C24" s="346"/>
      <c r="D24" s="229"/>
      <c r="E24" s="230"/>
      <c r="F24" s="231"/>
      <c r="G24" s="232"/>
      <c r="H24" s="232"/>
      <c r="I24" s="231"/>
      <c r="J24" s="231"/>
      <c r="K24" s="231"/>
      <c r="L24" s="231"/>
    </row>
    <row r="25" spans="1:12" ht="15.75">
      <c r="A25" s="599" t="s">
        <v>833</v>
      </c>
      <c r="B25" s="600">
        <v>40421</v>
      </c>
      <c r="C25" s="601"/>
      <c r="D25" s="602"/>
      <c r="E25" s="603">
        <v>1540000</v>
      </c>
      <c r="F25" s="603">
        <v>1540000</v>
      </c>
      <c r="G25" s="604">
        <v>36586</v>
      </c>
      <c r="H25" s="604"/>
      <c r="I25" s="613">
        <v>17402.38</v>
      </c>
      <c r="J25" s="613"/>
      <c r="K25" s="613">
        <v>15712</v>
      </c>
      <c r="L25" s="613"/>
    </row>
    <row r="26" spans="1:12" ht="15.75">
      <c r="A26" s="599"/>
      <c r="B26" s="600"/>
      <c r="C26" s="601"/>
      <c r="D26" s="602"/>
      <c r="E26" s="603"/>
      <c r="F26" s="613"/>
      <c r="G26" s="604">
        <v>36404</v>
      </c>
      <c r="H26" s="604">
        <v>36404</v>
      </c>
      <c r="I26" s="613">
        <v>17306</v>
      </c>
      <c r="J26" s="613">
        <v>255000</v>
      </c>
      <c r="K26" s="613">
        <v>15712</v>
      </c>
      <c r="L26" s="613">
        <v>260000</v>
      </c>
    </row>
    <row r="27" spans="1:12" ht="15.75">
      <c r="A27" s="233" t="s">
        <v>151</v>
      </c>
      <c r="B27" s="234"/>
      <c r="C27" s="234"/>
      <c r="D27" s="235"/>
      <c r="E27" s="236">
        <f>SUM(E9:E26)</f>
        <v>6452877</v>
      </c>
      <c r="F27" s="237">
        <f>SUM(F9:F25)</f>
        <v>5915000</v>
      </c>
      <c r="G27" s="238"/>
      <c r="H27" s="238"/>
      <c r="I27" s="237">
        <f>SUM(I9:I26)</f>
        <v>222974.38</v>
      </c>
      <c r="J27" s="237">
        <f>SUM(J9:J26)</f>
        <v>475000</v>
      </c>
      <c r="K27" s="237">
        <f>SUM(K9:K26)</f>
        <v>208555.75</v>
      </c>
      <c r="L27" s="237">
        <f>SUM(L9:L26)</f>
        <v>495000</v>
      </c>
    </row>
    <row r="28" spans="1:12" ht="15.75">
      <c r="A28" s="226" t="s">
        <v>152</v>
      </c>
      <c r="B28" s="239"/>
      <c r="C28" s="239"/>
      <c r="D28" s="240"/>
      <c r="E28" s="241"/>
      <c r="F28" s="241"/>
      <c r="G28" s="242"/>
      <c r="H28" s="242"/>
      <c r="I28" s="241"/>
      <c r="J28" s="241"/>
      <c r="K28" s="241"/>
      <c r="L28" s="241"/>
    </row>
    <row r="29" spans="1:12" ht="15.75">
      <c r="A29" s="67"/>
      <c r="B29" s="346"/>
      <c r="C29" s="346"/>
      <c r="D29" s="229"/>
      <c r="E29" s="230"/>
      <c r="F29" s="231"/>
      <c r="G29" s="232"/>
      <c r="H29" s="232"/>
      <c r="I29" s="231"/>
      <c r="J29" s="231"/>
      <c r="K29" s="231"/>
      <c r="L29" s="231"/>
    </row>
    <row r="30" spans="1:12" ht="15.75">
      <c r="A30" s="233" t="s">
        <v>153</v>
      </c>
      <c r="B30" s="234"/>
      <c r="C30" s="234"/>
      <c r="D30" s="243"/>
      <c r="E30" s="236"/>
      <c r="F30" s="244">
        <f>F29:F30</f>
        <v>0</v>
      </c>
      <c r="G30" s="238"/>
      <c r="H30" s="238"/>
      <c r="I30" s="244">
        <f>SUM(I29:I31)</f>
        <v>0</v>
      </c>
      <c r="J30" s="244">
        <f>SUM(J29:J31)</f>
        <v>0</v>
      </c>
      <c r="K30" s="237">
        <f>SUM(K29:K31)</f>
        <v>0</v>
      </c>
      <c r="L30" s="244">
        <f>SUM(L29:L31)</f>
        <v>0</v>
      </c>
    </row>
    <row r="31" spans="1:12" ht="15.75">
      <c r="A31" s="226" t="s">
        <v>154</v>
      </c>
      <c r="B31" s="239"/>
      <c r="C31" s="239"/>
      <c r="D31" s="240"/>
      <c r="E31" s="241"/>
      <c r="F31" s="245"/>
      <c r="G31" s="242"/>
      <c r="H31" s="242"/>
      <c r="I31" s="241"/>
      <c r="J31" s="241"/>
      <c r="K31" s="241"/>
      <c r="L31" s="241"/>
    </row>
    <row r="32" spans="1:12" ht="15.75">
      <c r="A32" s="614" t="s">
        <v>834</v>
      </c>
      <c r="B32" s="599"/>
      <c r="C32" s="610"/>
      <c r="D32" s="599"/>
      <c r="E32" s="599"/>
      <c r="F32" s="611"/>
      <c r="G32" s="612"/>
      <c r="H32" s="612"/>
      <c r="I32" s="611"/>
      <c r="J32" s="611"/>
      <c r="K32" s="611"/>
      <c r="L32" s="611"/>
    </row>
    <row r="33" spans="1:12" ht="15.75">
      <c r="A33" s="609"/>
      <c r="B33" s="600"/>
      <c r="C33" s="610"/>
      <c r="D33" s="599"/>
      <c r="E33" s="599"/>
      <c r="F33" s="611"/>
      <c r="G33" s="612"/>
      <c r="H33" s="612"/>
      <c r="I33" s="611"/>
      <c r="J33" s="611"/>
      <c r="K33" s="611"/>
      <c r="L33" s="611"/>
    </row>
    <row r="34" spans="1:12" ht="15.75">
      <c r="A34" s="609" t="s">
        <v>835</v>
      </c>
      <c r="B34" s="615">
        <v>40299</v>
      </c>
      <c r="C34" s="610"/>
      <c r="D34" s="616"/>
      <c r="E34" s="603">
        <v>2700000</v>
      </c>
      <c r="F34" s="603">
        <v>2700000</v>
      </c>
      <c r="G34" s="612"/>
      <c r="H34" s="612"/>
      <c r="I34" s="611"/>
      <c r="J34" s="611"/>
      <c r="K34" s="611"/>
      <c r="L34" s="611"/>
    </row>
    <row r="35" spans="1:12" ht="15.75">
      <c r="A35" s="609"/>
      <c r="B35" s="615"/>
      <c r="C35" s="610"/>
      <c r="D35" s="616"/>
      <c r="E35" s="603"/>
      <c r="F35" s="603"/>
      <c r="G35" s="612"/>
      <c r="H35" s="612"/>
      <c r="I35" s="611"/>
      <c r="J35" s="611"/>
      <c r="K35" s="611"/>
      <c r="L35" s="611"/>
    </row>
    <row r="36" spans="1:12" ht="15.75">
      <c r="A36" s="614" t="s">
        <v>836</v>
      </c>
      <c r="B36" s="615"/>
      <c r="C36" s="610"/>
      <c r="D36" s="616"/>
      <c r="E36" s="617"/>
      <c r="F36" s="611"/>
      <c r="G36" s="612"/>
      <c r="H36" s="612"/>
      <c r="I36" s="611"/>
      <c r="J36" s="611"/>
      <c r="K36" s="611"/>
      <c r="L36" s="611"/>
    </row>
    <row r="37" spans="1:12" ht="15.75">
      <c r="A37" s="609" t="s">
        <v>837</v>
      </c>
      <c r="B37" s="618">
        <v>38671</v>
      </c>
      <c r="C37" s="610"/>
      <c r="D37" s="616">
        <v>3.5</v>
      </c>
      <c r="E37" s="617">
        <v>300000</v>
      </c>
      <c r="F37" s="617">
        <v>280000</v>
      </c>
      <c r="G37" s="612">
        <v>39203</v>
      </c>
      <c r="H37" s="612"/>
      <c r="I37" s="611">
        <v>6286</v>
      </c>
      <c r="J37" s="611"/>
      <c r="K37" s="611">
        <v>6091</v>
      </c>
      <c r="L37" s="611"/>
    </row>
    <row r="38" spans="1:12" ht="15.75">
      <c r="A38" s="609"/>
      <c r="B38" s="618"/>
      <c r="C38" s="610"/>
      <c r="D38" s="616"/>
      <c r="E38" s="617"/>
      <c r="F38" s="617"/>
      <c r="G38" s="612">
        <v>39387</v>
      </c>
      <c r="H38" s="612">
        <v>39387</v>
      </c>
      <c r="I38" s="611">
        <v>6286</v>
      </c>
      <c r="J38" s="611">
        <v>10000</v>
      </c>
      <c r="K38" s="611">
        <v>6091</v>
      </c>
      <c r="L38" s="611">
        <v>15000</v>
      </c>
    </row>
    <row r="39" spans="1:12" ht="15.75">
      <c r="A39" s="609"/>
      <c r="B39" s="618"/>
      <c r="C39" s="610"/>
      <c r="D39" s="616"/>
      <c r="E39" s="617"/>
      <c r="F39" s="617"/>
      <c r="G39" s="612"/>
      <c r="H39" s="612"/>
      <c r="I39" s="611"/>
      <c r="J39" s="611"/>
      <c r="K39" s="611"/>
      <c r="L39" s="611"/>
    </row>
    <row r="40" spans="1:12" ht="15.75">
      <c r="A40" s="609" t="s">
        <v>837</v>
      </c>
      <c r="B40" s="615">
        <v>40191</v>
      </c>
      <c r="C40" s="610"/>
      <c r="D40" s="616"/>
      <c r="E40" s="617">
        <v>745000</v>
      </c>
      <c r="F40" s="617">
        <v>745000</v>
      </c>
      <c r="G40" s="612">
        <v>39114</v>
      </c>
      <c r="H40" s="612"/>
      <c r="I40" s="611">
        <v>13816</v>
      </c>
      <c r="J40" s="611"/>
      <c r="K40" s="611">
        <v>13422</v>
      </c>
      <c r="L40" s="611"/>
    </row>
    <row r="41" spans="1:28" ht="15.75">
      <c r="A41" s="609"/>
      <c r="B41" s="615"/>
      <c r="C41" s="610"/>
      <c r="D41" s="616"/>
      <c r="E41" s="617"/>
      <c r="F41" s="611"/>
      <c r="G41" s="612">
        <v>39295</v>
      </c>
      <c r="H41" s="612">
        <v>39295</v>
      </c>
      <c r="I41" s="611">
        <v>13816</v>
      </c>
      <c r="J41" s="611">
        <v>35000</v>
      </c>
      <c r="K41" s="611">
        <v>13422</v>
      </c>
      <c r="L41" s="611">
        <v>35000</v>
      </c>
      <c r="M41" s="30"/>
      <c r="N41" s="30"/>
      <c r="O41" s="30"/>
      <c r="P41" s="30"/>
      <c r="Q41" s="30"/>
      <c r="R41" s="30"/>
      <c r="S41" s="30"/>
      <c r="T41" s="30"/>
      <c r="U41" s="30"/>
      <c r="V41" s="30"/>
      <c r="W41" s="30"/>
      <c r="X41" s="30"/>
      <c r="Y41" s="30"/>
      <c r="Z41" s="30"/>
      <c r="AA41" s="30"/>
      <c r="AB41" s="30"/>
    </row>
    <row r="42" spans="1:12" ht="15.75">
      <c r="A42" s="233" t="s">
        <v>273</v>
      </c>
      <c r="B42" s="214"/>
      <c r="C42" s="214"/>
      <c r="D42" s="243"/>
      <c r="E42" s="236">
        <f>SUM(E32:E41)</f>
        <v>3745000</v>
      </c>
      <c r="F42" s="244">
        <f>SUM(F34:F41)</f>
        <v>3725000</v>
      </c>
      <c r="G42" s="236"/>
      <c r="H42" s="236"/>
      <c r="I42" s="244">
        <f>SUM(I34:I41)</f>
        <v>40204</v>
      </c>
      <c r="J42" s="244">
        <f>SUM(J34:J41)</f>
        <v>45000</v>
      </c>
      <c r="K42" s="244">
        <f>SUM(K34:K41)</f>
        <v>39026</v>
      </c>
      <c r="L42" s="244">
        <f>SUM(L34:L41)</f>
        <v>50000</v>
      </c>
    </row>
    <row r="43" spans="1:12" ht="15.75">
      <c r="A43" s="233" t="s">
        <v>155</v>
      </c>
      <c r="B43" s="214"/>
      <c r="C43" s="214"/>
      <c r="D43" s="214"/>
      <c r="E43" s="236">
        <f>E27+E42</f>
        <v>10197877</v>
      </c>
      <c r="F43" s="244">
        <f>SUM(F27+F30+F42)</f>
        <v>9640000</v>
      </c>
      <c r="G43" s="236"/>
      <c r="H43" s="236"/>
      <c r="I43" s="244">
        <f>SUM(I27+I30+I42)</f>
        <v>263178.38</v>
      </c>
      <c r="J43" s="244">
        <f>SUM(J27+J30+J42)</f>
        <v>520000</v>
      </c>
      <c r="K43" s="244">
        <f>SUM(K27+K30+K42)</f>
        <v>247581.75</v>
      </c>
      <c r="L43" s="244">
        <f>SUM(L27+L30+L42)</f>
        <v>545000</v>
      </c>
    </row>
    <row r="44" spans="1:12" ht="15.75">
      <c r="A44" s="30"/>
      <c r="B44" s="30"/>
      <c r="C44" s="30"/>
      <c r="D44" s="30"/>
      <c r="E44" s="30"/>
      <c r="F44" s="30"/>
      <c r="G44" s="30"/>
      <c r="H44" s="30"/>
      <c r="I44" s="30"/>
      <c r="J44" s="30"/>
      <c r="K44" s="30"/>
      <c r="L44" s="30"/>
    </row>
    <row r="45" spans="5:12" ht="15.75">
      <c r="E45" s="246"/>
      <c r="F45" s="246"/>
      <c r="I45" s="246"/>
      <c r="J45" s="246"/>
      <c r="K45" s="246"/>
      <c r="L45" s="246"/>
    </row>
    <row r="46" spans="5:13" ht="15.75">
      <c r="E46" s="30"/>
      <c r="G46" s="247"/>
      <c r="M46" s="30"/>
    </row>
    <row r="47" spans="1:12" ht="15.75">
      <c r="A47" s="30"/>
      <c r="B47" s="30"/>
      <c r="C47" s="30"/>
      <c r="D47" s="30"/>
      <c r="E47" s="30"/>
      <c r="F47" s="30"/>
      <c r="G47" s="30"/>
      <c r="H47" s="30"/>
      <c r="I47" s="30"/>
      <c r="J47" s="30"/>
      <c r="K47" s="30"/>
      <c r="L47" s="30"/>
    </row>
    <row r="48" spans="1:12" ht="15.75">
      <c r="A48" s="30"/>
      <c r="B48" s="30"/>
      <c r="C48" s="30"/>
      <c r="D48" s="30"/>
      <c r="E48" s="30"/>
      <c r="F48" s="30"/>
      <c r="G48" s="30"/>
      <c r="H48" s="30"/>
      <c r="I48" s="30"/>
      <c r="J48" s="30"/>
      <c r="K48" s="30"/>
      <c r="L48" s="30"/>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J34" sqref="J34"/>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'[1]inputPrYr'!$D$2</f>
        <v>City of Kechi</v>
      </c>
      <c r="B1" s="5"/>
      <c r="C1" s="5"/>
      <c r="D1" s="5"/>
      <c r="E1" s="5"/>
      <c r="F1" s="5"/>
      <c r="G1" s="5"/>
      <c r="H1" s="21">
        <f>'[1]inputPrYr'!C5</f>
        <v>2012</v>
      </c>
    </row>
    <row r="2" spans="1:8" ht="15.75">
      <c r="A2" s="10"/>
      <c r="B2" s="5"/>
      <c r="C2" s="5"/>
      <c r="D2" s="5"/>
      <c r="E2" s="5"/>
      <c r="F2" s="5"/>
      <c r="G2" s="5"/>
      <c r="H2" s="7"/>
    </row>
    <row r="3" spans="1:8" ht="15.75">
      <c r="A3" s="5"/>
      <c r="B3" s="5"/>
      <c r="C3" s="5"/>
      <c r="D3" s="5"/>
      <c r="E3" s="5"/>
      <c r="F3" s="5"/>
      <c r="G3" s="5"/>
      <c r="H3" s="6"/>
    </row>
    <row r="4" spans="1:8" ht="15.75">
      <c r="A4" s="11" t="s">
        <v>170</v>
      </c>
      <c r="B4" s="8"/>
      <c r="C4" s="8"/>
      <c r="D4" s="8"/>
      <c r="E4" s="8"/>
      <c r="F4" s="8"/>
      <c r="G4" s="8"/>
      <c r="H4" s="8"/>
    </row>
    <row r="5" spans="1:8" ht="15.75">
      <c r="A5" s="4"/>
      <c r="B5" s="16"/>
      <c r="C5" s="16"/>
      <c r="D5" s="16"/>
      <c r="E5" s="16"/>
      <c r="F5" s="16"/>
      <c r="G5" s="16"/>
      <c r="H5" s="16"/>
    </row>
    <row r="6" spans="1:8" ht="15.75">
      <c r="A6" s="5"/>
      <c r="B6" s="9"/>
      <c r="C6" s="9"/>
      <c r="D6" s="9"/>
      <c r="E6" s="12" t="s">
        <v>77</v>
      </c>
      <c r="F6" s="9"/>
      <c r="G6" s="9"/>
      <c r="H6" s="9"/>
    </row>
    <row r="7" spans="1:8" ht="15.75">
      <c r="A7" s="5"/>
      <c r="B7" s="13"/>
      <c r="C7" s="13" t="s">
        <v>156</v>
      </c>
      <c r="D7" s="13" t="s">
        <v>157</v>
      </c>
      <c r="E7" s="13" t="s">
        <v>97</v>
      </c>
      <c r="F7" s="13" t="s">
        <v>159</v>
      </c>
      <c r="G7" s="13" t="s">
        <v>160</v>
      </c>
      <c r="H7" s="13" t="s">
        <v>160</v>
      </c>
    </row>
    <row r="8" spans="1:8" ht="15.75">
      <c r="A8" s="5"/>
      <c r="B8" s="13" t="s">
        <v>161</v>
      </c>
      <c r="C8" s="13" t="s">
        <v>162</v>
      </c>
      <c r="D8" s="13" t="s">
        <v>145</v>
      </c>
      <c r="E8" s="13" t="s">
        <v>163</v>
      </c>
      <c r="F8" s="13" t="s">
        <v>210</v>
      </c>
      <c r="G8" s="13" t="s">
        <v>164</v>
      </c>
      <c r="H8" s="13" t="s">
        <v>164</v>
      </c>
    </row>
    <row r="9" spans="1:8" ht="15.75">
      <c r="A9" s="17" t="s">
        <v>165</v>
      </c>
      <c r="B9" s="14" t="s">
        <v>142</v>
      </c>
      <c r="C9" s="19" t="s">
        <v>166</v>
      </c>
      <c r="D9" s="14" t="s">
        <v>122</v>
      </c>
      <c r="E9" s="19" t="s">
        <v>235</v>
      </c>
      <c r="F9" s="15" t="str">
        <f>CONCATENATE("Jan 1,",H1-1,"")</f>
        <v>Jan 1,2011</v>
      </c>
      <c r="G9" s="14">
        <f>H1-1</f>
        <v>2011</v>
      </c>
      <c r="H9" s="14">
        <f>H1</f>
        <v>2012</v>
      </c>
    </row>
    <row r="10" spans="1:8" ht="15.75">
      <c r="A10" s="3"/>
      <c r="B10" s="26"/>
      <c r="C10" s="24"/>
      <c r="D10" s="22"/>
      <c r="E10" s="23"/>
      <c r="F10" s="23"/>
      <c r="G10" s="23"/>
      <c r="H10" s="23"/>
    </row>
    <row r="11" spans="1:8" ht="15.75">
      <c r="A11" s="619" t="s">
        <v>838</v>
      </c>
      <c r="B11" s="620">
        <v>39220</v>
      </c>
      <c r="C11" s="621">
        <v>48</v>
      </c>
      <c r="D11" s="622">
        <v>7.05</v>
      </c>
      <c r="E11" s="623">
        <v>48094</v>
      </c>
      <c r="F11" s="624">
        <v>10314.01</v>
      </c>
      <c r="G11" s="624">
        <v>11052</v>
      </c>
      <c r="H11" s="624">
        <v>0</v>
      </c>
    </row>
    <row r="12" spans="1:8" ht="15.75">
      <c r="A12" s="619" t="s">
        <v>839</v>
      </c>
      <c r="B12" s="625"/>
      <c r="C12" s="626"/>
      <c r="D12" s="627"/>
      <c r="E12" s="624"/>
      <c r="F12" s="624"/>
      <c r="G12" s="624"/>
      <c r="H12" s="624"/>
    </row>
    <row r="13" spans="1:8" ht="15.75">
      <c r="A13" s="619"/>
      <c r="B13" s="625"/>
      <c r="C13" s="626"/>
      <c r="D13" s="627"/>
      <c r="E13" s="624"/>
      <c r="F13" s="624"/>
      <c r="G13" s="624"/>
      <c r="H13" s="624"/>
    </row>
    <row r="14" spans="1:8" ht="15.75">
      <c r="A14" s="619"/>
      <c r="B14" s="628"/>
      <c r="C14" s="621"/>
      <c r="D14" s="622"/>
      <c r="E14" s="623"/>
      <c r="F14" s="624"/>
      <c r="G14" s="624"/>
      <c r="H14" s="624"/>
    </row>
    <row r="15" spans="1:8" ht="15.75">
      <c r="A15" s="619"/>
      <c r="B15" s="620"/>
      <c r="C15" s="621"/>
      <c r="D15" s="622"/>
      <c r="E15" s="623"/>
      <c r="F15" s="624"/>
      <c r="G15" s="624"/>
      <c r="H15" s="624"/>
    </row>
    <row r="16" spans="1:8" ht="15.75">
      <c r="A16" s="619" t="s">
        <v>840</v>
      </c>
      <c r="B16" s="620">
        <v>40312</v>
      </c>
      <c r="C16" s="621">
        <v>36</v>
      </c>
      <c r="D16" s="622">
        <v>3.8</v>
      </c>
      <c r="E16" s="623">
        <v>22000</v>
      </c>
      <c r="F16" s="624">
        <v>22000</v>
      </c>
      <c r="G16" s="624">
        <v>7898</v>
      </c>
      <c r="H16" s="624">
        <v>7898</v>
      </c>
    </row>
    <row r="17" spans="1:8" ht="15.75">
      <c r="A17" s="3"/>
      <c r="B17" s="26"/>
      <c r="C17" s="24"/>
      <c r="D17" s="22"/>
      <c r="E17" s="23"/>
      <c r="F17" s="23"/>
      <c r="G17" s="23"/>
      <c r="H17" s="23"/>
    </row>
    <row r="18" spans="1:8" ht="15.75">
      <c r="A18" s="3"/>
      <c r="B18" s="26"/>
      <c r="C18" s="24"/>
      <c r="D18" s="22"/>
      <c r="E18" s="23"/>
      <c r="F18" s="23"/>
      <c r="G18" s="23"/>
      <c r="H18" s="23"/>
    </row>
    <row r="19" spans="1:8" ht="15.75">
      <c r="A19" s="3"/>
      <c r="B19" s="26"/>
      <c r="C19" s="24"/>
      <c r="D19" s="22"/>
      <c r="E19" s="23"/>
      <c r="F19" s="23"/>
      <c r="G19" s="23"/>
      <c r="H19" s="23"/>
    </row>
    <row r="20" spans="1:8" ht="15.75">
      <c r="A20" s="3"/>
      <c r="B20" s="26"/>
      <c r="C20" s="24"/>
      <c r="D20" s="22"/>
      <c r="E20" s="23"/>
      <c r="F20" s="23"/>
      <c r="G20" s="23"/>
      <c r="H20" s="23"/>
    </row>
    <row r="21" spans="1:8" ht="15.75">
      <c r="A21" s="3"/>
      <c r="B21" s="26"/>
      <c r="C21" s="24"/>
      <c r="D21" s="22"/>
      <c r="E21" s="23"/>
      <c r="F21" s="23"/>
      <c r="G21" s="23"/>
      <c r="H21" s="23"/>
    </row>
    <row r="22" spans="1:8" ht="15.75">
      <c r="A22" s="3"/>
      <c r="B22" s="26"/>
      <c r="C22" s="24"/>
      <c r="D22" s="22"/>
      <c r="E22" s="23"/>
      <c r="F22" s="23"/>
      <c r="G22" s="23"/>
      <c r="H22" s="23"/>
    </row>
    <row r="23" spans="1:8" ht="15.75">
      <c r="A23" s="3"/>
      <c r="B23" s="26"/>
      <c r="C23" s="24"/>
      <c r="D23" s="22"/>
      <c r="E23" s="23"/>
      <c r="F23" s="23"/>
      <c r="G23" s="23"/>
      <c r="H23" s="23"/>
    </row>
    <row r="24" spans="1:8" ht="15.75">
      <c r="A24" s="3"/>
      <c r="B24" s="26"/>
      <c r="C24" s="24"/>
      <c r="D24" s="22"/>
      <c r="E24" s="23"/>
      <c r="F24" s="23"/>
      <c r="G24" s="23"/>
      <c r="H24" s="23"/>
    </row>
    <row r="25" spans="1:8" ht="15.75">
      <c r="A25" s="3"/>
      <c r="B25" s="26"/>
      <c r="C25" s="24"/>
      <c r="D25" s="22"/>
      <c r="E25" s="23"/>
      <c r="F25" s="23"/>
      <c r="G25" s="23"/>
      <c r="H25" s="23"/>
    </row>
    <row r="26" spans="1:8" ht="15.75">
      <c r="A26" s="3"/>
      <c r="B26" s="26"/>
      <c r="C26" s="24"/>
      <c r="D26" s="22"/>
      <c r="E26" s="23"/>
      <c r="F26" s="23"/>
      <c r="G26" s="23"/>
      <c r="H26" s="23"/>
    </row>
    <row r="27" spans="1:8" ht="15.75">
      <c r="A27" s="3"/>
      <c r="B27" s="26"/>
      <c r="C27" s="24"/>
      <c r="D27" s="22"/>
      <c r="E27" s="23"/>
      <c r="F27" s="23"/>
      <c r="G27" s="23"/>
      <c r="H27" s="23"/>
    </row>
    <row r="28" spans="1:8" ht="16.5" thickBot="1">
      <c r="A28" s="18" t="s">
        <v>93</v>
      </c>
      <c r="B28" s="20"/>
      <c r="C28" s="20"/>
      <c r="D28" s="20"/>
      <c r="E28" s="20"/>
      <c r="F28" s="25">
        <f>SUM(F10:F27)</f>
        <v>32314.010000000002</v>
      </c>
      <c r="G28" s="25">
        <f>SUM(G10:G27)</f>
        <v>18950</v>
      </c>
      <c r="H28" s="25">
        <f>SUM(H10:H27)</f>
        <v>7898</v>
      </c>
    </row>
    <row r="29" spans="1:8" ht="16.5" thickTop="1">
      <c r="A29" s="5"/>
      <c r="B29" s="5"/>
      <c r="C29" s="5"/>
      <c r="D29" s="5"/>
      <c r="E29" s="5"/>
      <c r="F29" s="5"/>
      <c r="G29" s="10"/>
      <c r="H29" s="10"/>
    </row>
    <row r="30" spans="1:8" ht="15.75">
      <c r="A30" s="27" t="s">
        <v>24</v>
      </c>
      <c r="B30" s="28"/>
      <c r="C30" s="28"/>
      <c r="D30" s="28"/>
      <c r="E30" s="28"/>
      <c r="F30" s="28"/>
      <c r="G30" s="10"/>
      <c r="H30" s="10"/>
    </row>
  </sheetData>
  <sheetProtection/>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06">
      <selection activeCell="D75" sqref="D75"/>
    </sheetView>
  </sheetViews>
  <sheetFormatPr defaultColWidth="8.796875" defaultRowHeight="15"/>
  <cols>
    <col min="1" max="1" width="2.3984375" style="43" customWidth="1"/>
    <col min="2" max="2" width="31.09765625" style="43" customWidth="1"/>
    <col min="3" max="4" width="15.796875" style="43" customWidth="1"/>
    <col min="5" max="5" width="16.296875" style="43" customWidth="1"/>
    <col min="6" max="6" width="6.8984375" style="43" customWidth="1"/>
    <col min="7" max="7" width="7.09765625" style="43" customWidth="1"/>
    <col min="8" max="8" width="8.8984375" style="43" customWidth="1"/>
    <col min="9" max="9" width="5" style="43" customWidth="1"/>
    <col min="10" max="10" width="7.796875" style="43" customWidth="1"/>
    <col min="11" max="16384" width="8.8984375" style="43" customWidth="1"/>
  </cols>
  <sheetData>
    <row r="1" spans="2:5" ht="15.75">
      <c r="B1" s="198" t="str">
        <f>inputPrYr!D2</f>
        <v>City of Kechi </v>
      </c>
      <c r="C1" s="45"/>
      <c r="D1" s="45"/>
      <c r="E1" s="248">
        <f>inputPrYr!C5</f>
        <v>2012</v>
      </c>
    </row>
    <row r="2" spans="2:5" ht="15.75">
      <c r="B2" s="45"/>
      <c r="C2" s="45"/>
      <c r="D2" s="45"/>
      <c r="E2" s="169"/>
    </row>
    <row r="3" spans="2:5" ht="15.75">
      <c r="B3" s="249"/>
      <c r="C3" s="45"/>
      <c r="D3" s="45"/>
      <c r="E3" s="136"/>
    </row>
    <row r="4" spans="2:5" ht="15.75">
      <c r="B4" s="360" t="s">
        <v>174</v>
      </c>
      <c r="C4" s="250"/>
      <c r="D4" s="250"/>
      <c r="E4" s="250"/>
    </row>
    <row r="5" spans="2:5" ht="15.75">
      <c r="B5" s="172" t="s">
        <v>104</v>
      </c>
      <c r="C5" s="564" t="s">
        <v>126</v>
      </c>
      <c r="D5" s="565" t="s">
        <v>247</v>
      </c>
      <c r="E5" s="566" t="s">
        <v>248</v>
      </c>
    </row>
    <row r="6" spans="2:5" ht="15.75">
      <c r="B6" s="516" t="str">
        <f>inputPrYr!B17</f>
        <v>General</v>
      </c>
      <c r="C6" s="347">
        <f>E1-2</f>
        <v>2010</v>
      </c>
      <c r="D6" s="347">
        <f>E1-1</f>
        <v>2011</v>
      </c>
      <c r="E6" s="251">
        <f>E1</f>
        <v>2012</v>
      </c>
    </row>
    <row r="7" spans="2:5" ht="15.75">
      <c r="B7" s="252" t="s">
        <v>229</v>
      </c>
      <c r="C7" s="253">
        <v>8916</v>
      </c>
      <c r="D7" s="254">
        <f>C112</f>
        <v>83648.92999999993</v>
      </c>
      <c r="E7" s="228">
        <f>D112</f>
        <v>71235.92999999993</v>
      </c>
    </row>
    <row r="8" spans="2:5" ht="15.75">
      <c r="B8" s="255" t="s">
        <v>231</v>
      </c>
      <c r="C8" s="159"/>
      <c r="D8" s="159"/>
      <c r="E8" s="85"/>
    </row>
    <row r="9" spans="2:5" ht="15.75">
      <c r="B9" s="252" t="s">
        <v>105</v>
      </c>
      <c r="C9" s="256">
        <v>335233</v>
      </c>
      <c r="D9" s="254">
        <f>inputPrYr!E17</f>
        <v>392592</v>
      </c>
      <c r="E9" s="258" t="s">
        <v>94</v>
      </c>
    </row>
    <row r="10" spans="2:5" ht="15.75">
      <c r="B10" s="252" t="s">
        <v>106</v>
      </c>
      <c r="C10" s="256"/>
      <c r="D10" s="256"/>
      <c r="E10" s="259"/>
    </row>
    <row r="11" spans="2:5" ht="15.75">
      <c r="B11" s="252" t="s">
        <v>107</v>
      </c>
      <c r="C11" s="256">
        <v>59108</v>
      </c>
      <c r="D11" s="256">
        <v>59848</v>
      </c>
      <c r="E11" s="228">
        <f>mvalloc!C7</f>
        <v>57285</v>
      </c>
    </row>
    <row r="12" spans="2:5" ht="15.75">
      <c r="B12" s="252" t="s">
        <v>108</v>
      </c>
      <c r="C12" s="256"/>
      <c r="D12" s="256">
        <v>913</v>
      </c>
      <c r="E12" s="228">
        <f>mvalloc!D7</f>
        <v>1109</v>
      </c>
    </row>
    <row r="13" spans="2:5" ht="15.75">
      <c r="B13" s="252" t="s">
        <v>206</v>
      </c>
      <c r="C13" s="256">
        <v>621</v>
      </c>
      <c r="D13" s="256">
        <v>634</v>
      </c>
      <c r="E13" s="228">
        <f>mvalloc!E7</f>
        <v>629</v>
      </c>
    </row>
    <row r="14" spans="2:5" ht="15.75">
      <c r="B14" s="252" t="s">
        <v>207</v>
      </c>
      <c r="C14" s="256"/>
      <c r="D14" s="256"/>
      <c r="E14" s="228">
        <f>inputOth!E16</f>
        <v>0</v>
      </c>
    </row>
    <row r="15" spans="2:5" ht="15.75">
      <c r="B15" s="252" t="s">
        <v>252</v>
      </c>
      <c r="C15" s="256"/>
      <c r="D15" s="256"/>
      <c r="E15" s="228">
        <f>inputOth!E42</f>
        <v>0</v>
      </c>
    </row>
    <row r="16" spans="2:5" ht="15.75">
      <c r="B16" s="252" t="s">
        <v>253</v>
      </c>
      <c r="C16" s="256"/>
      <c r="D16" s="256"/>
      <c r="E16" s="228">
        <f>inputOth!E43</f>
        <v>0</v>
      </c>
    </row>
    <row r="17" spans="2:5" ht="15.75">
      <c r="B17" s="159" t="s">
        <v>254</v>
      </c>
      <c r="C17" s="256"/>
      <c r="D17" s="256"/>
      <c r="E17" s="228">
        <f>mvalloc!F7</f>
        <v>0</v>
      </c>
    </row>
    <row r="18" spans="2:5" ht="15.75">
      <c r="B18" s="253" t="s">
        <v>111</v>
      </c>
      <c r="C18" s="256"/>
      <c r="D18" s="256"/>
      <c r="E18" s="259"/>
    </row>
    <row r="19" spans="2:5" ht="15.75">
      <c r="B19" s="253" t="s">
        <v>109</v>
      </c>
      <c r="C19" s="256"/>
      <c r="D19" s="256"/>
      <c r="E19" s="259"/>
    </row>
    <row r="20" spans="2:5" ht="15.75">
      <c r="B20" s="518" t="s">
        <v>757</v>
      </c>
      <c r="C20" s="256"/>
      <c r="D20" s="256"/>
      <c r="E20" s="259"/>
    </row>
    <row r="21" spans="2:5" ht="15.75">
      <c r="B21" s="517" t="s">
        <v>758</v>
      </c>
      <c r="C21" s="256">
        <v>235529</v>
      </c>
      <c r="D21" s="256">
        <v>237000</v>
      </c>
      <c r="E21" s="256">
        <v>240000</v>
      </c>
    </row>
    <row r="22" spans="2:5" ht="15.75">
      <c r="B22" s="517" t="s">
        <v>759</v>
      </c>
      <c r="C22" s="256">
        <v>52113</v>
      </c>
      <c r="D22" s="256">
        <v>48000</v>
      </c>
      <c r="E22" s="256">
        <v>50000</v>
      </c>
    </row>
    <row r="23" spans="2:5" ht="15.75">
      <c r="B23" s="517" t="s">
        <v>841</v>
      </c>
      <c r="C23" s="256">
        <v>21739</v>
      </c>
      <c r="D23" s="256">
        <v>14000</v>
      </c>
      <c r="E23" s="256">
        <v>20000</v>
      </c>
    </row>
    <row r="24" spans="2:5" ht="15.75">
      <c r="B24" s="253" t="s">
        <v>842</v>
      </c>
      <c r="C24" s="256">
        <v>38045</v>
      </c>
      <c r="D24" s="256">
        <v>35000</v>
      </c>
      <c r="E24" s="256">
        <v>30000</v>
      </c>
    </row>
    <row r="25" spans="2:5" ht="15.75">
      <c r="B25" s="253" t="s">
        <v>843</v>
      </c>
      <c r="C25" s="256"/>
      <c r="D25" s="256"/>
      <c r="E25" s="256"/>
    </row>
    <row r="26" spans="2:5" ht="15.75">
      <c r="B26" s="253" t="s">
        <v>844</v>
      </c>
      <c r="C26" s="256">
        <v>38488</v>
      </c>
      <c r="D26" s="256">
        <v>13000</v>
      </c>
      <c r="E26" s="256"/>
    </row>
    <row r="27" spans="2:5" ht="15.75">
      <c r="B27" s="253" t="s">
        <v>845</v>
      </c>
      <c r="C27" s="256">
        <v>10903</v>
      </c>
      <c r="D27" s="256">
        <v>5000</v>
      </c>
      <c r="E27" s="256">
        <v>5000</v>
      </c>
    </row>
    <row r="28" spans="2:5" ht="15.75">
      <c r="B28" s="253" t="s">
        <v>846</v>
      </c>
      <c r="C28" s="256">
        <v>40877</v>
      </c>
      <c r="D28" s="256">
        <v>35000</v>
      </c>
      <c r="E28" s="256">
        <v>35000</v>
      </c>
    </row>
    <row r="29" spans="2:5" ht="15.75">
      <c r="B29" s="253" t="s">
        <v>847</v>
      </c>
      <c r="C29" s="256"/>
      <c r="D29" s="256">
        <v>10000</v>
      </c>
      <c r="E29" s="256">
        <v>10000</v>
      </c>
    </row>
    <row r="30" spans="2:5" ht="15.75">
      <c r="B30" s="253" t="s">
        <v>848</v>
      </c>
      <c r="C30" s="256">
        <v>813</v>
      </c>
      <c r="D30" s="256">
        <v>600</v>
      </c>
      <c r="E30" s="256">
        <v>600</v>
      </c>
    </row>
    <row r="31" spans="2:5" ht="15.75">
      <c r="B31" s="253"/>
      <c r="C31" s="256"/>
      <c r="D31" s="256"/>
      <c r="E31" s="259"/>
    </row>
    <row r="32" spans="2:5" ht="15.75">
      <c r="B32" s="253"/>
      <c r="C32" s="256"/>
      <c r="D32" s="256"/>
      <c r="E32" s="259"/>
    </row>
    <row r="33" spans="2:5" ht="15.75">
      <c r="B33" s="253"/>
      <c r="C33" s="256"/>
      <c r="D33" s="256"/>
      <c r="E33" s="259"/>
    </row>
    <row r="34" spans="2:5" ht="15.75">
      <c r="B34" s="253"/>
      <c r="C34" s="256"/>
      <c r="D34" s="256"/>
      <c r="E34" s="259"/>
    </row>
    <row r="35" spans="2:5" ht="15.75">
      <c r="B35" s="253"/>
      <c r="C35" s="256"/>
      <c r="D35" s="256"/>
      <c r="E35" s="259"/>
    </row>
    <row r="36" spans="2:5" ht="15.75">
      <c r="B36" s="253"/>
      <c r="C36" s="256"/>
      <c r="D36" s="256"/>
      <c r="E36" s="259"/>
    </row>
    <row r="37" spans="2:5" ht="15.75">
      <c r="B37" s="253"/>
      <c r="C37" s="256"/>
      <c r="D37" s="256"/>
      <c r="E37" s="259"/>
    </row>
    <row r="38" spans="2:5" ht="15.75">
      <c r="B38" s="253"/>
      <c r="C38" s="256"/>
      <c r="D38" s="256"/>
      <c r="E38" s="259"/>
    </row>
    <row r="39" spans="2:5" ht="15.75">
      <c r="B39" s="253"/>
      <c r="C39" s="256"/>
      <c r="D39" s="256"/>
      <c r="E39" s="259"/>
    </row>
    <row r="40" spans="2:5" ht="15.75">
      <c r="B40" s="253"/>
      <c r="C40" s="256"/>
      <c r="D40" s="256"/>
      <c r="E40" s="259"/>
    </row>
    <row r="41" spans="2:5" ht="15.75">
      <c r="B41" s="253"/>
      <c r="C41" s="256"/>
      <c r="D41" s="256"/>
      <c r="E41" s="259"/>
    </row>
    <row r="42" spans="2:5" ht="15.75">
      <c r="B42" s="253"/>
      <c r="C42" s="256"/>
      <c r="D42" s="256"/>
      <c r="E42" s="259"/>
    </row>
    <row r="43" spans="2:5" ht="15.75">
      <c r="B43" s="253"/>
      <c r="C43" s="256"/>
      <c r="D43" s="256"/>
      <c r="E43" s="259"/>
    </row>
    <row r="44" spans="2:5" ht="15.75">
      <c r="B44" s="253"/>
      <c r="C44" s="256"/>
      <c r="D44" s="256"/>
      <c r="E44" s="259"/>
    </row>
    <row r="45" spans="2:5" ht="15.75">
      <c r="B45" s="253"/>
      <c r="C45" s="256"/>
      <c r="D45" s="256"/>
      <c r="E45" s="259"/>
    </row>
    <row r="46" spans="2:5" ht="15.75">
      <c r="B46" s="253"/>
      <c r="C46" s="256"/>
      <c r="D46" s="256"/>
      <c r="E46" s="259"/>
    </row>
    <row r="47" spans="2:5" ht="15.75">
      <c r="B47" s="253"/>
      <c r="C47" s="256"/>
      <c r="D47" s="256"/>
      <c r="E47" s="259"/>
    </row>
    <row r="48" spans="2:5" ht="15.75">
      <c r="B48" s="253"/>
      <c r="C48" s="256"/>
      <c r="D48" s="256"/>
      <c r="E48" s="259"/>
    </row>
    <row r="49" spans="2:5" ht="15.75">
      <c r="B49" s="253"/>
      <c r="C49" s="256"/>
      <c r="D49" s="256"/>
      <c r="E49" s="259"/>
    </row>
    <row r="50" spans="2:5" ht="15.75">
      <c r="B50" s="253"/>
      <c r="C50" s="256"/>
      <c r="D50" s="256"/>
      <c r="E50" s="259"/>
    </row>
    <row r="51" spans="2:5" ht="15.75">
      <c r="B51" s="253"/>
      <c r="C51" s="256"/>
      <c r="D51" s="256"/>
      <c r="E51" s="259"/>
    </row>
    <row r="52" spans="2:5" ht="15.75">
      <c r="B52" s="253" t="s">
        <v>110</v>
      </c>
      <c r="C52" s="256"/>
      <c r="D52" s="256"/>
      <c r="E52" s="259"/>
    </row>
    <row r="53" spans="2:5" ht="15.75">
      <c r="B53" s="260" t="s">
        <v>112</v>
      </c>
      <c r="C53" s="256"/>
      <c r="D53" s="256"/>
      <c r="E53" s="259"/>
    </row>
    <row r="54" spans="2:5" ht="15.75">
      <c r="B54" s="159" t="s">
        <v>17</v>
      </c>
      <c r="C54" s="256"/>
      <c r="D54" s="256"/>
      <c r="E54" s="259"/>
    </row>
    <row r="55" spans="2:5" ht="15.75">
      <c r="B55" s="252" t="s">
        <v>776</v>
      </c>
      <c r="C55" s="261">
        <f>IF(C56*0.1&lt;C54,"Exceed 10% Rule","")</f>
      </c>
      <c r="D55" s="261">
        <f>IF(D56*0.1&lt;D54,"Exceed 10% Rule","")</f>
      </c>
      <c r="E55" s="291">
        <f>IF(E56*0.1+E118&lt;E54,"Exceed 10% Rule","")</f>
      </c>
    </row>
    <row r="56" spans="2:5" ht="15.75">
      <c r="B56" s="263" t="s">
        <v>113</v>
      </c>
      <c r="C56" s="265">
        <f>SUM(C9:C54)</f>
        <v>833469</v>
      </c>
      <c r="D56" s="265">
        <f>SUM(D9:D54)</f>
        <v>851587</v>
      </c>
      <c r="E56" s="266">
        <f>SUM(E10:E54)</f>
        <v>449623</v>
      </c>
    </row>
    <row r="57" spans="2:5" ht="15.75">
      <c r="B57" s="263" t="s">
        <v>114</v>
      </c>
      <c r="C57" s="265">
        <f>C7+C56</f>
        <v>842385</v>
      </c>
      <c r="D57" s="265">
        <f>D7+D56</f>
        <v>935235.9299999999</v>
      </c>
      <c r="E57" s="266">
        <f>E7+E56</f>
        <v>520858.92999999993</v>
      </c>
    </row>
    <row r="58" spans="2:5" ht="15.75">
      <c r="B58" s="45"/>
      <c r="C58" s="45"/>
      <c r="D58" s="45"/>
      <c r="E58" s="45"/>
    </row>
    <row r="59" spans="2:5" ht="15.75">
      <c r="B59" s="675" t="s">
        <v>239</v>
      </c>
      <c r="C59" s="675"/>
      <c r="D59" s="675"/>
      <c r="E59" s="675"/>
    </row>
    <row r="60" spans="2:5" ht="15.75">
      <c r="B60" s="173"/>
      <c r="C60" s="173"/>
      <c r="D60" s="173"/>
      <c r="E60" s="173"/>
    </row>
    <row r="61" spans="2:5" ht="15.75">
      <c r="B61" s="198" t="str">
        <f>inputPrYr!D2</f>
        <v>City of Kechi </v>
      </c>
      <c r="C61" s="45"/>
      <c r="D61" s="45"/>
      <c r="E61" s="169"/>
    </row>
    <row r="62" spans="2:5" ht="15.75">
      <c r="B62" s="45"/>
      <c r="C62" s="45"/>
      <c r="D62" s="45"/>
      <c r="E62" s="136"/>
    </row>
    <row r="63" spans="2:5" ht="15.75">
      <c r="B63" s="267" t="s">
        <v>173</v>
      </c>
      <c r="C63" s="221"/>
      <c r="D63" s="221"/>
      <c r="E63" s="221"/>
    </row>
    <row r="64" spans="2:5" ht="15.75">
      <c r="B64" s="45" t="s">
        <v>104</v>
      </c>
      <c r="C64" s="564" t="s">
        <v>126</v>
      </c>
      <c r="D64" s="565" t="s">
        <v>247</v>
      </c>
      <c r="E64" s="566" t="s">
        <v>248</v>
      </c>
    </row>
    <row r="65" spans="2:5" ht="15.75">
      <c r="B65" s="75" t="str">
        <f>inputPrYr!B17</f>
        <v>General</v>
      </c>
      <c r="C65" s="347">
        <f>C6</f>
        <v>2010</v>
      </c>
      <c r="D65" s="347">
        <f>D6</f>
        <v>2011</v>
      </c>
      <c r="E65" s="251">
        <f>E6</f>
        <v>2012</v>
      </c>
    </row>
    <row r="66" spans="2:5" ht="15.75">
      <c r="B66" s="268" t="s">
        <v>114</v>
      </c>
      <c r="C66" s="254">
        <f>C57</f>
        <v>842385</v>
      </c>
      <c r="D66" s="254">
        <f>D57</f>
        <v>935235.9299999999</v>
      </c>
      <c r="E66" s="228">
        <f>E57</f>
        <v>520858.92999999993</v>
      </c>
    </row>
    <row r="67" spans="2:5" ht="15.75">
      <c r="B67" s="255" t="s">
        <v>116</v>
      </c>
      <c r="C67" s="159"/>
      <c r="D67" s="159"/>
      <c r="E67" s="85"/>
    </row>
    <row r="68" spans="2:6" ht="15.75">
      <c r="B68" s="252" t="str">
        <f>GenDetail!A7</f>
        <v>General Administration </v>
      </c>
      <c r="C68" s="269">
        <f>GenDetail!B27</f>
        <v>357992</v>
      </c>
      <c r="D68" s="269">
        <f>GenDetail!C27</f>
        <v>401500</v>
      </c>
      <c r="E68" s="80">
        <f>GenDetail!D27</f>
        <v>446100</v>
      </c>
      <c r="F68" s="270"/>
    </row>
    <row r="69" spans="2:6" ht="15.75">
      <c r="B69" s="252" t="str">
        <f>GenDetail!A28</f>
        <v>Police and Court Services</v>
      </c>
      <c r="C69" s="269">
        <f>GenDetail!B43</f>
        <v>371854.07</v>
      </c>
      <c r="D69" s="269">
        <f>GenDetail!C43</f>
        <v>363500</v>
      </c>
      <c r="E69" s="80">
        <f>GenDetail!D43</f>
        <v>364000</v>
      </c>
      <c r="F69" s="270"/>
    </row>
    <row r="70" spans="2:5" ht="15.75">
      <c r="B70" s="252" t="str">
        <f>GenDetail!A44</f>
        <v>Street Lighting</v>
      </c>
      <c r="C70" s="269">
        <f>GenDetail!B46</f>
        <v>13081</v>
      </c>
      <c r="D70" s="269">
        <f>GenDetail!C46</f>
        <v>13000</v>
      </c>
      <c r="E70" s="80">
        <f>GenDetail!D46</f>
        <v>14000</v>
      </c>
    </row>
    <row r="71" spans="2:5" ht="15.75">
      <c r="B71" s="252" t="str">
        <f>GenDetail!A47</f>
        <v>Parks &amp; Recreation</v>
      </c>
      <c r="C71" s="269">
        <f>GenDetail!B54</f>
        <v>1118</v>
      </c>
      <c r="D71" s="269">
        <f>GenDetail!C54</f>
        <v>4500</v>
      </c>
      <c r="E71" s="80">
        <f>GenDetail!D54</f>
        <v>12000</v>
      </c>
    </row>
    <row r="72" spans="2:5" ht="15.75">
      <c r="B72" s="252" t="str">
        <f>GenDetail!A55</f>
        <v>Kechi Economic Development</v>
      </c>
      <c r="C72" s="269">
        <f>GenDetail!B67</f>
        <v>0</v>
      </c>
      <c r="D72" s="269">
        <f>GenDetail!C67</f>
        <v>31500</v>
      </c>
      <c r="E72" s="80">
        <f>GenDetail!D67</f>
        <v>29000</v>
      </c>
    </row>
    <row r="73" spans="2:5" ht="15.75">
      <c r="B73" s="252" t="str">
        <f>GenDetail!A68</f>
        <v>Miscellaneous</v>
      </c>
      <c r="C73" s="269">
        <f>GenDetail!B71</f>
        <v>14691</v>
      </c>
      <c r="D73" s="269"/>
      <c r="E73" s="80">
        <f>GenDetail!D71</f>
        <v>19250</v>
      </c>
    </row>
    <row r="74" spans="2:5" ht="15.75">
      <c r="B74" s="252" t="str">
        <f>GenDetail!A72</f>
        <v>Transfer to other funds</v>
      </c>
      <c r="C74" s="269">
        <f>GenDetail!B75</f>
        <v>0</v>
      </c>
      <c r="D74" s="269">
        <v>50000</v>
      </c>
      <c r="E74" s="80">
        <f>GenDetail!D75</f>
        <v>30750</v>
      </c>
    </row>
    <row r="75" spans="2:5" ht="15.75">
      <c r="B75" s="252"/>
      <c r="C75" s="269"/>
      <c r="D75" s="269"/>
      <c r="E75" s="80"/>
    </row>
    <row r="76" spans="2:5" ht="15.75">
      <c r="B76" s="252"/>
      <c r="C76" s="269"/>
      <c r="D76" s="269"/>
      <c r="E76" s="80"/>
    </row>
    <row r="77" spans="2:5" ht="15.75">
      <c r="B77" s="252"/>
      <c r="C77" s="269"/>
      <c r="D77" s="269"/>
      <c r="E77" s="80"/>
    </row>
    <row r="78" spans="2:5" ht="15.75">
      <c r="B78" s="252"/>
      <c r="C78" s="269"/>
      <c r="D78" s="269"/>
      <c r="E78" s="80"/>
    </row>
    <row r="79" spans="2:5" ht="15.75">
      <c r="B79" s="252"/>
      <c r="C79" s="269"/>
      <c r="D79" s="269"/>
      <c r="E79" s="80"/>
    </row>
    <row r="80" spans="2:5" ht="15.75">
      <c r="B80" s="252"/>
      <c r="C80" s="269"/>
      <c r="D80" s="269"/>
      <c r="E80" s="80"/>
    </row>
    <row r="81" spans="2:5" ht="15.75">
      <c r="B81" s="252"/>
      <c r="C81" s="269"/>
      <c r="D81" s="269"/>
      <c r="E81" s="80"/>
    </row>
    <row r="82" spans="2:5" ht="15.75">
      <c r="B82" s="252"/>
      <c r="C82" s="269"/>
      <c r="D82" s="269"/>
      <c r="E82" s="80"/>
    </row>
    <row r="83" spans="2:5" ht="15.75">
      <c r="B83" s="252"/>
      <c r="C83" s="269"/>
      <c r="D83" s="269"/>
      <c r="E83" s="80"/>
    </row>
    <row r="84" spans="2:5" ht="15.75">
      <c r="B84" s="271" t="s">
        <v>633</v>
      </c>
      <c r="C84" s="348">
        <f>SUM(C68:C83)</f>
        <v>758736.0700000001</v>
      </c>
      <c r="D84" s="348">
        <f>SUM(D68:D83)</f>
        <v>864000</v>
      </c>
      <c r="E84" s="285">
        <f>SUM(E68:E83)</f>
        <v>915100</v>
      </c>
    </row>
    <row r="85" spans="2:5" ht="15.75">
      <c r="B85" s="260"/>
      <c r="C85" s="256"/>
      <c r="D85" s="256"/>
      <c r="E85" s="259"/>
    </row>
    <row r="86" spans="2:5" ht="15.75">
      <c r="B86" s="260"/>
      <c r="C86" s="256"/>
      <c r="D86" s="256"/>
      <c r="E86" s="259"/>
    </row>
    <row r="87" spans="2:5" ht="15.75">
      <c r="B87" s="260"/>
      <c r="C87" s="256"/>
      <c r="D87" s="256"/>
      <c r="E87" s="259"/>
    </row>
    <row r="88" spans="2:5" ht="15.75">
      <c r="B88" s="260"/>
      <c r="C88" s="256"/>
      <c r="D88" s="256"/>
      <c r="E88" s="259"/>
    </row>
    <row r="89" spans="2:5" ht="15.75">
      <c r="B89" s="260"/>
      <c r="C89" s="256"/>
      <c r="D89" s="256"/>
      <c r="E89" s="259"/>
    </row>
    <row r="90" spans="2:5" ht="15.75">
      <c r="B90" s="260"/>
      <c r="C90" s="256"/>
      <c r="D90" s="256"/>
      <c r="E90" s="259"/>
    </row>
    <row r="91" spans="2:5" ht="15.75">
      <c r="B91" s="272"/>
      <c r="C91" s="256"/>
      <c r="D91" s="256"/>
      <c r="E91" s="259"/>
    </row>
    <row r="92" spans="2:5" ht="15.75">
      <c r="B92" s="272"/>
      <c r="C92" s="256"/>
      <c r="D92" s="256"/>
      <c r="E92" s="259"/>
    </row>
    <row r="93" spans="2:5" ht="15.75">
      <c r="B93" s="272"/>
      <c r="C93" s="256"/>
      <c r="D93" s="256"/>
      <c r="E93" s="259"/>
    </row>
    <row r="94" spans="2:5" ht="15.75">
      <c r="B94" s="272"/>
      <c r="C94" s="256"/>
      <c r="D94" s="256"/>
      <c r="E94" s="259"/>
    </row>
    <row r="95" spans="2:5" ht="15.75">
      <c r="B95" s="272"/>
      <c r="C95" s="256"/>
      <c r="D95" s="256"/>
      <c r="E95" s="259"/>
    </row>
    <row r="96" spans="2:5" ht="15.75">
      <c r="B96" s="272"/>
      <c r="C96" s="256"/>
      <c r="D96" s="256"/>
      <c r="E96" s="259"/>
    </row>
    <row r="97" spans="2:5" ht="15.75">
      <c r="B97" s="272"/>
      <c r="C97" s="256"/>
      <c r="D97" s="256"/>
      <c r="E97" s="259"/>
    </row>
    <row r="98" spans="2:5" ht="15.75">
      <c r="B98" s="272"/>
      <c r="C98" s="256"/>
      <c r="D98" s="256"/>
      <c r="E98" s="259"/>
    </row>
    <row r="99" spans="2:5" ht="15.75">
      <c r="B99" s="272"/>
      <c r="C99" s="256"/>
      <c r="D99" s="256"/>
      <c r="E99" s="259"/>
    </row>
    <row r="100" spans="2:5" ht="15.75">
      <c r="B100" s="272"/>
      <c r="C100" s="256"/>
      <c r="D100" s="256"/>
      <c r="E100" s="259"/>
    </row>
    <row r="101" spans="2:5" ht="15.75">
      <c r="B101" s="272"/>
      <c r="C101" s="256"/>
      <c r="D101" s="256"/>
      <c r="E101" s="259"/>
    </row>
    <row r="102" spans="2:5" ht="15.75">
      <c r="B102" s="272"/>
      <c r="C102" s="256"/>
      <c r="D102" s="256"/>
      <c r="E102" s="259"/>
    </row>
    <row r="103" spans="2:5" ht="15.75">
      <c r="B103" s="272"/>
      <c r="C103" s="256"/>
      <c r="D103" s="256"/>
      <c r="E103" s="259"/>
    </row>
    <row r="104" spans="2:5" ht="15.75">
      <c r="B104" s="272"/>
      <c r="C104" s="256"/>
      <c r="D104" s="256"/>
      <c r="E104" s="259"/>
    </row>
    <row r="105" spans="2:5" ht="15.75">
      <c r="B105" s="272"/>
      <c r="C105" s="256"/>
      <c r="D105" s="256"/>
      <c r="E105" s="259"/>
    </row>
    <row r="106" spans="2:5" ht="15.75">
      <c r="B106" s="272"/>
      <c r="C106" s="256"/>
      <c r="D106" s="256"/>
      <c r="E106" s="259"/>
    </row>
    <row r="107" spans="2:5" ht="15.75">
      <c r="B107" s="272"/>
      <c r="C107" s="256"/>
      <c r="D107" s="256"/>
      <c r="E107" s="259"/>
    </row>
    <row r="108" spans="2:5" ht="15.75">
      <c r="B108" s="273" t="s">
        <v>16</v>
      </c>
      <c r="C108" s="256"/>
      <c r="D108" s="256"/>
      <c r="E108" s="274">
        <f>nhood!E6</f>
      </c>
    </row>
    <row r="109" spans="2:5" ht="15.75">
      <c r="B109" s="273" t="s">
        <v>17</v>
      </c>
      <c r="C109" s="256"/>
      <c r="D109" s="256"/>
      <c r="E109" s="259"/>
    </row>
    <row r="110" spans="2:10" ht="15.75">
      <c r="B110" s="273" t="s">
        <v>777</v>
      </c>
      <c r="C110" s="261">
        <f>IF(C111*0.1&lt;C109,"Exceed 10% Rule","")</f>
      </c>
      <c r="D110" s="261">
        <f>IF(D111*0.1&lt;D109,"Exceed 10% Rule","")</f>
      </c>
      <c r="E110" s="291">
        <f>IF(E111*0.1&lt;E109,"Exceed 10% Rule","")</f>
      </c>
      <c r="G110" s="676" t="str">
        <f>CONCATENATE("Projected Carryover Into ",E1+1,"")</f>
        <v>Projected Carryover Into 2013</v>
      </c>
      <c r="H110" s="677"/>
      <c r="I110" s="677"/>
      <c r="J110" s="678"/>
    </row>
    <row r="111" spans="2:10" ht="15.75">
      <c r="B111" s="263" t="s">
        <v>120</v>
      </c>
      <c r="C111" s="265">
        <f>SUM(C84:C109)</f>
        <v>758736.0700000001</v>
      </c>
      <c r="D111" s="265">
        <f>SUM(D84:D109)</f>
        <v>864000</v>
      </c>
      <c r="E111" s="266">
        <f>SUM(E84:E109)</f>
        <v>915100</v>
      </c>
      <c r="G111" s="526"/>
      <c r="H111" s="520"/>
      <c r="I111" s="520"/>
      <c r="J111" s="527"/>
    </row>
    <row r="112" spans="2:10" ht="15.75">
      <c r="B112" s="150" t="s">
        <v>230</v>
      </c>
      <c r="C112" s="269">
        <f>C57-C111</f>
        <v>83648.92999999993</v>
      </c>
      <c r="D112" s="269">
        <f>D57-D111</f>
        <v>71235.92999999993</v>
      </c>
      <c r="E112" s="258" t="s">
        <v>94</v>
      </c>
      <c r="G112" s="528">
        <f>D112</f>
        <v>71235.92999999993</v>
      </c>
      <c r="H112" s="529" t="str">
        <f>CONCATENATE("",E1-1," Ending Cash Balance (est.)")</f>
        <v>2011 Ending Cash Balance (est.)</v>
      </c>
      <c r="I112" s="530"/>
      <c r="J112" s="527"/>
    </row>
    <row r="113" spans="2:10" ht="15.75">
      <c r="B113" s="136" t="str">
        <f>CONCATENATE("",E1-2,"/",E1-1," Budget Authority Amount:")</f>
        <v>2010/2011 Budget Authority Amount:</v>
      </c>
      <c r="C113" s="241">
        <f>inputOth!B61</f>
        <v>822975</v>
      </c>
      <c r="D113" s="241">
        <f>inputPrYr!D17</f>
        <v>922072</v>
      </c>
      <c r="E113" s="258" t="s">
        <v>94</v>
      </c>
      <c r="F113" s="275"/>
      <c r="G113" s="528">
        <f>E56</f>
        <v>449623</v>
      </c>
      <c r="H113" s="531" t="str">
        <f>CONCATENATE("",E1," Non-AV Receipts (est.)")</f>
        <v>2012 Non-AV Receipts (est.)</v>
      </c>
      <c r="I113" s="530"/>
      <c r="J113" s="527"/>
    </row>
    <row r="114" spans="2:10" ht="15.75">
      <c r="B114" s="136"/>
      <c r="C114" s="680" t="s">
        <v>631</v>
      </c>
      <c r="D114" s="681"/>
      <c r="E114" s="259"/>
      <c r="F114" s="412">
        <f>IF(E111/0.95-E111&lt;E114,"Exceeds 5%","")</f>
      </c>
      <c r="G114" s="532">
        <f>E118</f>
        <v>394241.07000000007</v>
      </c>
      <c r="H114" s="531" t="str">
        <f>CONCATENATE("",E1," Ad Valorem Tax (est.)")</f>
        <v>2012 Ad Valorem Tax (est.)</v>
      </c>
      <c r="I114" s="530"/>
      <c r="J114" s="527"/>
    </row>
    <row r="115" spans="2:10" ht="15.75">
      <c r="B115" s="506" t="str">
        <f>CONCATENATE(C132,"     ",D132)</f>
        <v>     </v>
      </c>
      <c r="C115" s="682" t="s">
        <v>632</v>
      </c>
      <c r="D115" s="683"/>
      <c r="E115" s="228">
        <f>E111+E114</f>
        <v>915100</v>
      </c>
      <c r="G115" s="528">
        <f>SUM(G112:G114)</f>
        <v>915100</v>
      </c>
      <c r="H115" s="531" t="str">
        <f>CONCATENATE("Total ",E1," Resources Available")</f>
        <v>Total 2012 Resources Available</v>
      </c>
      <c r="I115" s="530"/>
      <c r="J115" s="527"/>
    </row>
    <row r="116" spans="2:10" ht="15.75">
      <c r="B116" s="506" t="str">
        <f>CONCATENATE(C133,"     ",D133)</f>
        <v>     </v>
      </c>
      <c r="C116" s="276"/>
      <c r="D116" s="169" t="s">
        <v>121</v>
      </c>
      <c r="E116" s="80">
        <f>IF(E115-E57&gt;0,E115-E57,0)</f>
        <v>394241.07000000007</v>
      </c>
      <c r="G116" s="533"/>
      <c r="H116" s="531"/>
      <c r="I116" s="531"/>
      <c r="J116" s="527"/>
    </row>
    <row r="117" spans="2:10" ht="15.75">
      <c r="B117" s="169"/>
      <c r="C117" s="354" t="s">
        <v>630</v>
      </c>
      <c r="D117" s="355">
        <f>inputOth!$E$48</f>
        <v>0</v>
      </c>
      <c r="E117" s="228">
        <f>ROUND(IF(D117&gt;0,(E116*D117),0),0)</f>
        <v>0</v>
      </c>
      <c r="G117" s="532">
        <f>C111*0.05+C111</f>
        <v>796672.8735000001</v>
      </c>
      <c r="H117" s="531" t="str">
        <f>CONCATENATE("Less ",E1-2," Expenditures + 5%")</f>
        <v>Less 2010 Expenditures + 5%</v>
      </c>
      <c r="I117" s="530"/>
      <c r="J117" s="527"/>
    </row>
    <row r="118" spans="2:10" ht="15.75">
      <c r="B118" s="45"/>
      <c r="C118" s="684" t="str">
        <f>CONCATENATE("Amount of  ",$E$1-1," Ad Valorem Tax")</f>
        <v>Amount of  2011 Ad Valorem Tax</v>
      </c>
      <c r="D118" s="685"/>
      <c r="E118" s="285">
        <f>E116+E117</f>
        <v>394241.07000000007</v>
      </c>
      <c r="G118" s="538">
        <f>G115-G117</f>
        <v>118427.1264999999</v>
      </c>
      <c r="H118" s="534" t="str">
        <f>CONCATENATE("Projected ",E1+1," Carryover (est.)")</f>
        <v>Projected 2013 Carryover (est.)</v>
      </c>
      <c r="I118" s="535"/>
      <c r="J118" s="536"/>
    </row>
    <row r="119" spans="2:10" ht="15.75">
      <c r="B119" s="45"/>
      <c r="C119" s="45"/>
      <c r="D119" s="45"/>
      <c r="E119" s="45"/>
      <c r="G119" s="356"/>
      <c r="H119" s="356"/>
      <c r="I119" s="356"/>
      <c r="J119" s="356"/>
    </row>
    <row r="120" spans="2:10" ht="15.75">
      <c r="B120" s="675" t="s">
        <v>240</v>
      </c>
      <c r="C120" s="675"/>
      <c r="D120" s="675"/>
      <c r="E120" s="675"/>
      <c r="G120" s="515">
        <f>IF(inputOth!E7=0,"",ROUND(general!E118/inputOth!E7*1000,3))</f>
        <v>25.36</v>
      </c>
      <c r="H120" s="542" t="str">
        <f>CONCATENATE("Projected ",E1-1," Mill Rate (est.)")</f>
        <v>Projected 2011 Mill Rate (est.)</v>
      </c>
      <c r="I120" s="541"/>
      <c r="J120" s="540"/>
    </row>
    <row r="122" spans="2:10" ht="15.75">
      <c r="B122" s="104"/>
      <c r="G122" s="676" t="str">
        <f>CONCATENATE("Desired Carryover Into ",E1+1,"")</f>
        <v>Desired Carryover Into 2013</v>
      </c>
      <c r="H122" s="679"/>
      <c r="I122" s="679"/>
      <c r="J122" s="678"/>
    </row>
    <row r="123" spans="7:10" ht="15.75">
      <c r="G123" s="526"/>
      <c r="H123" s="520"/>
      <c r="I123" s="520"/>
      <c r="J123" s="527"/>
    </row>
    <row r="124" spans="7:10" ht="15.75">
      <c r="G124" s="537" t="s">
        <v>760</v>
      </c>
      <c r="H124" s="531"/>
      <c r="I124" s="531"/>
      <c r="J124" s="525">
        <v>0</v>
      </c>
    </row>
    <row r="125" spans="2:10" ht="15.75">
      <c r="B125" s="30"/>
      <c r="C125" s="30"/>
      <c r="G125" s="544" t="s">
        <v>761</v>
      </c>
      <c r="H125" s="519"/>
      <c r="I125" s="521"/>
      <c r="J125" s="543">
        <f>IF(J124=0,"",ROUND((J124+E118-G118)/inputOth!E7*1000,3)-general!G120)</f>
      </c>
    </row>
    <row r="126" spans="7:10" ht="15.75">
      <c r="G126" s="524" t="str">
        <f>CONCATENATE("",E1," Total Expenditures Must Be:")</f>
        <v>2012 Total Expenditures Must Be:</v>
      </c>
      <c r="H126" s="523"/>
      <c r="I126" s="522"/>
      <c r="J126" s="539">
        <v>0</v>
      </c>
    </row>
    <row r="132" spans="3:4" ht="15.75" hidden="1">
      <c r="C132" s="505">
        <f>IF(C111&gt;C113,"See Tab A","")</f>
      </c>
      <c r="D132" s="505">
        <f>IF(D111&gt;D113,"See Tab C","")</f>
      </c>
    </row>
    <row r="133" spans="3:4" ht="15.75" hidden="1">
      <c r="C133" s="505">
        <f>IF(C112&lt;0,"See Tab B","")</f>
      </c>
      <c r="D133" s="505">
        <f>IF(D112&lt;0,"See Tab D","")</f>
      </c>
    </row>
  </sheetData>
  <sheetProtection/>
  <mergeCells count="7">
    <mergeCell ref="B59:E59"/>
    <mergeCell ref="G110:J110"/>
    <mergeCell ref="G122:J122"/>
    <mergeCell ref="B120:E120"/>
    <mergeCell ref="C114:D114"/>
    <mergeCell ref="C115:D115"/>
    <mergeCell ref="C118:D118"/>
  </mergeCells>
  <conditionalFormatting sqref="E109">
    <cfRule type="cellIs" priority="3" dxfId="129" operator="greaterThan" stopIfTrue="1">
      <formula>$E$111*0.1</formula>
    </cfRule>
  </conditionalFormatting>
  <conditionalFormatting sqref="E114">
    <cfRule type="cellIs" priority="4" dxfId="129" operator="greaterThan" stopIfTrue="1">
      <formula>$E$111/0.95-$E$111</formula>
    </cfRule>
  </conditionalFormatting>
  <conditionalFormatting sqref="D111">
    <cfRule type="cellIs" priority="5" dxfId="1" operator="greaterThan" stopIfTrue="1">
      <formula>$D$113</formula>
    </cfRule>
  </conditionalFormatting>
  <conditionalFormatting sqref="C111">
    <cfRule type="cellIs" priority="6" dxfId="1" operator="greaterThan" stopIfTrue="1">
      <formula>$C$113</formula>
    </cfRule>
  </conditionalFormatting>
  <conditionalFormatting sqref="C112">
    <cfRule type="cellIs" priority="7" dxfId="1" operator="lessThan" stopIfTrue="1">
      <formula>0</formula>
    </cfRule>
  </conditionalFormatting>
  <conditionalFormatting sqref="C109">
    <cfRule type="cellIs" priority="8" dxfId="1" operator="greaterThan" stopIfTrue="1">
      <formula>$C$111*0.1</formula>
    </cfRule>
  </conditionalFormatting>
  <conditionalFormatting sqref="D109">
    <cfRule type="cellIs" priority="9" dxfId="1" operator="greaterThan" stopIfTrue="1">
      <formula>$D$111*0.1</formula>
    </cfRule>
  </conditionalFormatting>
  <conditionalFormatting sqref="D54">
    <cfRule type="cellIs" priority="10" dxfId="1" operator="greaterThan" stopIfTrue="1">
      <formula>$D$56*0.1</formula>
    </cfRule>
  </conditionalFormatting>
  <conditionalFormatting sqref="C54">
    <cfRule type="cellIs" priority="11" dxfId="1" operator="greaterThan" stopIfTrue="1">
      <formula>$C$56*0.1</formula>
    </cfRule>
  </conditionalFormatting>
  <conditionalFormatting sqref="E54">
    <cfRule type="cellIs" priority="12" dxfId="129" operator="greaterThan" stopIfTrue="1">
      <formula>$E$56*0.1+E118</formula>
    </cfRule>
  </conditionalFormatting>
  <conditionalFormatting sqref="D112">
    <cfRule type="cellIs" priority="2" dxfId="0" operator="lessThan" stopIfTrue="1">
      <formula>0</formula>
    </cfRule>
  </conditionalFormatting>
  <conditionalFormatting sqref="D54">
    <cfRule type="cellIs" priority="1" dxfId="1" operator="greaterThan" stopIfTrue="1">
      <formula>$D$56*0.1</formula>
    </cfRule>
  </conditionalFormatting>
  <printOptions/>
  <pageMargins left="0.5" right="0.5" top="1" bottom="0.5" header="0.5" footer="0.5"/>
  <pageSetup blackAndWhite="1" fitToHeight="2" fitToWidth="1" horizontalDpi="120" verticalDpi="120" orientation="portrait" scale="78"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84"/>
  <sheetViews>
    <sheetView workbookViewId="0" topLeftCell="A65">
      <selection activeCell="D54" sqref="D54"/>
    </sheetView>
  </sheetViews>
  <sheetFormatPr defaultColWidth="8.796875" defaultRowHeight="15"/>
  <cols>
    <col min="1" max="1" width="28.296875" style="30" customWidth="1"/>
    <col min="2" max="3" width="15.796875" style="30" customWidth="1"/>
    <col min="4" max="4" width="16.09765625" style="30" customWidth="1"/>
    <col min="5" max="16384" width="8.8984375" style="30" customWidth="1"/>
  </cols>
  <sheetData>
    <row r="1" spans="1:4" ht="15.75">
      <c r="A1" s="198" t="str">
        <f>inputPrYr!D2</f>
        <v>City of Kechi </v>
      </c>
      <c r="B1" s="45"/>
      <c r="C1" s="172"/>
      <c r="D1" s="45">
        <f>inputPrYr!C5</f>
        <v>2012</v>
      </c>
    </row>
    <row r="2" spans="1:4" ht="15.75">
      <c r="A2" s="45"/>
      <c r="B2" s="45"/>
      <c r="C2" s="45"/>
      <c r="D2" s="172"/>
    </row>
    <row r="3" spans="1:4" ht="15.75">
      <c r="A3" s="249"/>
      <c r="B3" s="277"/>
      <c r="C3" s="277"/>
      <c r="D3" s="277"/>
    </row>
    <row r="4" spans="1:4" ht="15.75">
      <c r="A4" s="226" t="s">
        <v>104</v>
      </c>
      <c r="B4" s="567" t="s">
        <v>126</v>
      </c>
      <c r="C4" s="566" t="s">
        <v>247</v>
      </c>
      <c r="D4" s="566" t="s">
        <v>248</v>
      </c>
    </row>
    <row r="5" spans="1:4" ht="15.75">
      <c r="A5" s="568" t="s">
        <v>362</v>
      </c>
      <c r="B5" s="251">
        <f>D1-2</f>
        <v>2010</v>
      </c>
      <c r="C5" s="251">
        <f>D1-1</f>
        <v>2011</v>
      </c>
      <c r="D5" s="251">
        <f>D1</f>
        <v>2012</v>
      </c>
    </row>
    <row r="6" spans="1:4" ht="15.75">
      <c r="A6" s="226" t="s">
        <v>116</v>
      </c>
      <c r="B6" s="85"/>
      <c r="C6" s="85"/>
      <c r="D6" s="85"/>
    </row>
    <row r="7" spans="1:4" ht="15.75">
      <c r="A7" s="279" t="s">
        <v>850</v>
      </c>
      <c r="B7" s="85"/>
      <c r="C7" s="85"/>
      <c r="D7" s="85"/>
    </row>
    <row r="8" spans="1:4" ht="15.75">
      <c r="A8" s="280" t="s">
        <v>124</v>
      </c>
      <c r="B8" s="259">
        <v>113962</v>
      </c>
      <c r="C8" s="259">
        <v>115000</v>
      </c>
      <c r="D8" s="259">
        <v>130000</v>
      </c>
    </row>
    <row r="9" spans="1:4" ht="15.75">
      <c r="A9" s="280" t="s">
        <v>948</v>
      </c>
      <c r="B9" s="259"/>
      <c r="C9" s="259"/>
      <c r="D9" s="259">
        <v>5000</v>
      </c>
    </row>
    <row r="10" spans="1:4" ht="15.75">
      <c r="A10" s="67" t="s">
        <v>949</v>
      </c>
      <c r="B10" s="259"/>
      <c r="C10" s="259"/>
      <c r="D10" s="259">
        <v>2500</v>
      </c>
    </row>
    <row r="11" spans="1:4" ht="15.75">
      <c r="A11" s="629" t="s">
        <v>852</v>
      </c>
      <c r="B11" s="259"/>
      <c r="C11" s="259"/>
      <c r="D11" s="259"/>
    </row>
    <row r="12" spans="1:4" ht="15.75">
      <c r="A12" s="280" t="s">
        <v>853</v>
      </c>
      <c r="B12" s="259">
        <v>19661</v>
      </c>
      <c r="C12" s="259">
        <v>20000</v>
      </c>
      <c r="D12" s="259">
        <v>22000</v>
      </c>
    </row>
    <row r="13" spans="1:4" ht="15.75">
      <c r="A13" s="280" t="s">
        <v>854</v>
      </c>
      <c r="B13" s="259">
        <v>4526</v>
      </c>
      <c r="C13" s="259">
        <v>6000</v>
      </c>
      <c r="D13" s="259">
        <v>7500</v>
      </c>
    </row>
    <row r="14" spans="1:4" ht="15.75">
      <c r="A14" s="280" t="s">
        <v>855</v>
      </c>
      <c r="B14" s="259">
        <v>5478</v>
      </c>
      <c r="C14" s="259">
        <v>9000</v>
      </c>
      <c r="D14" s="259">
        <v>10000</v>
      </c>
    </row>
    <row r="15" spans="1:4" ht="15.75">
      <c r="A15" s="629" t="s">
        <v>856</v>
      </c>
      <c r="B15" s="259"/>
      <c r="C15" s="259"/>
      <c r="D15" s="259"/>
    </row>
    <row r="16" spans="1:4" ht="15.75">
      <c r="A16" s="280" t="s">
        <v>857</v>
      </c>
      <c r="B16" s="259"/>
      <c r="C16" s="259">
        <v>10000</v>
      </c>
      <c r="D16" s="259">
        <v>11000</v>
      </c>
    </row>
    <row r="17" spans="1:4" ht="15.75">
      <c r="A17" s="67" t="s">
        <v>858</v>
      </c>
      <c r="B17" s="259"/>
      <c r="C17" s="259">
        <v>1000</v>
      </c>
      <c r="D17" s="259">
        <v>3000</v>
      </c>
    </row>
    <row r="18" spans="1:4" ht="15.75">
      <c r="A18" s="630" t="s">
        <v>859</v>
      </c>
      <c r="B18" s="259"/>
      <c r="C18" s="259"/>
      <c r="D18" s="259"/>
    </row>
    <row r="19" spans="1:4" ht="15.75">
      <c r="A19" s="67" t="s">
        <v>117</v>
      </c>
      <c r="B19" s="259">
        <f>117963-278</f>
        <v>117685</v>
      </c>
      <c r="C19" s="259">
        <v>115000</v>
      </c>
      <c r="D19" s="259">
        <v>117000</v>
      </c>
    </row>
    <row r="20" spans="1:4" ht="15.75">
      <c r="A20" s="67" t="s">
        <v>118</v>
      </c>
      <c r="B20" s="259">
        <v>40210</v>
      </c>
      <c r="C20" s="259">
        <v>40000</v>
      </c>
      <c r="D20" s="259">
        <v>45000</v>
      </c>
    </row>
    <row r="21" spans="1:4" ht="15.75">
      <c r="A21" s="630" t="s">
        <v>860</v>
      </c>
      <c r="B21" s="259"/>
      <c r="C21" s="259">
        <v>5000</v>
      </c>
      <c r="D21" s="259">
        <v>5000</v>
      </c>
    </row>
    <row r="22" spans="1:4" ht="15.75">
      <c r="A22" s="630" t="s">
        <v>861</v>
      </c>
      <c r="B22" s="259">
        <v>50827</v>
      </c>
      <c r="C22" s="259">
        <v>75000</v>
      </c>
      <c r="D22" s="259">
        <v>65000</v>
      </c>
    </row>
    <row r="23" spans="1:4" ht="15.75">
      <c r="A23" s="630" t="s">
        <v>862</v>
      </c>
      <c r="B23" s="259"/>
      <c r="C23" s="259"/>
      <c r="D23" s="259"/>
    </row>
    <row r="24" spans="1:4" ht="15.75">
      <c r="A24" s="67" t="s">
        <v>863</v>
      </c>
      <c r="B24" s="259"/>
      <c r="C24" s="259">
        <v>0</v>
      </c>
      <c r="D24" s="259">
        <v>10000</v>
      </c>
    </row>
    <row r="25" spans="1:4" ht="15.75">
      <c r="A25" s="67" t="s">
        <v>864</v>
      </c>
      <c r="B25" s="259"/>
      <c r="C25" s="259">
        <v>0</v>
      </c>
      <c r="D25" s="259">
        <v>8800</v>
      </c>
    </row>
    <row r="26" spans="1:4" ht="15.75">
      <c r="A26" s="67" t="s">
        <v>865</v>
      </c>
      <c r="B26" s="259">
        <v>5643</v>
      </c>
      <c r="C26" s="259">
        <v>5500</v>
      </c>
      <c r="D26" s="259">
        <v>4300</v>
      </c>
    </row>
    <row r="27" spans="1:4" ht="15.75">
      <c r="A27" s="226" t="s">
        <v>77</v>
      </c>
      <c r="B27" s="264">
        <f>SUM(B8:B26)</f>
        <v>357992</v>
      </c>
      <c r="C27" s="264">
        <f>SUM(C8:C26)</f>
        <v>401500</v>
      </c>
      <c r="D27" s="264">
        <f>SUM(D8:D26)</f>
        <v>446100</v>
      </c>
    </row>
    <row r="28" spans="1:4" ht="15.75">
      <c r="A28" s="631" t="s">
        <v>851</v>
      </c>
      <c r="B28" s="198"/>
      <c r="C28" s="198"/>
      <c r="D28" s="198"/>
    </row>
    <row r="29" spans="1:4" ht="15.75">
      <c r="A29" s="280" t="s">
        <v>124</v>
      </c>
      <c r="B29" s="259">
        <v>200894</v>
      </c>
      <c r="C29" s="259">
        <v>160000</v>
      </c>
      <c r="D29" s="259">
        <v>165000</v>
      </c>
    </row>
    <row r="30" spans="1:4" ht="15.75">
      <c r="A30" s="280" t="s">
        <v>948</v>
      </c>
      <c r="B30" s="259"/>
      <c r="C30" s="259"/>
      <c r="D30" s="259"/>
    </row>
    <row r="31" spans="1:4" ht="15.75">
      <c r="A31" s="280" t="s">
        <v>949</v>
      </c>
      <c r="B31" s="259"/>
      <c r="C31" s="259"/>
      <c r="D31" s="259">
        <v>10000</v>
      </c>
    </row>
    <row r="32" spans="1:4" ht="15.75">
      <c r="A32" s="629" t="s">
        <v>867</v>
      </c>
      <c r="B32" s="259"/>
      <c r="C32" s="259"/>
      <c r="D32" s="259"/>
    </row>
    <row r="33" spans="1:4" ht="15.75">
      <c r="A33" s="280" t="s">
        <v>853</v>
      </c>
      <c r="B33" s="259">
        <f>38832.7+3195.02</f>
        <v>42027.719999999994</v>
      </c>
      <c r="C33" s="259">
        <v>40000</v>
      </c>
      <c r="D33" s="259">
        <v>44000</v>
      </c>
    </row>
    <row r="34" spans="1:4" ht="15.75">
      <c r="A34" s="280" t="s">
        <v>854</v>
      </c>
      <c r="B34" s="259">
        <f>9609.97+2214.28</f>
        <v>11824.25</v>
      </c>
      <c r="C34" s="259">
        <v>12000</v>
      </c>
      <c r="D34" s="259">
        <v>12500</v>
      </c>
    </row>
    <row r="35" spans="1:4" ht="15.75">
      <c r="A35" s="280" t="s">
        <v>855</v>
      </c>
      <c r="B35" s="259">
        <f>12925.57+2188.53</f>
        <v>15114.1</v>
      </c>
      <c r="C35" s="259">
        <v>13000</v>
      </c>
      <c r="D35" s="259">
        <v>13500</v>
      </c>
    </row>
    <row r="36" spans="1:4" ht="15.75">
      <c r="A36" s="629" t="s">
        <v>868</v>
      </c>
      <c r="B36" s="259">
        <v>27244</v>
      </c>
      <c r="C36" s="259">
        <v>30000</v>
      </c>
      <c r="D36" s="259">
        <v>30000</v>
      </c>
    </row>
    <row r="37" spans="1:4" ht="15.75">
      <c r="A37" s="629" t="s">
        <v>869</v>
      </c>
      <c r="B37" s="259">
        <v>16417</v>
      </c>
      <c r="C37" s="259">
        <v>20000</v>
      </c>
      <c r="D37" s="259">
        <v>20000</v>
      </c>
    </row>
    <row r="38" spans="1:4" ht="15.75">
      <c r="A38" s="629" t="s">
        <v>870</v>
      </c>
      <c r="B38" s="259">
        <v>8261</v>
      </c>
      <c r="C38" s="259">
        <v>8500</v>
      </c>
      <c r="D38" s="259">
        <v>9000</v>
      </c>
    </row>
    <row r="39" spans="1:4" ht="15.75">
      <c r="A39" s="629" t="s">
        <v>871</v>
      </c>
      <c r="B39" s="259">
        <v>4163</v>
      </c>
      <c r="C39" s="259">
        <v>7500</v>
      </c>
      <c r="D39" s="259">
        <v>7500</v>
      </c>
    </row>
    <row r="40" spans="1:4" ht="15.75">
      <c r="A40" s="629" t="s">
        <v>872</v>
      </c>
      <c r="B40" s="259">
        <v>22953</v>
      </c>
      <c r="C40" s="259">
        <v>22500</v>
      </c>
      <c r="D40" s="259">
        <v>22500</v>
      </c>
    </row>
    <row r="41" spans="1:4" ht="15.75">
      <c r="A41" s="280" t="s">
        <v>873</v>
      </c>
      <c r="B41" s="259">
        <v>485</v>
      </c>
      <c r="C41" s="259">
        <v>0</v>
      </c>
      <c r="D41" s="259"/>
    </row>
    <row r="42" spans="1:4" ht="15.75">
      <c r="A42" s="280" t="s">
        <v>874</v>
      </c>
      <c r="B42" s="259">
        <v>22471</v>
      </c>
      <c r="C42" s="259">
        <v>50000</v>
      </c>
      <c r="D42" s="259">
        <v>30000</v>
      </c>
    </row>
    <row r="43" spans="1:4" ht="15.75">
      <c r="A43" s="226" t="s">
        <v>77</v>
      </c>
      <c r="B43" s="264">
        <f>SUM(B29:B42)</f>
        <v>371854.07</v>
      </c>
      <c r="C43" s="264">
        <f>SUM(C29:C42)</f>
        <v>363500</v>
      </c>
      <c r="D43" s="264">
        <f>SUM(D29:D42)</f>
        <v>364000</v>
      </c>
    </row>
    <row r="44" spans="1:4" ht="15.75">
      <c r="A44" s="631" t="s">
        <v>875</v>
      </c>
      <c r="B44" s="198"/>
      <c r="C44" s="198"/>
      <c r="D44" s="198"/>
    </row>
    <row r="45" spans="1:4" ht="15.75">
      <c r="A45" s="280" t="s">
        <v>117</v>
      </c>
      <c r="B45" s="259">
        <v>13081</v>
      </c>
      <c r="C45" s="259">
        <v>13000</v>
      </c>
      <c r="D45" s="259">
        <v>14000</v>
      </c>
    </row>
    <row r="46" spans="1:4" ht="15.75">
      <c r="A46" s="226" t="s">
        <v>77</v>
      </c>
      <c r="B46" s="264">
        <f>SUM(B45:B45)</f>
        <v>13081</v>
      </c>
      <c r="C46" s="264">
        <f>SUM(C45:C45)</f>
        <v>13000</v>
      </c>
      <c r="D46" s="264">
        <f>SUM(D45:D45)</f>
        <v>14000</v>
      </c>
    </row>
    <row r="47" spans="1:4" ht="15.75">
      <c r="A47" s="631" t="s">
        <v>876</v>
      </c>
      <c r="B47" s="198"/>
      <c r="C47" s="198"/>
      <c r="D47" s="198"/>
    </row>
    <row r="48" spans="1:4" ht="15.75">
      <c r="A48" s="280" t="s">
        <v>950</v>
      </c>
      <c r="B48" s="259"/>
      <c r="C48" s="259"/>
      <c r="D48" s="259"/>
    </row>
    <row r="49" spans="1:4" ht="15.75">
      <c r="A49" s="280" t="s">
        <v>951</v>
      </c>
      <c r="B49" s="259">
        <v>1118</v>
      </c>
      <c r="C49" s="259">
        <v>2000</v>
      </c>
      <c r="D49" s="259">
        <v>2000</v>
      </c>
    </row>
    <row r="50" spans="1:4" ht="15.75">
      <c r="A50" s="280" t="s">
        <v>952</v>
      </c>
      <c r="B50" s="259"/>
      <c r="C50" s="259">
        <v>2500</v>
      </c>
      <c r="D50" s="259">
        <v>5000</v>
      </c>
    </row>
    <row r="51" spans="1:4" ht="15.75">
      <c r="A51" s="280" t="s">
        <v>953</v>
      </c>
      <c r="B51" s="259"/>
      <c r="C51" s="259"/>
      <c r="D51" s="259"/>
    </row>
    <row r="52" spans="1:4" ht="15.75">
      <c r="A52" s="280" t="s">
        <v>954</v>
      </c>
      <c r="B52" s="259"/>
      <c r="C52" s="259"/>
      <c r="D52" s="259"/>
    </row>
    <row r="53" spans="1:4" ht="15.75">
      <c r="A53" s="280" t="s">
        <v>955</v>
      </c>
      <c r="B53" s="259"/>
      <c r="C53" s="259"/>
      <c r="D53" s="259">
        <v>5000</v>
      </c>
    </row>
    <row r="54" spans="1:4" ht="15.75">
      <c r="A54" s="226" t="s">
        <v>77</v>
      </c>
      <c r="B54" s="264">
        <f>SUM(B48:B53)</f>
        <v>1118</v>
      </c>
      <c r="C54" s="264">
        <f>SUM(C48:C53)</f>
        <v>4500</v>
      </c>
      <c r="D54" s="264">
        <f>SUM(D48:D53)</f>
        <v>12000</v>
      </c>
    </row>
    <row r="55" spans="1:4" ht="15.75">
      <c r="A55" s="631" t="s">
        <v>877</v>
      </c>
      <c r="B55" s="198"/>
      <c r="C55" s="198"/>
      <c r="D55" s="198"/>
    </row>
    <row r="56" spans="1:4" ht="15.75">
      <c r="A56" s="280" t="s">
        <v>878</v>
      </c>
      <c r="B56" s="259"/>
      <c r="C56" s="259">
        <v>5000</v>
      </c>
      <c r="D56" s="259">
        <v>2500</v>
      </c>
    </row>
    <row r="57" spans="1:4" ht="15.75">
      <c r="A57" s="280" t="s">
        <v>879</v>
      </c>
      <c r="B57" s="259"/>
      <c r="C57" s="259">
        <v>10000</v>
      </c>
      <c r="D57" s="259">
        <v>7500</v>
      </c>
    </row>
    <row r="58" spans="1:4" ht="15.75">
      <c r="A58" s="280" t="s">
        <v>974</v>
      </c>
      <c r="B58" s="259"/>
      <c r="C58" s="259">
        <v>2500</v>
      </c>
      <c r="D58" s="259">
        <v>2500</v>
      </c>
    </row>
    <row r="59" spans="1:4" ht="15.75">
      <c r="A59" s="280" t="s">
        <v>880</v>
      </c>
      <c r="B59" s="259"/>
      <c r="C59" s="259">
        <v>2500</v>
      </c>
      <c r="D59" s="259">
        <v>2500</v>
      </c>
    </row>
    <row r="60" spans="1:4" ht="15.75">
      <c r="A60" s="280" t="s">
        <v>881</v>
      </c>
      <c r="B60" s="259"/>
      <c r="C60" s="259">
        <v>1000</v>
      </c>
      <c r="D60" s="259">
        <v>2500</v>
      </c>
    </row>
    <row r="61" spans="1:4" ht="15.75">
      <c r="A61" s="280" t="s">
        <v>882</v>
      </c>
      <c r="B61" s="259"/>
      <c r="C61" s="259">
        <v>1000</v>
      </c>
      <c r="D61" s="259">
        <v>0</v>
      </c>
    </row>
    <row r="62" spans="1:4" ht="15.75">
      <c r="A62" s="280" t="s">
        <v>883</v>
      </c>
      <c r="B62" s="259"/>
      <c r="C62" s="259">
        <v>2000</v>
      </c>
      <c r="D62" s="259">
        <v>2000</v>
      </c>
    </row>
    <row r="63" spans="1:4" ht="15.75">
      <c r="A63" s="280" t="s">
        <v>884</v>
      </c>
      <c r="B63" s="259"/>
      <c r="C63" s="259">
        <v>2000</v>
      </c>
      <c r="D63" s="259">
        <v>2000</v>
      </c>
    </row>
    <row r="64" spans="1:4" ht="15.75">
      <c r="A64" s="280" t="s">
        <v>885</v>
      </c>
      <c r="B64" s="259"/>
      <c r="C64" s="259">
        <v>2000</v>
      </c>
      <c r="D64" s="259">
        <v>2000</v>
      </c>
    </row>
    <row r="65" spans="1:4" ht="15.75">
      <c r="A65" s="280" t="s">
        <v>886</v>
      </c>
      <c r="B65" s="259"/>
      <c r="C65" s="259">
        <v>2000</v>
      </c>
      <c r="D65" s="259">
        <v>5000</v>
      </c>
    </row>
    <row r="66" spans="1:4" ht="15.75">
      <c r="A66" s="280" t="s">
        <v>887</v>
      </c>
      <c r="B66" s="259"/>
      <c r="C66" s="259">
        <v>1500</v>
      </c>
      <c r="D66" s="259">
        <v>500</v>
      </c>
    </row>
    <row r="67" spans="1:4" ht="15.75">
      <c r="A67" s="226" t="s">
        <v>77</v>
      </c>
      <c r="B67" s="264">
        <f>SUM(B56:B66)</f>
        <v>0</v>
      </c>
      <c r="C67" s="264">
        <f>SUM(C56:C66)</f>
        <v>31500</v>
      </c>
      <c r="D67" s="264">
        <f>SUM(D56:D66)</f>
        <v>29000</v>
      </c>
    </row>
    <row r="68" spans="1:4" ht="15.75">
      <c r="A68" s="631" t="s">
        <v>17</v>
      </c>
      <c r="B68" s="198"/>
      <c r="C68" s="198"/>
      <c r="D68" s="198"/>
    </row>
    <row r="69" spans="1:4" ht="15.75">
      <c r="A69" s="280" t="s">
        <v>888</v>
      </c>
      <c r="B69" s="259"/>
      <c r="C69" s="259">
        <v>50000</v>
      </c>
      <c r="D69" s="259">
        <v>19250</v>
      </c>
    </row>
    <row r="70" spans="1:4" ht="15.75">
      <c r="A70" s="280" t="s">
        <v>889</v>
      </c>
      <c r="B70" s="259">
        <v>14691</v>
      </c>
      <c r="C70" s="259"/>
      <c r="D70" s="259"/>
    </row>
    <row r="71" spans="1:4" ht="15.75">
      <c r="A71" s="226" t="s">
        <v>77</v>
      </c>
      <c r="B71" s="264">
        <f>SUM(B69:B70)</f>
        <v>14691</v>
      </c>
      <c r="C71" s="264">
        <f>SUM(C69:C70)</f>
        <v>50000</v>
      </c>
      <c r="D71" s="264">
        <f>SUM(D69:D70)</f>
        <v>19250</v>
      </c>
    </row>
    <row r="72" spans="1:4" ht="15.75">
      <c r="A72" s="281" t="s">
        <v>862</v>
      </c>
      <c r="B72" s="198"/>
      <c r="C72" s="198"/>
      <c r="D72" s="198"/>
    </row>
    <row r="73" spans="1:4" ht="15.75">
      <c r="A73" s="280" t="s">
        <v>956</v>
      </c>
      <c r="B73" s="259"/>
      <c r="C73" s="259"/>
      <c r="D73" s="259">
        <v>20000</v>
      </c>
    </row>
    <row r="74" spans="1:4" ht="15.75">
      <c r="A74" s="280" t="s">
        <v>957</v>
      </c>
      <c r="B74" s="259"/>
      <c r="C74" s="259"/>
      <c r="D74" s="259">
        <v>10750</v>
      </c>
    </row>
    <row r="75" spans="1:4" ht="15.75">
      <c r="A75" s="226" t="s">
        <v>77</v>
      </c>
      <c r="B75" s="264">
        <f>SUM(B73:B74)</f>
        <v>0</v>
      </c>
      <c r="C75" s="264">
        <f>SUM(C73:C74)</f>
        <v>0</v>
      </c>
      <c r="D75" s="264">
        <f>SUM(D73:D74)</f>
        <v>30750</v>
      </c>
    </row>
    <row r="76" spans="1:4" ht="15.75">
      <c r="A76" s="280"/>
      <c r="B76" s="259"/>
      <c r="C76" s="259"/>
      <c r="D76" s="259"/>
    </row>
    <row r="77" spans="1:4" ht="15.75">
      <c r="A77" s="226" t="s">
        <v>77</v>
      </c>
      <c r="B77" s="264">
        <f>SUM(B76:B76)</f>
        <v>0</v>
      </c>
      <c r="C77" s="264">
        <f>SUM(C76:C76)</f>
        <v>0</v>
      </c>
      <c r="D77" s="264">
        <f>SUM(D76:D76)</f>
        <v>0</v>
      </c>
    </row>
    <row r="78" spans="1:4" ht="15.75">
      <c r="A78" s="45"/>
      <c r="B78" s="198"/>
      <c r="C78" s="198"/>
      <c r="D78" s="198"/>
    </row>
    <row r="79" spans="1:4" ht="16.5" thickBot="1">
      <c r="A79" s="226" t="s">
        <v>361</v>
      </c>
      <c r="B79" s="282">
        <f>B27+B43+B46+B54+B67+B71+B75</f>
        <v>758736.0700000001</v>
      </c>
      <c r="C79" s="282">
        <f>C27+C43+C46+C54+C67+C71+C75</f>
        <v>864000</v>
      </c>
      <c r="D79" s="282">
        <f>D27+D43+D46+D54+D67+D71+D75</f>
        <v>915100</v>
      </c>
    </row>
    <row r="80" spans="1:4" ht="16.5" thickTop="1">
      <c r="A80" s="283"/>
      <c r="B80" s="198"/>
      <c r="C80" s="198"/>
      <c r="D80" s="198"/>
    </row>
    <row r="81" spans="1:4" ht="15.75">
      <c r="A81" s="373" t="s">
        <v>123</v>
      </c>
      <c r="B81" s="284" t="s">
        <v>241</v>
      </c>
      <c r="C81" s="198"/>
      <c r="D81" s="198"/>
    </row>
    <row r="82" spans="1:4" ht="15.75">
      <c r="A82" s="45"/>
      <c r="B82" s="198"/>
      <c r="C82" s="198"/>
      <c r="D82" s="198"/>
    </row>
    <row r="83" spans="1:4" ht="15.75">
      <c r="A83" s="198"/>
      <c r="B83" s="45"/>
      <c r="C83" s="172"/>
      <c r="D83" s="45"/>
    </row>
    <row r="84" spans="1:4" ht="15.75">
      <c r="A84" s="45"/>
      <c r="B84" s="45"/>
      <c r="C84" s="45"/>
      <c r="D84" s="172"/>
    </row>
  </sheetData>
  <sheetProtection/>
  <printOptions/>
  <pageMargins left="0.5" right="0.5" top="1" bottom="0.5" header="0.5" footer="0.5"/>
  <pageSetup blackAndWhite="1" fitToHeight="2" fitToWidth="1" horizontalDpi="300" verticalDpi="300" orientation="portrait" r:id="rId1"/>
  <headerFooter alignWithMargins="0">
    <oddHeader>&amp;RState of Kansas
City</oddHeader>
  </headerFooter>
  <rowBreaks count="2" manualBreakCount="2">
    <brk id="81" max="255" man="1"/>
    <brk id="83"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K59"/>
  <sheetViews>
    <sheetView zoomScalePageLayoutView="0" workbookViewId="0" topLeftCell="A19">
      <selection activeCell="H25" sqref="H25"/>
    </sheetView>
  </sheetViews>
  <sheetFormatPr defaultColWidth="8.796875" defaultRowHeight="15"/>
  <cols>
    <col min="1" max="1" width="2.3984375" style="43" customWidth="1"/>
    <col min="2" max="2" width="31.09765625" style="43" customWidth="1"/>
    <col min="3" max="4" width="15.796875" style="43" customWidth="1"/>
    <col min="5" max="5" width="16.19921875" style="43" customWidth="1"/>
    <col min="6" max="6" width="7.09765625" style="43" customWidth="1"/>
    <col min="7" max="16384" width="8.8984375" style="43" customWidth="1"/>
  </cols>
  <sheetData>
    <row r="1" spans="2:5" ht="15.75">
      <c r="B1" s="371" t="str">
        <f>inputPrYr!D2</f>
        <v>City of Kechi </v>
      </c>
      <c r="C1" s="371"/>
      <c r="D1" s="357"/>
      <c r="E1" s="365">
        <f>inputPrYr!C5</f>
        <v>2012</v>
      </c>
    </row>
    <row r="2" spans="2:5" ht="15.75">
      <c r="B2" s="357"/>
      <c r="C2" s="357"/>
      <c r="D2" s="357"/>
      <c r="E2" s="373"/>
    </row>
    <row r="3" spans="2:5" ht="15.75">
      <c r="B3" s="360" t="s">
        <v>174</v>
      </c>
      <c r="C3" s="360"/>
      <c r="D3" s="376"/>
      <c r="E3" s="366"/>
    </row>
    <row r="4" spans="2:5" ht="15.75">
      <c r="B4" s="359" t="s">
        <v>104</v>
      </c>
      <c r="C4" s="569" t="s">
        <v>126</v>
      </c>
      <c r="D4" s="570" t="s">
        <v>247</v>
      </c>
      <c r="E4" s="571" t="s">
        <v>248</v>
      </c>
    </row>
    <row r="5" spans="2:5" ht="15.75">
      <c r="B5" s="407" t="s">
        <v>47</v>
      </c>
      <c r="C5" s="393">
        <f>E1-2</f>
        <v>2010</v>
      </c>
      <c r="D5" s="393">
        <f>E1-1</f>
        <v>2011</v>
      </c>
      <c r="E5" s="375">
        <f>E1</f>
        <v>2012</v>
      </c>
    </row>
    <row r="6" spans="2:5" ht="15.75">
      <c r="B6" s="367" t="s">
        <v>229</v>
      </c>
      <c r="C6" s="403">
        <v>1583</v>
      </c>
      <c r="D6" s="402">
        <f>C36</f>
        <v>7621</v>
      </c>
      <c r="E6" s="368">
        <f>D36</f>
        <v>3712</v>
      </c>
    </row>
    <row r="7" spans="2:5" ht="15.75">
      <c r="B7" s="367" t="s">
        <v>231</v>
      </c>
      <c r="C7" s="369"/>
      <c r="D7" s="402"/>
      <c r="E7" s="368"/>
    </row>
    <row r="8" spans="2:5" ht="15.75">
      <c r="B8" s="367" t="s">
        <v>105</v>
      </c>
      <c r="C8" s="400">
        <v>179831</v>
      </c>
      <c r="D8" s="402">
        <f>inputPrYr!E18</f>
        <v>130236</v>
      </c>
      <c r="E8" s="384" t="s">
        <v>94</v>
      </c>
    </row>
    <row r="9" spans="2:5" ht="15.75">
      <c r="B9" s="367" t="s">
        <v>106</v>
      </c>
      <c r="C9" s="400"/>
      <c r="D9" s="404"/>
      <c r="E9" s="361"/>
    </row>
    <row r="10" spans="2:5" ht="15.75">
      <c r="B10" s="367" t="s">
        <v>107</v>
      </c>
      <c r="C10" s="400"/>
      <c r="D10" s="404"/>
      <c r="E10" s="368">
        <f>mvalloc!C8</f>
        <v>19003</v>
      </c>
    </row>
    <row r="11" spans="2:5" ht="15.75">
      <c r="B11" s="367" t="s">
        <v>108</v>
      </c>
      <c r="C11" s="400"/>
      <c r="D11" s="404"/>
      <c r="E11" s="368">
        <f>mvalloc!D8</f>
        <v>368</v>
      </c>
    </row>
    <row r="12" spans="2:5" ht="15.75">
      <c r="B12" s="370" t="s">
        <v>206</v>
      </c>
      <c r="C12" s="400"/>
      <c r="D12" s="404"/>
      <c r="E12" s="368">
        <f>mvalloc!E8</f>
        <v>208</v>
      </c>
    </row>
    <row r="13" spans="2:5" ht="15.75">
      <c r="B13" s="370" t="s">
        <v>254</v>
      </c>
      <c r="C13" s="400"/>
      <c r="D13" s="404"/>
      <c r="E13" s="368">
        <f>mvalloc!F8</f>
        <v>0</v>
      </c>
    </row>
    <row r="14" spans="2:5" ht="15.75">
      <c r="B14" s="387" t="s">
        <v>890</v>
      </c>
      <c r="C14" s="400">
        <v>445577</v>
      </c>
      <c r="D14" s="404">
        <v>448854</v>
      </c>
      <c r="E14" s="361">
        <v>460252</v>
      </c>
    </row>
    <row r="15" spans="2:5" ht="15.75">
      <c r="B15" s="387" t="s">
        <v>891</v>
      </c>
      <c r="C15" s="400">
        <v>1540000</v>
      </c>
      <c r="D15" s="404"/>
      <c r="E15" s="361"/>
    </row>
    <row r="16" spans="2:5" ht="15.75">
      <c r="B16" s="387" t="s">
        <v>892</v>
      </c>
      <c r="C16" s="400">
        <v>55000</v>
      </c>
      <c r="D16" s="404">
        <v>115000</v>
      </c>
      <c r="E16" s="361">
        <v>89250</v>
      </c>
    </row>
    <row r="17" spans="2:5" ht="15.75">
      <c r="B17" s="381" t="s">
        <v>112</v>
      </c>
      <c r="C17" s="400"/>
      <c r="D17" s="404"/>
      <c r="E17" s="361"/>
    </row>
    <row r="18" spans="2:9" ht="15.75">
      <c r="B18" s="381" t="s">
        <v>112</v>
      </c>
      <c r="C18" s="400"/>
      <c r="D18" s="404"/>
      <c r="E18" s="361"/>
      <c r="F18" s="356"/>
      <c r="G18" s="356"/>
      <c r="H18" s="356"/>
      <c r="I18" s="356"/>
    </row>
    <row r="19" spans="2:9" ht="15.75">
      <c r="B19" s="367" t="s">
        <v>17</v>
      </c>
      <c r="C19" s="256"/>
      <c r="D19" s="256"/>
      <c r="E19" s="65"/>
      <c r="F19" s="356"/>
      <c r="G19" s="356"/>
      <c r="H19" s="356"/>
      <c r="I19" s="356"/>
    </row>
    <row r="20" spans="2:9" ht="15.75">
      <c r="B20" s="367" t="s">
        <v>776</v>
      </c>
      <c r="C20" s="261">
        <f>IF(C21*0.1&lt;C19,"Exceed 10% Rule","")</f>
      </c>
      <c r="D20" s="261">
        <f>IF(D21*0.1&lt;D19,"Exceed 10% Rule","")</f>
      </c>
      <c r="E20" s="291">
        <f>IF(E21*0.1+E42&lt;E19,"Exceed 10% Rule","")</f>
      </c>
      <c r="F20" s="356"/>
      <c r="G20" s="356"/>
      <c r="H20" s="356"/>
      <c r="I20" s="356"/>
    </row>
    <row r="21" spans="2:9" ht="15.75">
      <c r="B21" s="377" t="s">
        <v>113</v>
      </c>
      <c r="C21" s="405">
        <f>SUM(C8:C19)</f>
        <v>2220408</v>
      </c>
      <c r="D21" s="405">
        <f>SUM(D8:D19)</f>
        <v>694090</v>
      </c>
      <c r="E21" s="388">
        <f>SUM(E9:E19)</f>
        <v>569081</v>
      </c>
      <c r="F21" s="356"/>
      <c r="G21" s="356"/>
      <c r="H21" s="356"/>
      <c r="I21" s="356"/>
    </row>
    <row r="22" spans="2:9" ht="15.75">
      <c r="B22" s="377" t="s">
        <v>114</v>
      </c>
      <c r="C22" s="405">
        <f>SUM(C6+C21)</f>
        <v>2221991</v>
      </c>
      <c r="D22" s="405">
        <f>SUM(D6+D21)</f>
        <v>701711</v>
      </c>
      <c r="E22" s="388">
        <f>SUM(E6+E21)</f>
        <v>572793</v>
      </c>
      <c r="F22" s="356"/>
      <c r="G22" s="356"/>
      <c r="H22" s="356"/>
      <c r="I22" s="356"/>
    </row>
    <row r="23" spans="2:9" ht="15.75">
      <c r="B23" s="367" t="s">
        <v>116</v>
      </c>
      <c r="C23" s="367"/>
      <c r="D23" s="402"/>
      <c r="E23" s="368"/>
      <c r="F23" s="356"/>
      <c r="G23" s="356"/>
      <c r="H23" s="356"/>
      <c r="I23" s="356"/>
    </row>
    <row r="24" spans="2:9" ht="15.75">
      <c r="B24" s="387" t="s">
        <v>893</v>
      </c>
      <c r="C24" s="468">
        <v>1915000</v>
      </c>
      <c r="D24" s="404">
        <v>475000</v>
      </c>
      <c r="E24" s="361">
        <v>495000</v>
      </c>
      <c r="F24" s="356"/>
      <c r="G24" s="356"/>
      <c r="H24" s="356"/>
      <c r="I24" s="356"/>
    </row>
    <row r="25" spans="2:9" ht="15.75">
      <c r="B25" s="387" t="s">
        <v>894</v>
      </c>
      <c r="C25" s="468">
        <v>296780</v>
      </c>
      <c r="D25" s="404">
        <v>222974</v>
      </c>
      <c r="E25" s="361">
        <v>208556</v>
      </c>
      <c r="F25" s="356"/>
      <c r="G25" s="356"/>
      <c r="H25" s="356"/>
      <c r="I25" s="356"/>
    </row>
    <row r="26" spans="2:9" ht="15.75">
      <c r="B26" s="387"/>
      <c r="C26" s="468">
        <v>0</v>
      </c>
      <c r="D26" s="404">
        <v>0</v>
      </c>
      <c r="E26" s="361"/>
      <c r="F26" s="356"/>
      <c r="G26" s="356"/>
      <c r="H26" s="356"/>
      <c r="I26" s="356"/>
    </row>
    <row r="27" spans="2:9" ht="15.75">
      <c r="B27" s="387" t="s">
        <v>895</v>
      </c>
      <c r="C27" s="468">
        <v>2585</v>
      </c>
      <c r="D27" s="404"/>
      <c r="E27" s="361"/>
      <c r="F27" s="356"/>
      <c r="G27" s="356"/>
      <c r="H27" s="356"/>
      <c r="I27" s="356"/>
    </row>
    <row r="28" spans="2:9" ht="15.75">
      <c r="B28" s="387" t="s">
        <v>896</v>
      </c>
      <c r="C28" s="468">
        <v>5</v>
      </c>
      <c r="D28" s="404">
        <v>25</v>
      </c>
      <c r="E28" s="361">
        <v>25</v>
      </c>
      <c r="F28" s="356"/>
      <c r="G28" s="356"/>
      <c r="H28" s="356"/>
      <c r="I28" s="356"/>
    </row>
    <row r="29" spans="2:9" ht="15.75">
      <c r="B29" s="387" t="s">
        <v>897</v>
      </c>
      <c r="C29" s="468"/>
      <c r="D29" s="404"/>
      <c r="E29" s="361"/>
      <c r="F29" s="356"/>
      <c r="G29" s="356"/>
      <c r="H29" s="356"/>
      <c r="I29" s="356"/>
    </row>
    <row r="30" spans="2:9" ht="15.75">
      <c r="B30" s="387"/>
      <c r="C30" s="468"/>
      <c r="D30" s="404"/>
      <c r="E30" s="361"/>
      <c r="F30" s="356"/>
      <c r="G30" s="356"/>
      <c r="H30" s="356"/>
      <c r="I30" s="356"/>
    </row>
    <row r="31" spans="2:11" ht="15.75">
      <c r="B31" s="387"/>
      <c r="C31" s="468"/>
      <c r="D31" s="404"/>
      <c r="E31" s="361"/>
      <c r="F31" s="356"/>
      <c r="G31" s="640" t="s">
        <v>978</v>
      </c>
      <c r="H31" s="640"/>
      <c r="I31" s="640"/>
      <c r="J31" s="641"/>
      <c r="K31" s="641"/>
    </row>
    <row r="32" spans="2:11" ht="15.75">
      <c r="B32" s="383" t="s">
        <v>16</v>
      </c>
      <c r="C32" s="468"/>
      <c r="D32" s="404"/>
      <c r="E32" s="368">
        <f>nhood!E7</f>
      </c>
      <c r="F32" s="356"/>
      <c r="G32" s="640" t="s">
        <v>979</v>
      </c>
      <c r="H32" s="640"/>
      <c r="I32" s="640"/>
      <c r="J32" s="641"/>
      <c r="K32" s="641"/>
    </row>
    <row r="33" spans="2:9" ht="15.75">
      <c r="B33" s="383" t="s">
        <v>17</v>
      </c>
      <c r="C33" s="468"/>
      <c r="D33" s="404"/>
      <c r="E33" s="361"/>
      <c r="F33" s="356"/>
      <c r="G33" s="356"/>
      <c r="H33" s="356"/>
      <c r="I33" s="356"/>
    </row>
    <row r="34" spans="2:9" ht="15.75">
      <c r="B34" s="383" t="s">
        <v>778</v>
      </c>
      <c r="C34" s="261">
        <f>IF(C35*0.1&lt;C33,"Exceed 10% Rule","")</f>
      </c>
      <c r="D34" s="261">
        <f>IF(D35*0.1&lt;D33,"Exceed 10% Rule","")</f>
      </c>
      <c r="E34" s="291">
        <f>IF(E35*0.1&lt;E33,"Exceed 10% Rule","")</f>
      </c>
      <c r="F34" s="356"/>
      <c r="G34" s="686" t="str">
        <f>CONCATENATE("Projected Carryover Into ",E1+1,"")</f>
        <v>Projected Carryover Into 2013</v>
      </c>
      <c r="H34" s="687"/>
      <c r="I34" s="688"/>
    </row>
    <row r="35" spans="2:9" ht="15.75">
      <c r="B35" s="377" t="s">
        <v>120</v>
      </c>
      <c r="C35" s="401">
        <f>SUM(C24:C33)</f>
        <v>2214370</v>
      </c>
      <c r="D35" s="401">
        <f>SUM(D24:D33)</f>
        <v>697999</v>
      </c>
      <c r="E35" s="382">
        <f>SUM(E24:E33)</f>
        <v>703581</v>
      </c>
      <c r="F35" s="356"/>
      <c r="G35" s="389"/>
      <c r="H35" s="390"/>
      <c r="I35" s="391"/>
    </row>
    <row r="36" spans="2:9" ht="15.75">
      <c r="B36" s="367" t="s">
        <v>230</v>
      </c>
      <c r="C36" s="406">
        <f>SUM(C22-C35)</f>
        <v>7621</v>
      </c>
      <c r="D36" s="406">
        <f>SUM(D22-D35)</f>
        <v>3712</v>
      </c>
      <c r="E36" s="384" t="s">
        <v>94</v>
      </c>
      <c r="F36" s="356"/>
      <c r="G36" s="396">
        <f>D36</f>
        <v>3712</v>
      </c>
      <c r="H36" s="399" t="str">
        <f>CONCATENATE("",E1-1," Ending Cash Balance (est.)")</f>
        <v>2011 Ending Cash Balance (est.)</v>
      </c>
      <c r="I36" s="391"/>
    </row>
    <row r="37" spans="2:9" ht="15.75">
      <c r="B37" s="372" t="str">
        <f>CONCATENATE("",E1-2,"/",E1-1," Budget Authority Amount:")</f>
        <v>2010/2011 Budget Authority Amount:</v>
      </c>
      <c r="C37" s="374">
        <f>inputOth!B62</f>
        <v>746802</v>
      </c>
      <c r="D37" s="378">
        <f>inputPrYr!D18</f>
        <v>701540</v>
      </c>
      <c r="E37" s="384" t="s">
        <v>94</v>
      </c>
      <c r="F37" s="379"/>
      <c r="G37" s="396">
        <f>E21</f>
        <v>569081</v>
      </c>
      <c r="H37" s="398" t="str">
        <f>CONCATENATE("",E1," Non-AV Receipts (est.)")</f>
        <v>2012 Non-AV Receipts (est.)</v>
      </c>
      <c r="I37" s="391"/>
    </row>
    <row r="38" spans="2:9" ht="15.75">
      <c r="B38" s="372"/>
      <c r="C38" s="680" t="s">
        <v>631</v>
      </c>
      <c r="D38" s="681"/>
      <c r="E38" s="65"/>
      <c r="F38" s="412">
        <f>IF(E35/0.95-E35&lt;E38,"Exceeds 5%","")</f>
      </c>
      <c r="G38" s="395">
        <f>E42</f>
        <v>130788</v>
      </c>
      <c r="H38" s="398" t="str">
        <f>CONCATENATE("",E1," Ad Valorem Tax (est.)")</f>
        <v>2012 Ad Valorem Tax (est.)</v>
      </c>
      <c r="I38" s="391"/>
    </row>
    <row r="39" spans="2:9" ht="15.75">
      <c r="B39" s="506" t="str">
        <f>CONCATENATE(C56,"     ",D56)</f>
        <v>See Tab A     </v>
      </c>
      <c r="C39" s="682" t="s">
        <v>632</v>
      </c>
      <c r="D39" s="683"/>
      <c r="E39" s="368">
        <f>SUM(E35+E38)</f>
        <v>703581</v>
      </c>
      <c r="F39" s="356"/>
      <c r="G39" s="396">
        <f>SUM(G36:G38)</f>
        <v>703581</v>
      </c>
      <c r="H39" s="398" t="str">
        <f>CONCATENATE("Total ",E1," Resources Available")</f>
        <v>Total 2012 Resources Available</v>
      </c>
      <c r="I39" s="391"/>
    </row>
    <row r="40" spans="2:9" ht="15.75">
      <c r="B40" s="506" t="str">
        <f>CONCATENATE(C57,"     ",D57)</f>
        <v>     </v>
      </c>
      <c r="C40" s="380"/>
      <c r="D40" s="373" t="s">
        <v>121</v>
      </c>
      <c r="E40" s="362">
        <f>IF(E39-E22&gt;0,E39-E22,0)</f>
        <v>130788</v>
      </c>
      <c r="F40" s="356"/>
      <c r="G40" s="394"/>
      <c r="H40" s="398"/>
      <c r="I40" s="391"/>
    </row>
    <row r="41" spans="2:9" ht="15.75">
      <c r="B41" s="373"/>
      <c r="C41" s="354" t="s">
        <v>630</v>
      </c>
      <c r="D41" s="355">
        <f>inputOth!$E$48</f>
        <v>0</v>
      </c>
      <c r="E41" s="368">
        <f>ROUND(IF(D41&gt;0,(E40*D41),0),0)</f>
        <v>0</v>
      </c>
      <c r="F41" s="356"/>
      <c r="G41" s="395">
        <f>C35</f>
        <v>2214370</v>
      </c>
      <c r="H41" s="398" t="str">
        <f>CONCATENATE("Less ",E1-2," Expenditures")</f>
        <v>Less 2010 Expenditures</v>
      </c>
      <c r="I41" s="391"/>
    </row>
    <row r="42" spans="2:9" ht="15.75">
      <c r="B42" s="357"/>
      <c r="C42" s="689" t="s">
        <v>635</v>
      </c>
      <c r="D42" s="690"/>
      <c r="E42" s="385">
        <f>SUM(E40:E41)</f>
        <v>130788</v>
      </c>
      <c r="F42" s="356"/>
      <c r="G42" s="395">
        <f>SUM(G39-G41)</f>
        <v>-1510789</v>
      </c>
      <c r="H42" s="397" t="str">
        <f>CONCATENATE("Projected ",E1+1," carryover (est.)")</f>
        <v>Projected 2013 carryover (est.)</v>
      </c>
      <c r="I42" s="392"/>
    </row>
    <row r="43" spans="2:9" ht="15.75">
      <c r="B43" s="359"/>
      <c r="C43" s="359"/>
      <c r="D43" s="376"/>
      <c r="E43" s="376"/>
      <c r="F43" s="356"/>
      <c r="G43" s="356"/>
      <c r="H43" s="356"/>
      <c r="I43" s="356"/>
    </row>
    <row r="44" spans="2:6" ht="15.75">
      <c r="B44" s="373" t="s">
        <v>123</v>
      </c>
      <c r="C44" s="386">
        <v>8</v>
      </c>
      <c r="D44" s="363"/>
      <c r="E44" s="357"/>
      <c r="F44" s="356"/>
    </row>
    <row r="46" spans="2:6" ht="15.75">
      <c r="B46" s="364"/>
      <c r="C46" s="364"/>
      <c r="D46" s="356"/>
      <c r="E46" s="356"/>
      <c r="F46" s="356"/>
    </row>
    <row r="51" spans="3:4" ht="15.75">
      <c r="C51" s="358" t="s">
        <v>634</v>
      </c>
      <c r="D51" s="358" t="s">
        <v>634</v>
      </c>
    </row>
    <row r="52" spans="3:4" ht="15.75">
      <c r="C52" s="358" t="s">
        <v>634</v>
      </c>
      <c r="D52" s="358" t="s">
        <v>634</v>
      </c>
    </row>
    <row r="54" spans="3:4" ht="15.75">
      <c r="C54" s="358" t="s">
        <v>634</v>
      </c>
      <c r="D54" s="358" t="s">
        <v>634</v>
      </c>
    </row>
    <row r="55" spans="3:4" ht="16.5" customHeight="1">
      <c r="C55" s="358" t="s">
        <v>634</v>
      </c>
      <c r="D55" s="358" t="s">
        <v>634</v>
      </c>
    </row>
    <row r="56" spans="3:4" ht="15" customHeight="1" hidden="1">
      <c r="C56" s="505" t="str">
        <f>IF(C35&gt;C37,"See Tab A","")</f>
        <v>See Tab A</v>
      </c>
      <c r="D56" s="505">
        <f>IF(D35&gt;D37,"See Tab C","")</f>
      </c>
    </row>
    <row r="57" spans="3:4" ht="15.75" customHeight="1" hidden="1">
      <c r="C57" s="505">
        <f>IF(C36&lt;0,"See Tab B","")</f>
      </c>
      <c r="D57" s="505">
        <f>IF(D36&lt;0,"See Tab D","")</f>
      </c>
    </row>
    <row r="58" spans="3:4" ht="15" customHeight="1" hidden="1">
      <c r="C58" s="505" t="e">
        <f>IF(#REF!&gt;#REF!,"See Tab A","")</f>
        <v>#REF!</v>
      </c>
      <c r="D58" s="505" t="e">
        <f>IF(#REF!&gt;#REF!,"See Tab C","")</f>
        <v>#REF!</v>
      </c>
    </row>
    <row r="59" spans="3:4" ht="14.25" customHeight="1" hidden="1">
      <c r="C59" s="505" t="e">
        <f>IF(#REF!&lt;0,"See Tab B","")</f>
        <v>#REF!</v>
      </c>
      <c r="D59" s="505" t="e">
        <f>IF(#REF!&lt;0,"See Tab D","")</f>
        <v>#REF!</v>
      </c>
    </row>
  </sheetData>
  <sheetProtection/>
  <mergeCells count="4">
    <mergeCell ref="G34:I34"/>
    <mergeCell ref="C38:D38"/>
    <mergeCell ref="C39:D39"/>
    <mergeCell ref="C42:D42"/>
  </mergeCells>
  <conditionalFormatting sqref="D19">
    <cfRule type="cellIs" priority="21" dxfId="1" operator="greaterThan" stopIfTrue="1">
      <formula>$D$21*0.1</formula>
    </cfRule>
  </conditionalFormatting>
  <conditionalFormatting sqref="C33">
    <cfRule type="cellIs" priority="16" dxfId="0" operator="greaterThan" stopIfTrue="1">
      <formula>$C$35*0.1</formula>
    </cfRule>
  </conditionalFormatting>
  <conditionalFormatting sqref="D33">
    <cfRule type="cellIs" priority="15" dxfId="0" operator="greaterThan" stopIfTrue="1">
      <formula>$D$35*0.1</formula>
    </cfRule>
  </conditionalFormatting>
  <conditionalFormatting sqref="E33">
    <cfRule type="cellIs" priority="14" dxfId="0" operator="greaterThan" stopIfTrue="1">
      <formula>$E$35*0.1</formula>
    </cfRule>
  </conditionalFormatting>
  <conditionalFormatting sqref="C19">
    <cfRule type="cellIs" priority="12" dxfId="1" operator="greaterThan" stopIfTrue="1">
      <formula>$C$21*0.1</formula>
    </cfRule>
  </conditionalFormatting>
  <conditionalFormatting sqref="E19">
    <cfRule type="cellIs" priority="11" dxfId="129" operator="greaterThan" stopIfTrue="1">
      <formula>$E$21*0.1+E42</formula>
    </cfRule>
  </conditionalFormatting>
  <conditionalFormatting sqref="E38">
    <cfRule type="cellIs" priority="10" dxfId="129" operator="greaterThan" stopIfTrue="1">
      <formula>$E$35/0.95-$E$35</formula>
    </cfRule>
  </conditionalFormatting>
  <conditionalFormatting sqref="C35">
    <cfRule type="cellIs" priority="8" dxfId="0" operator="greaterThan" stopIfTrue="1">
      <formula>$C$37</formula>
    </cfRule>
  </conditionalFormatting>
  <conditionalFormatting sqref="C36:D36">
    <cfRule type="cellIs" priority="7" dxfId="0" operator="lessThan" stopIfTrue="1">
      <formula>0</formula>
    </cfRule>
  </conditionalFormatting>
  <conditionalFormatting sqref="D35">
    <cfRule type="cellIs" priority="6" dxfId="0" operator="greaterThan" stopIfTrue="1">
      <formula>$D$37</formula>
    </cfRule>
  </conditionalFormatting>
  <printOptions/>
  <pageMargins left="0.75" right="0.75" top="1" bottom="1" header="0.5" footer="0.5"/>
  <pageSetup blackAndWhite="1" fitToHeight="1" fitToWidth="1" horizontalDpi="600" verticalDpi="600" orientation="portrait" scale="9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6"/>
  <sheetViews>
    <sheetView zoomScalePageLayoutView="0" workbookViewId="0" topLeftCell="A4">
      <selection activeCell="C10" sqref="C10"/>
    </sheetView>
  </sheetViews>
  <sheetFormatPr defaultColWidth="8.796875" defaultRowHeight="15"/>
  <cols>
    <col min="1" max="1" width="2.3984375" style="43" customWidth="1"/>
    <col min="2" max="2" width="31.09765625" style="43" customWidth="1"/>
    <col min="3" max="4" width="15.796875" style="43" customWidth="1"/>
    <col min="5" max="5" width="16.19921875" style="43" customWidth="1"/>
    <col min="6" max="16384" width="8.8984375" style="43" customWidth="1"/>
  </cols>
  <sheetData>
    <row r="1" spans="2:5" ht="15.75">
      <c r="B1" s="198" t="str">
        <f>(inputPrYr!D2)</f>
        <v>City of Kechi </v>
      </c>
      <c r="C1" s="45"/>
      <c r="D1" s="45"/>
      <c r="E1" s="248">
        <f>inputPrYr!C5</f>
        <v>2012</v>
      </c>
    </row>
    <row r="2" spans="2:5" ht="15.75">
      <c r="B2" s="45"/>
      <c r="C2" s="45"/>
      <c r="D2" s="45"/>
      <c r="E2" s="169"/>
    </row>
    <row r="3" spans="2:5" ht="15.75">
      <c r="B3" s="249" t="s">
        <v>175</v>
      </c>
      <c r="C3" s="286"/>
      <c r="D3" s="286"/>
      <c r="E3" s="286"/>
    </row>
    <row r="4" spans="2:5" ht="15.75">
      <c r="B4" s="50" t="s">
        <v>104</v>
      </c>
      <c r="C4" s="567" t="s">
        <v>126</v>
      </c>
      <c r="D4" s="566" t="s">
        <v>247</v>
      </c>
      <c r="E4" s="566" t="s">
        <v>248</v>
      </c>
    </row>
    <row r="5" spans="2:5" ht="15.75">
      <c r="B5" s="516" t="str">
        <f>(inputPrYr!B34)</f>
        <v>Special Highway</v>
      </c>
      <c r="C5" s="251">
        <f>E1-2</f>
        <v>2010</v>
      </c>
      <c r="D5" s="251">
        <f>E1-1</f>
        <v>2011</v>
      </c>
      <c r="E5" s="251">
        <f>E1</f>
        <v>2012</v>
      </c>
    </row>
    <row r="6" spans="2:5" ht="15.75">
      <c r="B6" s="252" t="s">
        <v>229</v>
      </c>
      <c r="C6" s="65">
        <v>9625</v>
      </c>
      <c r="D6" s="228">
        <f>C31</f>
        <v>50940</v>
      </c>
      <c r="E6" s="228">
        <f>D31</f>
        <v>99480</v>
      </c>
    </row>
    <row r="7" spans="2:5" ht="15.75">
      <c r="B7" s="255" t="s">
        <v>231</v>
      </c>
      <c r="C7" s="85"/>
      <c r="D7" s="85"/>
      <c r="E7" s="85"/>
    </row>
    <row r="8" spans="2:5" ht="15.75">
      <c r="B8" s="273" t="s">
        <v>209</v>
      </c>
      <c r="C8" s="65">
        <v>47668</v>
      </c>
      <c r="D8" s="287">
        <f>inputOth!E53</f>
        <v>47430</v>
      </c>
      <c r="E8" s="228">
        <f>inputOth!E51</f>
        <v>46890</v>
      </c>
    </row>
    <row r="9" spans="2:5" ht="15.75">
      <c r="B9" s="288" t="s">
        <v>266</v>
      </c>
      <c r="C9" s="65">
        <v>22412</v>
      </c>
      <c r="D9" s="287">
        <f>inputOth!E54</f>
        <v>22110</v>
      </c>
      <c r="E9" s="287">
        <f>inputOth!E52</f>
        <v>21560</v>
      </c>
    </row>
    <row r="10" spans="2:5" ht="15.75">
      <c r="B10" s="272"/>
      <c r="C10" s="65"/>
      <c r="D10" s="65"/>
      <c r="E10" s="65"/>
    </row>
    <row r="11" spans="2:5" ht="15.75">
      <c r="B11" s="272"/>
      <c r="C11" s="65"/>
      <c r="D11" s="65"/>
      <c r="E11" s="65"/>
    </row>
    <row r="12" spans="2:5" ht="15.75">
      <c r="B12" s="272"/>
      <c r="C12" s="65"/>
      <c r="D12" s="65"/>
      <c r="E12" s="65"/>
    </row>
    <row r="13" spans="2:5" ht="15.75">
      <c r="B13" s="272"/>
      <c r="C13" s="65"/>
      <c r="D13" s="65"/>
      <c r="E13" s="65"/>
    </row>
    <row r="14" spans="2:5" ht="15.75">
      <c r="B14" s="260" t="s">
        <v>112</v>
      </c>
      <c r="C14" s="65"/>
      <c r="D14" s="65"/>
      <c r="E14" s="65"/>
    </row>
    <row r="15" spans="2:5" ht="15.75">
      <c r="B15" s="159" t="s">
        <v>17</v>
      </c>
      <c r="C15" s="65"/>
      <c r="D15" s="257"/>
      <c r="E15" s="257"/>
    </row>
    <row r="16" spans="2:5" ht="15.75">
      <c r="B16" s="252" t="s">
        <v>776</v>
      </c>
      <c r="C16" s="291">
        <f>IF(C17*0.1&lt;C15,"Exceed 10% Rule","")</f>
      </c>
      <c r="D16" s="262">
        <f>IF(D17*0.1&lt;D15,"Exceed 10% Rule","")</f>
      </c>
      <c r="E16" s="262">
        <f>IF(E17*0.1&lt;E15,"Exceed 10% Rule","")</f>
      </c>
    </row>
    <row r="17" spans="2:5" ht="15.75">
      <c r="B17" s="263" t="s">
        <v>113</v>
      </c>
      <c r="C17" s="266">
        <f>SUM(C8:C15)</f>
        <v>70080</v>
      </c>
      <c r="D17" s="266">
        <f>SUM(D8:D15)</f>
        <v>69540</v>
      </c>
      <c r="E17" s="266">
        <f>SUM(E8:E15)</f>
        <v>68450</v>
      </c>
    </row>
    <row r="18" spans="2:5" ht="15.75">
      <c r="B18" s="263" t="s">
        <v>114</v>
      </c>
      <c r="C18" s="266">
        <f>C6+C17</f>
        <v>79705</v>
      </c>
      <c r="D18" s="266">
        <f>D6+D17</f>
        <v>120480</v>
      </c>
      <c r="E18" s="266">
        <f>E6+E17</f>
        <v>167930</v>
      </c>
    </row>
    <row r="19" spans="2:5" ht="15.75">
      <c r="B19" s="150" t="s">
        <v>116</v>
      </c>
      <c r="C19" s="228"/>
      <c r="D19" s="228"/>
      <c r="E19" s="228"/>
    </row>
    <row r="20" spans="2:5" ht="15.75">
      <c r="B20" s="272" t="s">
        <v>898</v>
      </c>
      <c r="C20" s="65">
        <v>19</v>
      </c>
      <c r="D20" s="65">
        <v>1000</v>
      </c>
      <c r="E20" s="65">
        <v>15000</v>
      </c>
    </row>
    <row r="21" spans="2:5" ht="15.75">
      <c r="B21" s="272" t="s">
        <v>869</v>
      </c>
      <c r="C21" s="65">
        <v>25746</v>
      </c>
      <c r="D21" s="65">
        <v>10000</v>
      </c>
      <c r="E21" s="65">
        <v>35000</v>
      </c>
    </row>
    <row r="22" spans="2:5" ht="15.75">
      <c r="B22" s="272" t="s">
        <v>861</v>
      </c>
      <c r="C22" s="65">
        <v>3000</v>
      </c>
      <c r="D22" s="65">
        <v>10000</v>
      </c>
      <c r="E22" s="65">
        <v>90000</v>
      </c>
    </row>
    <row r="23" spans="2:5" ht="15.75">
      <c r="B23" s="272"/>
      <c r="C23" s="65"/>
      <c r="D23" s="65"/>
      <c r="E23" s="65"/>
    </row>
    <row r="24" spans="2:5" ht="15.75">
      <c r="B24" s="272"/>
      <c r="C24" s="65"/>
      <c r="D24" s="65"/>
      <c r="E24" s="65"/>
    </row>
    <row r="25" spans="2:5" ht="15.75">
      <c r="B25" s="272"/>
      <c r="C25" s="65"/>
      <c r="D25" s="65"/>
      <c r="E25" s="65"/>
    </row>
    <row r="26" spans="2:5" ht="15.75">
      <c r="B26" s="272"/>
      <c r="C26" s="65"/>
      <c r="D26" s="65"/>
      <c r="E26" s="65"/>
    </row>
    <row r="27" spans="2:5" ht="15.75">
      <c r="B27" s="272"/>
      <c r="C27" s="65"/>
      <c r="D27" s="65"/>
      <c r="E27" s="65"/>
    </row>
    <row r="28" spans="2:5" ht="15.75">
      <c r="B28" s="273" t="s">
        <v>17</v>
      </c>
      <c r="C28" s="65"/>
      <c r="D28" s="257"/>
      <c r="E28" s="257"/>
    </row>
    <row r="29" spans="2:5" ht="15.75">
      <c r="B29" s="273" t="s">
        <v>777</v>
      </c>
      <c r="C29" s="291">
        <f>IF(C30*0.1&lt;C28,"Exceed 10% Rule","")</f>
      </c>
      <c r="D29" s="262">
        <f>IF(D30*0.1&lt;D28,"Exceed 10% Rule","")</f>
      </c>
      <c r="E29" s="262">
        <f>IF(E30*0.1&lt;E28,"Exceed 10% Rule","")</f>
      </c>
    </row>
    <row r="30" spans="2:5" ht="15.75">
      <c r="B30" s="263" t="s">
        <v>120</v>
      </c>
      <c r="C30" s="266">
        <f>SUM(C20:C28)</f>
        <v>28765</v>
      </c>
      <c r="D30" s="266">
        <f>SUM(D20:D28)</f>
        <v>21000</v>
      </c>
      <c r="E30" s="266">
        <f>SUM(E20:E28)</f>
        <v>140000</v>
      </c>
    </row>
    <row r="31" spans="2:5" ht="15.75">
      <c r="B31" s="150" t="s">
        <v>230</v>
      </c>
      <c r="C31" s="80">
        <f>C18-C30</f>
        <v>50940</v>
      </c>
      <c r="D31" s="80">
        <f>D18-D30</f>
        <v>99480</v>
      </c>
      <c r="E31" s="80">
        <f>E18-E30</f>
        <v>27930</v>
      </c>
    </row>
    <row r="32" spans="2:5" ht="15.75">
      <c r="B32" s="136" t="str">
        <f>CONCATENATE("",E1-2,"/",E1-1," Budget Authority Amount:")</f>
        <v>2010/2011 Budget Authority Amount:</v>
      </c>
      <c r="C32" s="241">
        <f>inputOth!B74</f>
        <v>65000</v>
      </c>
      <c r="D32" s="241">
        <f>inputPrYr!D34</f>
        <v>75000</v>
      </c>
      <c r="E32" s="349">
        <f>IF(E31&lt;0,"See Tab E","")</f>
      </c>
    </row>
    <row r="33" spans="2:5" ht="15.75">
      <c r="B33" s="136"/>
      <c r="C33" s="276">
        <f>IF(C30&gt;C32,"See Tab A","")</f>
      </c>
      <c r="D33" s="276">
        <f>IF(D30&gt;D32,"See Tab C","")</f>
      </c>
      <c r="E33" s="95"/>
    </row>
    <row r="34" spans="2:5" ht="15.75">
      <c r="B34" s="136"/>
      <c r="C34" s="276">
        <f>IF(C31&lt;0,"See Tab B","")</f>
      </c>
      <c r="D34" s="276">
        <f>IF(D31&lt;0,"See Tab D","")</f>
      </c>
      <c r="E34" s="95"/>
    </row>
    <row r="35" spans="2:5" ht="15.75">
      <c r="B35" s="45"/>
      <c r="C35" s="95"/>
      <c r="D35" s="95"/>
      <c r="E35" s="95"/>
    </row>
    <row r="36" spans="2:5" ht="15.75">
      <c r="B36" s="50"/>
      <c r="C36" s="289"/>
      <c r="D36" s="289"/>
      <c r="E36" s="289"/>
    </row>
    <row r="37" spans="2:5" ht="15.75">
      <c r="B37" s="45"/>
      <c r="C37" s="567"/>
      <c r="D37" s="566"/>
      <c r="E37" s="566"/>
    </row>
    <row r="38" spans="2:5" ht="15.75">
      <c r="B38" s="516"/>
      <c r="C38" s="251"/>
      <c r="D38" s="251"/>
      <c r="E38" s="251"/>
    </row>
    <row r="39" spans="2:5" ht="15.75">
      <c r="B39" s="252"/>
      <c r="C39" s="65"/>
      <c r="D39" s="228"/>
      <c r="E39" s="228"/>
    </row>
    <row r="40" spans="2:5" ht="15.75">
      <c r="B40" s="255"/>
      <c r="C40" s="85"/>
      <c r="D40" s="85"/>
      <c r="E40" s="85"/>
    </row>
    <row r="41" spans="2:5" ht="15.75">
      <c r="B41" s="260"/>
      <c r="C41" s="65"/>
      <c r="D41" s="65"/>
      <c r="E41" s="65"/>
    </row>
    <row r="42" spans="2:5" ht="15.75">
      <c r="B42" s="159"/>
      <c r="C42" s="65"/>
      <c r="D42" s="257"/>
      <c r="E42" s="257"/>
    </row>
    <row r="43" spans="2:5" ht="15.75">
      <c r="B43" s="252"/>
      <c r="C43" s="291"/>
      <c r="D43" s="262"/>
      <c r="E43" s="262"/>
    </row>
    <row r="44" spans="2:5" ht="15.75">
      <c r="B44" s="263"/>
      <c r="C44" s="266"/>
      <c r="D44" s="266"/>
      <c r="E44" s="266"/>
    </row>
    <row r="45" spans="2:5" ht="15.75">
      <c r="B45" s="263"/>
      <c r="C45" s="266"/>
      <c r="D45" s="266"/>
      <c r="E45" s="266"/>
    </row>
    <row r="46" spans="2:5" ht="15.75">
      <c r="B46" s="150"/>
      <c r="C46" s="228"/>
      <c r="D46" s="228"/>
      <c r="E46" s="228"/>
    </row>
    <row r="47" spans="2:5" ht="15.75">
      <c r="B47" s="272"/>
      <c r="C47" s="65"/>
      <c r="D47" s="65"/>
      <c r="E47" s="65"/>
    </row>
    <row r="48" spans="2:5" ht="15.75">
      <c r="B48" s="273"/>
      <c r="C48" s="65"/>
      <c r="D48" s="257"/>
      <c r="E48" s="257"/>
    </row>
    <row r="49" spans="2:5" ht="15.75">
      <c r="B49" s="273"/>
      <c r="C49" s="291"/>
      <c r="D49" s="262"/>
      <c r="E49" s="262"/>
    </row>
    <row r="50" spans="2:5" ht="15.75">
      <c r="B50" s="263"/>
      <c r="C50" s="266"/>
      <c r="D50" s="266"/>
      <c r="E50" s="266"/>
    </row>
    <row r="51" spans="2:5" ht="15.75">
      <c r="B51" s="150"/>
      <c r="C51" s="80"/>
      <c r="D51" s="80"/>
      <c r="E51" s="80"/>
    </row>
    <row r="52" spans="2:5" ht="15.75">
      <c r="B52" s="136"/>
      <c r="C52" s="241"/>
      <c r="D52" s="241"/>
      <c r="E52" s="349"/>
    </row>
    <row r="53" spans="2:5" ht="15.75">
      <c r="B53" s="136"/>
      <c r="C53" s="276"/>
      <c r="D53" s="276"/>
      <c r="E53" s="45"/>
    </row>
    <row r="54" spans="2:5" ht="15.75">
      <c r="B54" s="136"/>
      <c r="C54" s="276">
        <f>IF(C51&lt;0,"See Tab B","")</f>
      </c>
      <c r="D54" s="276">
        <f>IF(D51&lt;0,"See Tab D","")</f>
      </c>
      <c r="E54" s="45"/>
    </row>
    <row r="55" spans="2:5" ht="15.75">
      <c r="B55" s="45"/>
      <c r="C55" s="45"/>
      <c r="D55" s="45"/>
      <c r="E55" s="45"/>
    </row>
    <row r="56" spans="2:5" ht="15.75">
      <c r="B56" s="373" t="s">
        <v>123</v>
      </c>
      <c r="C56" s="281">
        <v>9</v>
      </c>
      <c r="D56" s="45"/>
      <c r="E56" s="45"/>
    </row>
  </sheetData>
  <sheetProtection/>
  <conditionalFormatting sqref="C15">
    <cfRule type="cellIs" priority="3" dxfId="129" operator="greaterThan" stopIfTrue="1">
      <formula>$C$17*0.1</formula>
    </cfRule>
  </conditionalFormatting>
  <conditionalFormatting sqref="D15">
    <cfRule type="cellIs" priority="4" dxfId="129" operator="greaterThan" stopIfTrue="1">
      <formula>$D$17*0.1</formula>
    </cfRule>
  </conditionalFormatting>
  <conditionalFormatting sqref="E15">
    <cfRule type="cellIs" priority="5" dxfId="129" operator="greaterThan" stopIfTrue="1">
      <formula>$E$17*0.1</formula>
    </cfRule>
  </conditionalFormatting>
  <conditionalFormatting sqref="C28">
    <cfRule type="cellIs" priority="6" dxfId="129" operator="greaterThan" stopIfTrue="1">
      <formula>$C$30*0.1</formula>
    </cfRule>
  </conditionalFormatting>
  <conditionalFormatting sqref="D28">
    <cfRule type="cellIs" priority="7" dxfId="129" operator="greaterThan" stopIfTrue="1">
      <formula>$D$30*0.1</formula>
    </cfRule>
  </conditionalFormatting>
  <conditionalFormatting sqref="E28">
    <cfRule type="cellIs" priority="8" dxfId="129" operator="greaterThan" stopIfTrue="1">
      <formula>$E$30*0.1</formula>
    </cfRule>
  </conditionalFormatting>
  <conditionalFormatting sqref="C42">
    <cfRule type="cellIs" priority="9" dxfId="129" operator="greaterThan" stopIfTrue="1">
      <formula>$C$44*0.1</formula>
    </cfRule>
  </conditionalFormatting>
  <conditionalFormatting sqref="D42">
    <cfRule type="cellIs" priority="10" dxfId="129" operator="greaterThan" stopIfTrue="1">
      <formula>$D$44*0.1</formula>
    </cfRule>
  </conditionalFormatting>
  <conditionalFormatting sqref="E42">
    <cfRule type="cellIs" priority="11" dxfId="129" operator="greaterThan" stopIfTrue="1">
      <formula>$E$44*0.1</formula>
    </cfRule>
  </conditionalFormatting>
  <conditionalFormatting sqref="C48">
    <cfRule type="cellIs" priority="12" dxfId="129" operator="greaterThan" stopIfTrue="1">
      <formula>$C$50*0.1</formula>
    </cfRule>
  </conditionalFormatting>
  <conditionalFormatting sqref="D48">
    <cfRule type="cellIs" priority="13" dxfId="129" operator="greaterThan" stopIfTrue="1">
      <formula>$D$50*0.1</formula>
    </cfRule>
  </conditionalFormatting>
  <conditionalFormatting sqref="E48">
    <cfRule type="cellIs" priority="14" dxfId="129" operator="greaterThan" stopIfTrue="1">
      <formula>$E$50*0.1</formula>
    </cfRule>
  </conditionalFormatting>
  <conditionalFormatting sqref="D50">
    <cfRule type="cellIs" priority="15" dxfId="1" operator="greaterThan" stopIfTrue="1">
      <formula>$D$52</formula>
    </cfRule>
  </conditionalFormatting>
  <conditionalFormatting sqref="C50">
    <cfRule type="cellIs" priority="16" dxfId="1" operator="greaterThan" stopIfTrue="1">
      <formula>$C$52</formula>
    </cfRule>
  </conditionalFormatting>
  <conditionalFormatting sqref="C51 E51 C31 E31">
    <cfRule type="cellIs" priority="17" dxfId="1" operator="lessThan" stopIfTrue="1">
      <formula>0</formula>
    </cfRule>
  </conditionalFormatting>
  <conditionalFormatting sqref="D30">
    <cfRule type="cellIs" priority="18" dxfId="1" operator="greaterThan" stopIfTrue="1">
      <formula>$D$32</formula>
    </cfRule>
  </conditionalFormatting>
  <conditionalFormatting sqref="C30">
    <cfRule type="cellIs" priority="19" dxfId="1" operator="greaterThan" stopIfTrue="1">
      <formula>$C$32</formula>
    </cfRule>
  </conditionalFormatting>
  <conditionalFormatting sqref="D31">
    <cfRule type="cellIs" priority="2" dxfId="0" operator="lessThan" stopIfTrue="1">
      <formula>0</formula>
    </cfRule>
  </conditionalFormatting>
  <conditionalFormatting sqref="D5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8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E9" sqref="E9"/>
    </sheetView>
  </sheetViews>
  <sheetFormatPr defaultColWidth="8.796875" defaultRowHeight="15"/>
  <cols>
    <col min="1" max="1" width="2.3984375" style="43" customWidth="1"/>
    <col min="2" max="2" width="31.09765625" style="43" customWidth="1"/>
    <col min="3" max="4" width="15.796875" style="43" customWidth="1"/>
    <col min="5" max="5" width="16.296875" style="43" customWidth="1"/>
    <col min="6" max="16384" width="8.8984375" style="43" customWidth="1"/>
  </cols>
  <sheetData>
    <row r="1" spans="2:5" ht="15.75">
      <c r="B1" s="198" t="str">
        <f>(inputPrYr!D2)</f>
        <v>City of Kechi </v>
      </c>
      <c r="C1" s="45"/>
      <c r="D1" s="45"/>
      <c r="E1" s="248">
        <f>inputPrYr!C5</f>
        <v>2012</v>
      </c>
    </row>
    <row r="2" spans="2:5" ht="15.75">
      <c r="B2" s="45"/>
      <c r="C2" s="45"/>
      <c r="D2" s="45"/>
      <c r="E2" s="169"/>
    </row>
    <row r="3" spans="2:5" ht="15.75">
      <c r="B3" s="249" t="s">
        <v>175</v>
      </c>
      <c r="C3" s="286"/>
      <c r="D3" s="286"/>
      <c r="E3" s="286"/>
    </row>
    <row r="4" spans="2:5" ht="15.75">
      <c r="B4" s="50" t="s">
        <v>104</v>
      </c>
      <c r="C4" s="567" t="s">
        <v>265</v>
      </c>
      <c r="D4" s="566" t="s">
        <v>247</v>
      </c>
      <c r="E4" s="566" t="s">
        <v>248</v>
      </c>
    </row>
    <row r="5" spans="2:5" ht="15.75">
      <c r="B5" s="516" t="str">
        <f>(inputPrYr!B36)</f>
        <v>Water</v>
      </c>
      <c r="C5" s="251">
        <f>E1-2</f>
        <v>2010</v>
      </c>
      <c r="D5" s="251">
        <f>E1-1</f>
        <v>2011</v>
      </c>
      <c r="E5" s="251">
        <f>E1</f>
        <v>2012</v>
      </c>
    </row>
    <row r="6" spans="2:5" ht="15.75">
      <c r="B6" s="252" t="s">
        <v>229</v>
      </c>
      <c r="C6" s="65">
        <v>10638</v>
      </c>
      <c r="D6" s="228">
        <f>C36</f>
        <v>109735</v>
      </c>
      <c r="E6" s="228">
        <f>D36</f>
        <v>143235</v>
      </c>
    </row>
    <row r="7" spans="2:5" ht="15.75">
      <c r="B7" s="255" t="s">
        <v>231</v>
      </c>
      <c r="C7" s="85"/>
      <c r="D7" s="85"/>
      <c r="E7" s="85"/>
    </row>
    <row r="8" spans="2:5" ht="15.75">
      <c r="B8" s="272" t="s">
        <v>899</v>
      </c>
      <c r="C8" s="65">
        <v>346938</v>
      </c>
      <c r="D8" s="65">
        <v>345000</v>
      </c>
      <c r="E8" s="65">
        <v>350000</v>
      </c>
    </row>
    <row r="9" spans="2:5" ht="15.75">
      <c r="B9" s="272" t="s">
        <v>900</v>
      </c>
      <c r="C9" s="65">
        <v>3058</v>
      </c>
      <c r="D9" s="65">
        <v>3500</v>
      </c>
      <c r="E9" s="65">
        <v>3500</v>
      </c>
    </row>
    <row r="10" spans="2:5" ht="15.75">
      <c r="B10" s="272" t="s">
        <v>158</v>
      </c>
      <c r="C10" s="65">
        <v>3212</v>
      </c>
      <c r="D10" s="65"/>
      <c r="E10" s="65"/>
    </row>
    <row r="11" spans="2:5" ht="15.75">
      <c r="B11" s="272"/>
      <c r="C11" s="65"/>
      <c r="D11" s="65"/>
      <c r="E11" s="65"/>
    </row>
    <row r="12" spans="2:5" ht="15.75">
      <c r="B12" s="260" t="s">
        <v>112</v>
      </c>
      <c r="C12" s="65"/>
      <c r="D12" s="65"/>
      <c r="E12" s="65"/>
    </row>
    <row r="13" spans="2:5" ht="15.75">
      <c r="B13" s="159" t="s">
        <v>17</v>
      </c>
      <c r="C13" s="65"/>
      <c r="D13" s="257"/>
      <c r="E13" s="257"/>
    </row>
    <row r="14" spans="2:5" ht="15.75">
      <c r="B14" s="252" t="s">
        <v>776</v>
      </c>
      <c r="C14" s="291">
        <f>IF(C15*0.1&lt;C13,"Exceed 10% Rule","")</f>
      </c>
      <c r="D14" s="262">
        <f>IF(D15*0.1&lt;D13,"Exceed 10% Rule","")</f>
      </c>
      <c r="E14" s="262">
        <f>IF(E15*0.1&lt;E13,"Exceed 10% Rule","")</f>
      </c>
    </row>
    <row r="15" spans="2:5" ht="15.75">
      <c r="B15" s="263" t="s">
        <v>113</v>
      </c>
      <c r="C15" s="266">
        <f>SUM(C8:C13)</f>
        <v>353208</v>
      </c>
      <c r="D15" s="266">
        <f>SUM(D8:D13)</f>
        <v>348500</v>
      </c>
      <c r="E15" s="266">
        <f>SUM(E8:E13)</f>
        <v>353500</v>
      </c>
    </row>
    <row r="16" spans="2:5" ht="15.75">
      <c r="B16" s="263" t="s">
        <v>114</v>
      </c>
      <c r="C16" s="266">
        <f>C6+C15</f>
        <v>363846</v>
      </c>
      <c r="D16" s="266">
        <f>D6+D15</f>
        <v>458235</v>
      </c>
      <c r="E16" s="266">
        <f>E6+E15</f>
        <v>496735</v>
      </c>
    </row>
    <row r="17" spans="2:5" ht="15.75">
      <c r="B17" s="150" t="s">
        <v>116</v>
      </c>
      <c r="C17" s="228"/>
      <c r="D17" s="228"/>
      <c r="E17" s="228"/>
    </row>
    <row r="18" spans="2:5" ht="15.75">
      <c r="B18" s="3" t="s">
        <v>857</v>
      </c>
      <c r="C18" s="65">
        <v>81099</v>
      </c>
      <c r="D18" s="65">
        <v>90000</v>
      </c>
      <c r="E18" s="65">
        <v>95000</v>
      </c>
    </row>
    <row r="19" spans="2:5" ht="15.75">
      <c r="B19" s="3" t="s">
        <v>866</v>
      </c>
      <c r="C19" s="65"/>
      <c r="D19" s="65">
        <v>5000</v>
      </c>
      <c r="E19" s="65">
        <v>6000</v>
      </c>
    </row>
    <row r="20" spans="2:5" ht="15.75">
      <c r="B20" s="3" t="s">
        <v>934</v>
      </c>
      <c r="C20" s="65"/>
      <c r="D20" s="65"/>
      <c r="E20" s="65">
        <v>7000</v>
      </c>
    </row>
    <row r="21" spans="2:5" ht="15.75">
      <c r="B21" s="3" t="s">
        <v>901</v>
      </c>
      <c r="C21" s="65">
        <v>101180</v>
      </c>
      <c r="D21" s="65">
        <v>120000</v>
      </c>
      <c r="E21" s="65">
        <v>115000</v>
      </c>
    </row>
    <row r="22" spans="2:5" ht="15.75">
      <c r="B22" s="632" t="s">
        <v>117</v>
      </c>
      <c r="C22" s="65">
        <v>10209</v>
      </c>
      <c r="D22" s="65">
        <v>20000</v>
      </c>
      <c r="E22" s="65">
        <v>25000</v>
      </c>
    </row>
    <row r="23" spans="2:5" ht="15.75">
      <c r="B23" s="632" t="s">
        <v>118</v>
      </c>
      <c r="C23" s="65">
        <v>14791</v>
      </c>
      <c r="D23" s="65">
        <v>20000</v>
      </c>
      <c r="E23" s="65">
        <v>25000</v>
      </c>
    </row>
    <row r="24" spans="2:5" ht="15.75">
      <c r="B24" s="632" t="s">
        <v>119</v>
      </c>
      <c r="C24" s="65">
        <v>543</v>
      </c>
      <c r="D24" s="65">
        <v>20000</v>
      </c>
      <c r="E24" s="65">
        <v>10000</v>
      </c>
    </row>
    <row r="25" spans="2:5" ht="15.75">
      <c r="B25" s="632" t="s">
        <v>902</v>
      </c>
      <c r="C25" s="65">
        <v>26289</v>
      </c>
      <c r="D25" s="65">
        <v>25000</v>
      </c>
      <c r="E25" s="65">
        <v>25000</v>
      </c>
    </row>
    <row r="26" spans="2:5" ht="15.75">
      <c r="B26" s="3" t="s">
        <v>903</v>
      </c>
      <c r="C26" s="65">
        <v>20000</v>
      </c>
      <c r="D26" s="65"/>
      <c r="E26" s="65"/>
    </row>
    <row r="27" spans="2:5" ht="15.75">
      <c r="B27" s="3" t="s">
        <v>904</v>
      </c>
      <c r="C27" s="65"/>
      <c r="D27" s="65"/>
      <c r="E27" s="65">
        <v>15000</v>
      </c>
    </row>
    <row r="28" spans="2:5" ht="15.75">
      <c r="B28" s="3" t="s">
        <v>905</v>
      </c>
      <c r="C28" s="65"/>
      <c r="D28" s="65"/>
      <c r="E28" s="65">
        <v>10000</v>
      </c>
    </row>
    <row r="29" spans="2:5" ht="15.75">
      <c r="B29" s="3" t="s">
        <v>906</v>
      </c>
      <c r="C29" s="65"/>
      <c r="D29" s="65">
        <v>15000</v>
      </c>
      <c r="E29" s="65">
        <v>70000</v>
      </c>
    </row>
    <row r="30" spans="2:5" ht="15.75">
      <c r="B30" s="3" t="s">
        <v>907</v>
      </c>
      <c r="C30" s="65"/>
      <c r="D30" s="65"/>
      <c r="E30" s="65"/>
    </row>
    <row r="31" spans="2:5" ht="15.75">
      <c r="B31" s="272"/>
      <c r="C31" s="65"/>
      <c r="D31" s="65"/>
      <c r="E31" s="65"/>
    </row>
    <row r="32" spans="2:5" ht="15.75">
      <c r="B32" s="272"/>
      <c r="C32" s="65"/>
      <c r="D32" s="65"/>
      <c r="E32" s="65"/>
    </row>
    <row r="33" spans="2:5" ht="15.75">
      <c r="B33" s="273" t="s">
        <v>17</v>
      </c>
      <c r="C33" s="65"/>
      <c r="D33" s="257"/>
      <c r="E33" s="257"/>
    </row>
    <row r="34" spans="2:5" ht="15.75">
      <c r="B34" s="273" t="s">
        <v>777</v>
      </c>
      <c r="C34" s="291">
        <f>IF(C35*0.1&lt;C33,"Exceed 10% Rule","")</f>
      </c>
      <c r="D34" s="262">
        <f>IF(D35*0.1&lt;D33,"Exceed 10% Rule","")</f>
      </c>
      <c r="E34" s="262">
        <f>IF(E35*0.1&lt;E33,"Exceed 10% Rule","")</f>
      </c>
    </row>
    <row r="35" spans="2:5" ht="15.75">
      <c r="B35" s="263" t="s">
        <v>120</v>
      </c>
      <c r="C35" s="266">
        <f>SUM(C18:C33)</f>
        <v>254111</v>
      </c>
      <c r="D35" s="266">
        <f>SUM(D18:D33)</f>
        <v>315000</v>
      </c>
      <c r="E35" s="266">
        <f>SUM(E18:E33)</f>
        <v>403000</v>
      </c>
    </row>
    <row r="36" spans="2:5" ht="15.75">
      <c r="B36" s="150" t="s">
        <v>230</v>
      </c>
      <c r="C36" s="80">
        <f>C16-C35</f>
        <v>109735</v>
      </c>
      <c r="D36" s="80">
        <f>D16-D35</f>
        <v>143235</v>
      </c>
      <c r="E36" s="80">
        <f>E16-E35</f>
        <v>93735</v>
      </c>
    </row>
    <row r="37" spans="2:5" ht="15.75">
      <c r="B37" s="136" t="str">
        <f>CONCATENATE("",E1-2,"/",E1-1," Budget Authority Amount:")</f>
        <v>2010/2011 Budget Authority Amount:</v>
      </c>
      <c r="C37" s="241">
        <f>inputOth!B76</f>
        <v>302000</v>
      </c>
      <c r="D37" s="241">
        <f>inputPrYr!D36</f>
        <v>340000</v>
      </c>
      <c r="E37" s="349">
        <f>IF(E36&lt;0,"See Tab E","")</f>
      </c>
    </row>
    <row r="38" spans="2:5" ht="15.75">
      <c r="B38" s="136"/>
      <c r="C38" s="276">
        <f>IF(C35&gt;C37,"See Tab A","")</f>
      </c>
      <c r="D38" s="276">
        <f>IF(D35&gt;D37,"See Tab C","")</f>
      </c>
      <c r="E38" s="95"/>
    </row>
    <row r="39" spans="2:5" ht="15.75">
      <c r="B39" s="136"/>
      <c r="C39" s="276">
        <f>IF(C36&lt;0,"See Tab B","")</f>
      </c>
      <c r="D39" s="276">
        <f>IF(D36&lt;0,"See Tab D","")</f>
      </c>
      <c r="E39" s="95"/>
    </row>
    <row r="40" spans="2:5" ht="15.75">
      <c r="B40" s="45"/>
      <c r="C40" s="95"/>
      <c r="D40" s="95"/>
      <c r="E40" s="95"/>
    </row>
    <row r="41" spans="2:5" ht="15.75">
      <c r="B41" s="50" t="s">
        <v>104</v>
      </c>
      <c r="C41" s="289"/>
      <c r="D41" s="289"/>
      <c r="E41" s="289"/>
    </row>
    <row r="42" spans="2:5" ht="15.75">
      <c r="B42" s="45"/>
      <c r="C42" s="567" t="s">
        <v>126</v>
      </c>
      <c r="D42" s="566" t="s">
        <v>247</v>
      </c>
      <c r="E42" s="566" t="s">
        <v>248</v>
      </c>
    </row>
    <row r="43" spans="2:5" ht="15.75">
      <c r="B43" s="516" t="str">
        <f>(inputPrYr!B37)</f>
        <v>Water Reserve</v>
      </c>
      <c r="C43" s="251">
        <f>C5</f>
        <v>2010</v>
      </c>
      <c r="D43" s="251">
        <f>D5</f>
        <v>2011</v>
      </c>
      <c r="E43" s="251">
        <f>E5</f>
        <v>2012</v>
      </c>
    </row>
    <row r="44" spans="2:5" ht="15.75">
      <c r="B44" s="252" t="s">
        <v>229</v>
      </c>
      <c r="C44" s="65">
        <v>11369</v>
      </c>
      <c r="D44" s="228">
        <f>C62</f>
        <v>18869</v>
      </c>
      <c r="E44" s="228">
        <f>D62</f>
        <v>33869</v>
      </c>
    </row>
    <row r="45" spans="2:5" ht="15.75">
      <c r="B45" s="255" t="s">
        <v>231</v>
      </c>
      <c r="C45" s="85"/>
      <c r="D45" s="85"/>
      <c r="E45" s="85"/>
    </row>
    <row r="46" spans="2:5" ht="15.75">
      <c r="B46" s="272" t="s">
        <v>908</v>
      </c>
      <c r="C46" s="65">
        <v>7500</v>
      </c>
      <c r="D46" s="65">
        <v>15000</v>
      </c>
      <c r="E46" s="65">
        <v>70000</v>
      </c>
    </row>
    <row r="47" spans="2:5" ht="15.75">
      <c r="B47" s="272"/>
      <c r="C47" s="65"/>
      <c r="D47" s="65"/>
      <c r="E47" s="65"/>
    </row>
    <row r="48" spans="2:5" ht="15.75">
      <c r="B48" s="272"/>
      <c r="C48" s="65"/>
      <c r="D48" s="65"/>
      <c r="E48" s="65"/>
    </row>
    <row r="49" spans="2:5" ht="15.75">
      <c r="B49" s="272"/>
      <c r="C49" s="65"/>
      <c r="D49" s="65"/>
      <c r="E49" s="65"/>
    </row>
    <row r="50" spans="2:5" ht="15.75">
      <c r="B50" s="260" t="s">
        <v>112</v>
      </c>
      <c r="C50" s="65"/>
      <c r="D50" s="65"/>
      <c r="E50" s="65"/>
    </row>
    <row r="51" spans="2:5" ht="15.75">
      <c r="B51" s="159" t="s">
        <v>17</v>
      </c>
      <c r="C51" s="65"/>
      <c r="D51" s="257"/>
      <c r="E51" s="257"/>
    </row>
    <row r="52" spans="2:5" ht="15.75">
      <c r="B52" s="252" t="s">
        <v>776</v>
      </c>
      <c r="C52" s="291">
        <f>IF(C53*0.1&lt;C51,"Exceed 10% Rule","")</f>
      </c>
      <c r="D52" s="262">
        <f>IF(D53*0.1&lt;D51,"Exceed 10% Rule","")</f>
      </c>
      <c r="E52" s="262">
        <f>IF(E53*0.1&lt;E51,"Exceed 10% Rule","")</f>
      </c>
    </row>
    <row r="53" spans="2:5" ht="15.75">
      <c r="B53" s="263" t="s">
        <v>113</v>
      </c>
      <c r="C53" s="266">
        <f>SUM(C46:C51)</f>
        <v>7500</v>
      </c>
      <c r="D53" s="266">
        <f>SUM(D46:D51)</f>
        <v>15000</v>
      </c>
      <c r="E53" s="266">
        <f>SUM(E46:E51)</f>
        <v>70000</v>
      </c>
    </row>
    <row r="54" spans="2:5" ht="15.75">
      <c r="B54" s="263" t="s">
        <v>114</v>
      </c>
      <c r="C54" s="266">
        <f>C44+C53</f>
        <v>18869</v>
      </c>
      <c r="D54" s="266">
        <f>D44+D53</f>
        <v>33869</v>
      </c>
      <c r="E54" s="266">
        <f>E44+E53</f>
        <v>103869</v>
      </c>
    </row>
    <row r="55" spans="2:5" ht="15.75">
      <c r="B55" s="150" t="s">
        <v>116</v>
      </c>
      <c r="C55" s="228"/>
      <c r="D55" s="228"/>
      <c r="E55" s="228"/>
    </row>
    <row r="56" spans="2:5" ht="15.75">
      <c r="B56" s="272"/>
      <c r="C56" s="65"/>
      <c r="D56" s="65"/>
      <c r="E56" s="65"/>
    </row>
    <row r="57" spans="2:5" ht="15.75">
      <c r="B57" s="272" t="s">
        <v>861</v>
      </c>
      <c r="C57" s="65"/>
      <c r="D57" s="65"/>
      <c r="E57" s="65">
        <v>15000</v>
      </c>
    </row>
    <row r="58" spans="2:5" ht="15.75">
      <c r="B58" s="272"/>
      <c r="C58" s="65"/>
      <c r="D58" s="65"/>
      <c r="E58" s="65"/>
    </row>
    <row r="59" spans="2:5" ht="15.75">
      <c r="B59" s="273" t="s">
        <v>17</v>
      </c>
      <c r="C59" s="65"/>
      <c r="D59" s="257"/>
      <c r="E59" s="257"/>
    </row>
    <row r="60" spans="2:5" ht="15.75">
      <c r="B60" s="273" t="s">
        <v>777</v>
      </c>
      <c r="C60" s="291">
        <f>IF(C61*0.1&lt;C59,"Exceed 10% Rule","")</f>
      </c>
      <c r="D60" s="262">
        <f>IF(D61*0.1&lt;D59,"Exceed 10% Rule","")</f>
      </c>
      <c r="E60" s="262">
        <f>IF(E61*0.1&lt;E59,"Exceed 10% Rule","")</f>
      </c>
    </row>
    <row r="61" spans="2:5" ht="15.75">
      <c r="B61" s="263" t="s">
        <v>120</v>
      </c>
      <c r="C61" s="266">
        <f>SUM(C56:C59)</f>
        <v>0</v>
      </c>
      <c r="D61" s="266">
        <f>SUM(D56:D59)</f>
        <v>0</v>
      </c>
      <c r="E61" s="266">
        <f>SUM(E56:E59)</f>
        <v>15000</v>
      </c>
    </row>
    <row r="62" spans="2:5" ht="15.75">
      <c r="B62" s="150" t="s">
        <v>230</v>
      </c>
      <c r="C62" s="80">
        <f>C54-C61</f>
        <v>18869</v>
      </c>
      <c r="D62" s="80">
        <f>D54-D61</f>
        <v>33869</v>
      </c>
      <c r="E62" s="80">
        <f>E54-E61</f>
        <v>88869</v>
      </c>
    </row>
    <row r="63" spans="2:5" ht="15.75">
      <c r="B63" s="136" t="str">
        <f>CONCATENATE("",E1-2,"/",E1-1," Budget Authority Amount:")</f>
        <v>2010/2011 Budget Authority Amount:</v>
      </c>
      <c r="C63" s="241">
        <f>inputOth!B77</f>
        <v>0</v>
      </c>
      <c r="D63" s="241">
        <f>inputPrYr!D37</f>
        <v>20000</v>
      </c>
      <c r="E63" s="349">
        <f>IF(E62&lt;0,"See Tab E","")</f>
      </c>
    </row>
    <row r="64" spans="2:5" ht="15.75">
      <c r="B64" s="136"/>
      <c r="C64" s="276">
        <f>IF(C61&gt;C63,"See Tab A","")</f>
      </c>
      <c r="D64" s="276">
        <f>IF(D61&gt;D63,"See Tab C","")</f>
      </c>
      <c r="E64" s="45"/>
    </row>
    <row r="65" spans="2:5" ht="15.75">
      <c r="B65" s="136"/>
      <c r="C65" s="276">
        <f>IF(C62&lt;0,"See Tab B","")</f>
      </c>
      <c r="D65" s="276">
        <f>IF(D62&lt;0,"See Tab D","")</f>
      </c>
      <c r="E65" s="45"/>
    </row>
    <row r="66" spans="2:5" ht="15.75">
      <c r="B66" s="45"/>
      <c r="C66" s="45"/>
      <c r="D66" s="45"/>
      <c r="E66" s="45"/>
    </row>
    <row r="67" spans="2:5" ht="15.75">
      <c r="B67" s="373" t="s">
        <v>123</v>
      </c>
      <c r="C67" s="281">
        <v>10</v>
      </c>
      <c r="D67" s="45"/>
      <c r="E67" s="45"/>
    </row>
  </sheetData>
  <sheetProtection/>
  <conditionalFormatting sqref="C13">
    <cfRule type="cellIs" priority="3" dxfId="129" operator="greaterThan" stopIfTrue="1">
      <formula>$C$15*0.1</formula>
    </cfRule>
  </conditionalFormatting>
  <conditionalFormatting sqref="D13">
    <cfRule type="cellIs" priority="4" dxfId="129" operator="greaterThan" stopIfTrue="1">
      <formula>$D$15*0.1</formula>
    </cfRule>
  </conditionalFormatting>
  <conditionalFormatting sqref="E13">
    <cfRule type="cellIs" priority="5" dxfId="129" operator="greaterThan" stopIfTrue="1">
      <formula>$E$15*0.1</formula>
    </cfRule>
  </conditionalFormatting>
  <conditionalFormatting sqref="C33">
    <cfRule type="cellIs" priority="6" dxfId="129" operator="greaterThan" stopIfTrue="1">
      <formula>$C$35*0.1</formula>
    </cfRule>
  </conditionalFormatting>
  <conditionalFormatting sqref="D33">
    <cfRule type="cellIs" priority="7" dxfId="129" operator="greaterThan" stopIfTrue="1">
      <formula>$D$35*0.1</formula>
    </cfRule>
  </conditionalFormatting>
  <conditionalFormatting sqref="E33">
    <cfRule type="cellIs" priority="8" dxfId="129" operator="greaterThan" stopIfTrue="1">
      <formula>$E$35*0.1</formula>
    </cfRule>
  </conditionalFormatting>
  <conditionalFormatting sqref="C51">
    <cfRule type="cellIs" priority="9" dxfId="129" operator="greaterThan" stopIfTrue="1">
      <formula>$C$53*0.1</formula>
    </cfRule>
  </conditionalFormatting>
  <conditionalFormatting sqref="D51">
    <cfRule type="cellIs" priority="10" dxfId="129" operator="greaterThan" stopIfTrue="1">
      <formula>$D$53*0.1</formula>
    </cfRule>
  </conditionalFormatting>
  <conditionalFormatting sqref="E51">
    <cfRule type="cellIs" priority="11" dxfId="129" operator="greaterThan" stopIfTrue="1">
      <formula>$E$53*0.1</formula>
    </cfRule>
  </conditionalFormatting>
  <conditionalFormatting sqref="C59">
    <cfRule type="cellIs" priority="12" dxfId="129" operator="greaterThan" stopIfTrue="1">
      <formula>$C$61*0.1</formula>
    </cfRule>
  </conditionalFormatting>
  <conditionalFormatting sqref="D59">
    <cfRule type="cellIs" priority="13" dxfId="129" operator="greaterThan" stopIfTrue="1">
      <formula>$D$61*0.1</formula>
    </cfRule>
  </conditionalFormatting>
  <conditionalFormatting sqref="E59">
    <cfRule type="cellIs" priority="14" dxfId="129" operator="greaterThan" stopIfTrue="1">
      <formula>$E$61*0.1</formula>
    </cfRule>
  </conditionalFormatting>
  <conditionalFormatting sqref="D61">
    <cfRule type="cellIs" priority="15" dxfId="1" operator="greaterThan" stopIfTrue="1">
      <formula>$D$63</formula>
    </cfRule>
  </conditionalFormatting>
  <conditionalFormatting sqref="C61">
    <cfRule type="cellIs" priority="16" dxfId="1" operator="greaterThan" stopIfTrue="1">
      <formula>$C$63</formula>
    </cfRule>
  </conditionalFormatting>
  <conditionalFormatting sqref="C62 E62 C36 E36">
    <cfRule type="cellIs" priority="17" dxfId="1" operator="lessThan" stopIfTrue="1">
      <formula>0</formula>
    </cfRule>
  </conditionalFormatting>
  <conditionalFormatting sqref="D35">
    <cfRule type="cellIs" priority="18" dxfId="1" operator="greaterThan" stopIfTrue="1">
      <formula>$D$37</formula>
    </cfRule>
  </conditionalFormatting>
  <conditionalFormatting sqref="C35">
    <cfRule type="cellIs" priority="19" dxfId="1" operator="greaterThan" stopIfTrue="1">
      <formula>$C$37</formula>
    </cfRule>
  </conditionalFormatting>
  <conditionalFormatting sqref="D62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E31" sqref="E31"/>
    </sheetView>
  </sheetViews>
  <sheetFormatPr defaultColWidth="8.796875" defaultRowHeight="15"/>
  <cols>
    <col min="1" max="1" width="2.3984375" style="43" customWidth="1"/>
    <col min="2" max="2" width="31.09765625" style="43" customWidth="1"/>
    <col min="3" max="4" width="15.796875" style="43" customWidth="1"/>
    <col min="5" max="5" width="16.09765625" style="43" customWidth="1"/>
    <col min="6" max="16384" width="8.8984375" style="43" customWidth="1"/>
  </cols>
  <sheetData>
    <row r="1" spans="2:5" ht="15.75">
      <c r="B1" s="198" t="str">
        <f>(inputPrYr!D2)</f>
        <v>City of Kechi </v>
      </c>
      <c r="C1" s="45"/>
      <c r="D1" s="45"/>
      <c r="E1" s="248">
        <f>inputPrYr!C5</f>
        <v>2012</v>
      </c>
    </row>
    <row r="2" spans="2:5" ht="15.75">
      <c r="B2" s="45"/>
      <c r="C2" s="45"/>
      <c r="D2" s="45"/>
      <c r="E2" s="169"/>
    </row>
    <row r="3" spans="2:5" ht="15.75">
      <c r="B3" s="249" t="s">
        <v>175</v>
      </c>
      <c r="C3" s="286"/>
      <c r="D3" s="286"/>
      <c r="E3" s="286"/>
    </row>
    <row r="4" spans="2:5" ht="15.75">
      <c r="B4" s="50" t="s">
        <v>104</v>
      </c>
      <c r="C4" s="567" t="s">
        <v>126</v>
      </c>
      <c r="D4" s="566" t="s">
        <v>247</v>
      </c>
      <c r="E4" s="566" t="s">
        <v>248</v>
      </c>
    </row>
    <row r="5" spans="2:5" ht="15.75">
      <c r="B5" s="516" t="str">
        <f>(inputPrYr!B38)</f>
        <v>Sewer</v>
      </c>
      <c r="C5" s="251">
        <f>E1-2</f>
        <v>2010</v>
      </c>
      <c r="D5" s="251">
        <f>E1-1</f>
        <v>2011</v>
      </c>
      <c r="E5" s="251">
        <f>E1</f>
        <v>2012</v>
      </c>
    </row>
    <row r="6" spans="2:5" ht="15.75">
      <c r="B6" s="252" t="s">
        <v>229</v>
      </c>
      <c r="C6" s="65">
        <v>3597</v>
      </c>
      <c r="D6" s="228">
        <f>C37</f>
        <v>41492</v>
      </c>
      <c r="E6" s="228">
        <f>D37</f>
        <v>55492</v>
      </c>
    </row>
    <row r="7" spans="2:5" ht="15.75">
      <c r="B7" s="255" t="s">
        <v>231</v>
      </c>
      <c r="C7" s="85"/>
      <c r="D7" s="85"/>
      <c r="E7" s="85"/>
    </row>
    <row r="8" spans="2:5" ht="15.75">
      <c r="B8" s="272" t="s">
        <v>909</v>
      </c>
      <c r="C8" s="65">
        <v>218997</v>
      </c>
      <c r="D8" s="65">
        <v>222000</v>
      </c>
      <c r="E8" s="65">
        <v>222000</v>
      </c>
    </row>
    <row r="9" spans="2:5" ht="15.75">
      <c r="B9" s="272" t="s">
        <v>900</v>
      </c>
      <c r="C9" s="65">
        <v>2500</v>
      </c>
      <c r="D9" s="65"/>
      <c r="E9" s="65"/>
    </row>
    <row r="10" spans="2:5" ht="15.75">
      <c r="B10" s="272"/>
      <c r="C10" s="65"/>
      <c r="D10" s="65"/>
      <c r="E10" s="65"/>
    </row>
    <row r="11" spans="2:5" ht="15.75">
      <c r="B11" s="272"/>
      <c r="C11" s="65"/>
      <c r="D11" s="65"/>
      <c r="E11" s="65"/>
    </row>
    <row r="12" spans="2:5" ht="15.75">
      <c r="B12" s="260" t="s">
        <v>112</v>
      </c>
      <c r="C12" s="65"/>
      <c r="D12" s="65"/>
      <c r="E12" s="65"/>
    </row>
    <row r="13" spans="2:5" ht="15.75">
      <c r="B13" s="159" t="s">
        <v>17</v>
      </c>
      <c r="C13" s="65"/>
      <c r="D13" s="257"/>
      <c r="E13" s="257"/>
    </row>
    <row r="14" spans="2:5" ht="15.75">
      <c r="B14" s="252" t="s">
        <v>776</v>
      </c>
      <c r="C14" s="291">
        <f>IF(C15*0.1&lt;C13,"Exceed 10% Rule","")</f>
      </c>
      <c r="D14" s="262">
        <f>IF(D15*0.1&lt;D13,"Exceed 10% Rule","")</f>
      </c>
      <c r="E14" s="262">
        <f>IF(E15*0.1&lt;E13,"Exceed 10% Rule","")</f>
      </c>
    </row>
    <row r="15" spans="2:5" ht="15.75">
      <c r="B15" s="263" t="s">
        <v>113</v>
      </c>
      <c r="C15" s="266">
        <f>SUM(C8:C13)</f>
        <v>221497</v>
      </c>
      <c r="D15" s="266">
        <f>SUM(D8:D13)</f>
        <v>222000</v>
      </c>
      <c r="E15" s="266">
        <f>SUM(E8:E13)</f>
        <v>222000</v>
      </c>
    </row>
    <row r="16" spans="2:5" ht="15.75">
      <c r="B16" s="263" t="s">
        <v>114</v>
      </c>
      <c r="C16" s="266">
        <f>C6+C15</f>
        <v>225094</v>
      </c>
      <c r="D16" s="266">
        <f>D6+D15</f>
        <v>263492</v>
      </c>
      <c r="E16" s="266">
        <f>E6+E15</f>
        <v>277492</v>
      </c>
    </row>
    <row r="17" spans="2:5" ht="15.75">
      <c r="B17" s="150" t="s">
        <v>116</v>
      </c>
      <c r="C17" s="228"/>
      <c r="D17" s="228"/>
      <c r="E17" s="228"/>
    </row>
    <row r="18" spans="2:5" ht="15.75">
      <c r="B18" s="272"/>
      <c r="C18" s="65"/>
      <c r="D18" s="65"/>
      <c r="E18" s="65"/>
    </row>
    <row r="19" spans="2:5" ht="15.75">
      <c r="B19" s="3" t="s">
        <v>857</v>
      </c>
      <c r="C19" s="65">
        <v>32700</v>
      </c>
      <c r="D19" s="65">
        <v>35000</v>
      </c>
      <c r="E19" s="65">
        <v>40000</v>
      </c>
    </row>
    <row r="20" spans="2:5" ht="15.75">
      <c r="B20" s="3" t="s">
        <v>866</v>
      </c>
      <c r="C20" s="65"/>
      <c r="D20" s="65"/>
      <c r="E20" s="65">
        <v>3000</v>
      </c>
    </row>
    <row r="21" spans="2:5" ht="15.75">
      <c r="B21" s="3" t="s">
        <v>934</v>
      </c>
      <c r="C21" s="65"/>
      <c r="D21" s="65"/>
      <c r="E21" s="65">
        <v>3000</v>
      </c>
    </row>
    <row r="22" spans="2:5" ht="15.75">
      <c r="B22" s="3" t="s">
        <v>910</v>
      </c>
      <c r="C22" s="65">
        <v>51817</v>
      </c>
      <c r="D22" s="65">
        <v>70000</v>
      </c>
      <c r="E22" s="65">
        <v>70000</v>
      </c>
    </row>
    <row r="23" spans="2:5" ht="15.75">
      <c r="B23" s="632" t="s">
        <v>117</v>
      </c>
      <c r="C23" s="65">
        <v>19149</v>
      </c>
      <c r="D23" s="65">
        <v>20000</v>
      </c>
      <c r="E23" s="65">
        <v>20000</v>
      </c>
    </row>
    <row r="24" spans="2:5" ht="15.75">
      <c r="B24" s="632" t="s">
        <v>118</v>
      </c>
      <c r="C24" s="65">
        <v>6959</v>
      </c>
      <c r="D24" s="65">
        <v>8500</v>
      </c>
      <c r="E24" s="65">
        <v>8500</v>
      </c>
    </row>
    <row r="25" spans="2:5" ht="15.75">
      <c r="B25" s="632" t="s">
        <v>119</v>
      </c>
      <c r="C25" s="65">
        <v>5598</v>
      </c>
      <c r="D25" s="65">
        <v>2500</v>
      </c>
      <c r="E25" s="65">
        <v>2500</v>
      </c>
    </row>
    <row r="26" spans="2:5" ht="15.75">
      <c r="B26" s="632" t="s">
        <v>902</v>
      </c>
      <c r="C26" s="65">
        <v>12379</v>
      </c>
      <c r="D26" s="65">
        <v>12000</v>
      </c>
      <c r="E26" s="65">
        <v>14000</v>
      </c>
    </row>
    <row r="27" spans="2:5" ht="15.75">
      <c r="B27" s="3" t="s">
        <v>903</v>
      </c>
      <c r="C27" s="65"/>
      <c r="D27" s="65"/>
      <c r="E27" s="65"/>
    </row>
    <row r="28" spans="2:5" ht="15.75">
      <c r="B28" s="3" t="s">
        <v>904</v>
      </c>
      <c r="C28" s="65"/>
      <c r="D28" s="65"/>
      <c r="E28" s="65">
        <v>10000</v>
      </c>
    </row>
    <row r="29" spans="2:5" ht="15.75">
      <c r="B29" s="3" t="s">
        <v>905</v>
      </c>
      <c r="C29" s="65"/>
      <c r="D29" s="65"/>
      <c r="E29" s="65">
        <v>10000</v>
      </c>
    </row>
    <row r="30" spans="2:5" ht="15.75">
      <c r="B30" s="3" t="s">
        <v>911</v>
      </c>
      <c r="C30" s="65"/>
      <c r="D30" s="65"/>
      <c r="E30" s="65">
        <v>2500</v>
      </c>
    </row>
    <row r="31" spans="2:5" ht="15.75">
      <c r="B31" s="3" t="s">
        <v>912</v>
      </c>
      <c r="C31" s="65">
        <v>55000</v>
      </c>
      <c r="D31" s="65">
        <v>60000</v>
      </c>
      <c r="E31" s="65">
        <v>60000</v>
      </c>
    </row>
    <row r="32" spans="2:5" ht="15.75">
      <c r="B32" s="272"/>
      <c r="C32" s="65"/>
      <c r="D32" s="65"/>
      <c r="E32" s="65"/>
    </row>
    <row r="33" spans="2:5" ht="15.75">
      <c r="B33" s="272"/>
      <c r="C33" s="65"/>
      <c r="D33" s="65"/>
      <c r="E33" s="65"/>
    </row>
    <row r="34" spans="2:5" ht="15.75">
      <c r="B34" s="273" t="s">
        <v>17</v>
      </c>
      <c r="C34" s="65"/>
      <c r="D34" s="257"/>
      <c r="E34" s="257"/>
    </row>
    <row r="35" spans="2:5" ht="15.75">
      <c r="B35" s="273" t="s">
        <v>777</v>
      </c>
      <c r="C35" s="291">
        <f>IF(C36*0.1&lt;C34,"Exceed 10% Rule","")</f>
      </c>
      <c r="D35" s="262">
        <f>IF(D36*0.1&lt;D34,"Exceed 10% Rule","")</f>
      </c>
      <c r="E35" s="262">
        <f>IF(E36*0.1&lt;E34,"Exceed 10% Rule","")</f>
      </c>
    </row>
    <row r="36" spans="2:5" ht="15.75">
      <c r="B36" s="263" t="s">
        <v>120</v>
      </c>
      <c r="C36" s="266">
        <f>SUM(C18:C34)</f>
        <v>183602</v>
      </c>
      <c r="D36" s="266">
        <f>SUM(D18:D34)</f>
        <v>208000</v>
      </c>
      <c r="E36" s="266">
        <f>SUM(E18:E34)</f>
        <v>243500</v>
      </c>
    </row>
    <row r="37" spans="2:5" ht="15.75">
      <c r="B37" s="150" t="s">
        <v>230</v>
      </c>
      <c r="C37" s="80">
        <f>C16-C36</f>
        <v>41492</v>
      </c>
      <c r="D37" s="80">
        <f>D16-D36</f>
        <v>55492</v>
      </c>
      <c r="E37" s="80">
        <f>E16-E36</f>
        <v>33992</v>
      </c>
    </row>
    <row r="38" spans="2:5" ht="15.75">
      <c r="B38" s="136" t="str">
        <f>CONCATENATE("",E1-2,"/",E1-1," Budget Authority Amount:")</f>
        <v>2010/2011 Budget Authority Amount:</v>
      </c>
      <c r="C38" s="241">
        <f>inputOth!B78</f>
        <v>210100</v>
      </c>
      <c r="D38" s="241">
        <f>inputPrYr!D38</f>
        <v>233000</v>
      </c>
      <c r="E38" s="349">
        <f>IF(E37&lt;0,"See Tab E","")</f>
      </c>
    </row>
    <row r="39" spans="2:5" ht="15.75">
      <c r="B39" s="136"/>
      <c r="C39" s="276">
        <f>IF(C36&gt;C38,"See Tab A","")</f>
      </c>
      <c r="D39" s="276">
        <f>IF(D36&gt;D38,"See Tab C","")</f>
      </c>
      <c r="E39" s="95"/>
    </row>
    <row r="40" spans="2:5" ht="15.75">
      <c r="B40" s="136"/>
      <c r="C40" s="276">
        <f>IF(C37&lt;0,"See Tab B","")</f>
      </c>
      <c r="D40" s="276">
        <f>IF(D37&lt;0,"See Tab D","")</f>
      </c>
      <c r="E40" s="95"/>
    </row>
    <row r="41" spans="2:5" ht="15.75">
      <c r="B41" s="45"/>
      <c r="C41" s="95"/>
      <c r="D41" s="95"/>
      <c r="E41" s="95"/>
    </row>
    <row r="42" spans="2:5" ht="15.75">
      <c r="B42" s="50" t="s">
        <v>104</v>
      </c>
      <c r="C42" s="289"/>
      <c r="D42" s="289"/>
      <c r="E42" s="289"/>
    </row>
    <row r="43" spans="2:5" ht="15.75">
      <c r="B43" s="45"/>
      <c r="C43" s="567" t="s">
        <v>126</v>
      </c>
      <c r="D43" s="566" t="s">
        <v>247</v>
      </c>
      <c r="E43" s="566" t="s">
        <v>248</v>
      </c>
    </row>
    <row r="44" spans="2:5" ht="15.75">
      <c r="B44" s="516" t="str">
        <f>(inputPrYr!B39)</f>
        <v>Sewer Reserve</v>
      </c>
      <c r="C44" s="251">
        <f>C5</f>
        <v>2010</v>
      </c>
      <c r="D44" s="251">
        <f>D5</f>
        <v>2011</v>
      </c>
      <c r="E44" s="251">
        <f>E5</f>
        <v>2012</v>
      </c>
    </row>
    <row r="45" spans="2:5" ht="15.75">
      <c r="B45" s="252" t="s">
        <v>229</v>
      </c>
      <c r="C45" s="65">
        <v>103</v>
      </c>
      <c r="D45" s="228">
        <f>C64</f>
        <v>4103</v>
      </c>
      <c r="E45" s="228">
        <f>D64</f>
        <v>4103</v>
      </c>
    </row>
    <row r="46" spans="2:5" ht="15.75">
      <c r="B46" s="255" t="s">
        <v>231</v>
      </c>
      <c r="C46" s="85"/>
      <c r="D46" s="85"/>
      <c r="E46" s="85"/>
    </row>
    <row r="47" spans="2:5" ht="15.75">
      <c r="B47" s="272" t="s">
        <v>913</v>
      </c>
      <c r="C47" s="65">
        <v>4000</v>
      </c>
      <c r="D47" s="65"/>
      <c r="E47" s="65"/>
    </row>
    <row r="48" spans="2:5" ht="15.75">
      <c r="B48" s="272" t="s">
        <v>914</v>
      </c>
      <c r="C48" s="65"/>
      <c r="D48" s="65">
        <v>5000</v>
      </c>
      <c r="E48" s="65">
        <v>10000</v>
      </c>
    </row>
    <row r="49" spans="2:5" ht="15.75">
      <c r="B49" s="272" t="s">
        <v>935</v>
      </c>
      <c r="C49" s="65"/>
      <c r="D49" s="65"/>
      <c r="E49" s="65">
        <v>2500</v>
      </c>
    </row>
    <row r="50" spans="2:5" ht="15.75">
      <c r="B50" s="272"/>
      <c r="C50" s="65"/>
      <c r="D50" s="65"/>
      <c r="E50" s="65"/>
    </row>
    <row r="51" spans="2:5" ht="15.75">
      <c r="B51" s="260" t="s">
        <v>112</v>
      </c>
      <c r="C51" s="65"/>
      <c r="D51" s="65"/>
      <c r="E51" s="65"/>
    </row>
    <row r="52" spans="2:5" ht="15.75">
      <c r="B52" s="159" t="s">
        <v>17</v>
      </c>
      <c r="C52" s="65"/>
      <c r="D52" s="257"/>
      <c r="E52" s="257"/>
    </row>
    <row r="53" spans="2:5" ht="15.75">
      <c r="B53" s="252" t="s">
        <v>776</v>
      </c>
      <c r="C53" s="291">
        <f>IF(C54*0.1&lt;C52,"Exceed 10% Rule","")</f>
      </c>
      <c r="D53" s="262">
        <f>IF(D54*0.1&lt;D52,"Exceed 10% Rule","")</f>
      </c>
      <c r="E53" s="262">
        <f>IF(E54*0.1&lt;E52,"Exceed 10% Rule","")</f>
      </c>
    </row>
    <row r="54" spans="2:5" ht="15.75">
      <c r="B54" s="263" t="s">
        <v>113</v>
      </c>
      <c r="C54" s="266">
        <f>SUM(C47:C52)</f>
        <v>4000</v>
      </c>
      <c r="D54" s="266">
        <f>SUM(D47:D52)</f>
        <v>5000</v>
      </c>
      <c r="E54" s="266">
        <f>SUM(E47:E52)</f>
        <v>12500</v>
      </c>
    </row>
    <row r="55" spans="2:5" ht="15.75">
      <c r="B55" s="263" t="s">
        <v>114</v>
      </c>
      <c r="C55" s="266">
        <f>C45+C54</f>
        <v>4103</v>
      </c>
      <c r="D55" s="266">
        <f>D45+D54</f>
        <v>9103</v>
      </c>
      <c r="E55" s="266">
        <f>E45+E54</f>
        <v>16603</v>
      </c>
    </row>
    <row r="56" spans="2:5" ht="15.75">
      <c r="B56" s="150" t="s">
        <v>116</v>
      </c>
      <c r="C56" s="228"/>
      <c r="D56" s="228"/>
      <c r="E56" s="228"/>
    </row>
    <row r="57" spans="2:5" ht="15.75">
      <c r="B57" s="272"/>
      <c r="C57" s="65"/>
      <c r="D57" s="65"/>
      <c r="E57" s="65"/>
    </row>
    <row r="58" spans="2:5" ht="15.75">
      <c r="B58" s="272" t="s">
        <v>915</v>
      </c>
      <c r="C58" s="65"/>
      <c r="D58" s="65">
        <v>5000</v>
      </c>
      <c r="E58" s="65">
        <v>10000</v>
      </c>
    </row>
    <row r="59" spans="2:5" ht="15.75">
      <c r="B59" s="272"/>
      <c r="C59" s="65"/>
      <c r="D59" s="65"/>
      <c r="E59" s="65"/>
    </row>
    <row r="60" spans="2:5" ht="15.75">
      <c r="B60" s="272"/>
      <c r="C60" s="65"/>
      <c r="D60" s="65"/>
      <c r="E60" s="65"/>
    </row>
    <row r="61" spans="2:5" ht="15.75">
      <c r="B61" s="273" t="s">
        <v>17</v>
      </c>
      <c r="C61" s="65"/>
      <c r="D61" s="257"/>
      <c r="E61" s="257"/>
    </row>
    <row r="62" spans="2:5" ht="15.75">
      <c r="B62" s="290" t="s">
        <v>777</v>
      </c>
      <c r="C62" s="291">
        <f>IF(C63*0.1&lt;C61,"Exceed 10% Rule","")</f>
      </c>
      <c r="D62" s="262">
        <f>IF(D63*0.1&lt;D61,"Exceed 10% Rule","")</f>
      </c>
      <c r="E62" s="262">
        <f>IF(E63*0.1&lt;E61,"Exceed 10% Rule","")</f>
      </c>
    </row>
    <row r="63" spans="2:5" ht="15.75">
      <c r="B63" s="263" t="s">
        <v>120</v>
      </c>
      <c r="C63" s="266">
        <f>SUM(C57:C61)</f>
        <v>0</v>
      </c>
      <c r="D63" s="266">
        <f>SUM(D57:D61)</f>
        <v>5000</v>
      </c>
      <c r="E63" s="266">
        <f>SUM(E57:E61)</f>
        <v>10000</v>
      </c>
    </row>
    <row r="64" spans="2:5" ht="15.75">
      <c r="B64" s="150" t="s">
        <v>230</v>
      </c>
      <c r="C64" s="80">
        <f>C55-C63</f>
        <v>4103</v>
      </c>
      <c r="D64" s="80">
        <f>D55-D63</f>
        <v>4103</v>
      </c>
      <c r="E64" s="80">
        <f>E55-E63</f>
        <v>6603</v>
      </c>
    </row>
    <row r="65" spans="2:5" ht="15.75">
      <c r="B65" s="136" t="str">
        <f>CONCATENATE("",E1-2,"/",E1-1," Budget Authority Amount:")</f>
        <v>2010/2011 Budget Authority Amount:</v>
      </c>
      <c r="C65" s="241">
        <f>inputOth!B79</f>
        <v>10000</v>
      </c>
      <c r="D65" s="241">
        <f>inputPrYr!D39</f>
        <v>10000</v>
      </c>
      <c r="E65" s="349">
        <f>IF(E64&lt;0,"See Tab E","")</f>
      </c>
    </row>
    <row r="66" spans="2:5" ht="15.75">
      <c r="B66" s="136"/>
      <c r="C66" s="276">
        <f>IF(C63&gt;C65,"See Tab A","")</f>
      </c>
      <c r="D66" s="276">
        <f>IF(D63&gt;D65,"See Tab C","")</f>
      </c>
      <c r="E66" s="45"/>
    </row>
    <row r="67" spans="2:5" ht="15.75">
      <c r="B67" s="136"/>
      <c r="C67" s="276">
        <f>IF(C64&lt;0,"See Tab B","")</f>
      </c>
      <c r="D67" s="276">
        <f>IF(D64&lt;0,"See Tab D","")</f>
      </c>
      <c r="E67" s="45"/>
    </row>
    <row r="68" spans="2:5" ht="15.75">
      <c r="B68" s="45"/>
      <c r="C68" s="45"/>
      <c r="D68" s="45"/>
      <c r="E68" s="45"/>
    </row>
    <row r="69" spans="2:5" ht="15.75">
      <c r="B69" s="373" t="s">
        <v>123</v>
      </c>
      <c r="C69" s="281">
        <v>11</v>
      </c>
      <c r="D69" s="45"/>
      <c r="E69" s="45"/>
    </row>
  </sheetData>
  <sheetProtection/>
  <conditionalFormatting sqref="C13">
    <cfRule type="cellIs" priority="3" dxfId="129" operator="greaterThan" stopIfTrue="1">
      <formula>$C$15*0.1</formula>
    </cfRule>
  </conditionalFormatting>
  <conditionalFormatting sqref="D13">
    <cfRule type="cellIs" priority="4" dxfId="129" operator="greaterThan" stopIfTrue="1">
      <formula>$D$15*0.1</formula>
    </cfRule>
  </conditionalFormatting>
  <conditionalFormatting sqref="E13">
    <cfRule type="cellIs" priority="5" dxfId="129" operator="greaterThan" stopIfTrue="1">
      <formula>$E$15*0.1</formula>
    </cfRule>
  </conditionalFormatting>
  <conditionalFormatting sqref="C34">
    <cfRule type="cellIs" priority="6" dxfId="129" operator="greaterThan" stopIfTrue="1">
      <formula>$C$36*0.1</formula>
    </cfRule>
  </conditionalFormatting>
  <conditionalFormatting sqref="D34">
    <cfRule type="cellIs" priority="7" dxfId="129" operator="greaterThan" stopIfTrue="1">
      <formula>$D$36*0.1</formula>
    </cfRule>
  </conditionalFormatting>
  <conditionalFormatting sqref="E34">
    <cfRule type="cellIs" priority="8" dxfId="129" operator="greaterThan" stopIfTrue="1">
      <formula>$E$36*0.1</formula>
    </cfRule>
  </conditionalFormatting>
  <conditionalFormatting sqref="C52">
    <cfRule type="cellIs" priority="9" dxfId="129" operator="greaterThan" stopIfTrue="1">
      <formula>$C$54*0.1</formula>
    </cfRule>
  </conditionalFormatting>
  <conditionalFormatting sqref="D52">
    <cfRule type="cellIs" priority="10" dxfId="129" operator="greaterThan" stopIfTrue="1">
      <formula>$D$54*0.1</formula>
    </cfRule>
  </conditionalFormatting>
  <conditionalFormatting sqref="E52">
    <cfRule type="cellIs" priority="11" dxfId="129" operator="greaterThan" stopIfTrue="1">
      <formula>$E$54*0.1</formula>
    </cfRule>
  </conditionalFormatting>
  <conditionalFormatting sqref="C61">
    <cfRule type="cellIs" priority="12" dxfId="129" operator="greaterThan" stopIfTrue="1">
      <formula>$C$63*0.1</formula>
    </cfRule>
  </conditionalFormatting>
  <conditionalFormatting sqref="D61">
    <cfRule type="cellIs" priority="13" dxfId="129" operator="greaterThan" stopIfTrue="1">
      <formula>$D$63*0.1</formula>
    </cfRule>
  </conditionalFormatting>
  <conditionalFormatting sqref="E61">
    <cfRule type="cellIs" priority="14" dxfId="129" operator="greaterThan" stopIfTrue="1">
      <formula>$E$63*0.1</formula>
    </cfRule>
  </conditionalFormatting>
  <conditionalFormatting sqref="D63">
    <cfRule type="cellIs" priority="15" dxfId="1" operator="greaterThan" stopIfTrue="1">
      <formula>$D$65</formula>
    </cfRule>
  </conditionalFormatting>
  <conditionalFormatting sqref="C63">
    <cfRule type="cellIs" priority="16" dxfId="1" operator="greaterThan" stopIfTrue="1">
      <formula>$C$65</formula>
    </cfRule>
  </conditionalFormatting>
  <conditionalFormatting sqref="C64 E64 C37 E37">
    <cfRule type="cellIs" priority="17" dxfId="1" operator="lessThan" stopIfTrue="1">
      <formula>0</formula>
    </cfRule>
  </conditionalFormatting>
  <conditionalFormatting sqref="D36">
    <cfRule type="cellIs" priority="18" dxfId="1" operator="greaterThan" stopIfTrue="1">
      <formula>$D$38</formula>
    </cfRule>
  </conditionalFormatting>
  <conditionalFormatting sqref="C36">
    <cfRule type="cellIs" priority="19" dxfId="1" operator="greaterThan" stopIfTrue="1">
      <formula>$C$38</formula>
    </cfRule>
  </conditionalFormatting>
  <conditionalFormatting sqref="D64 D37">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D24" sqref="D24"/>
    </sheetView>
  </sheetViews>
  <sheetFormatPr defaultColWidth="8.796875" defaultRowHeight="15"/>
  <cols>
    <col min="1" max="1" width="2.3984375" style="43" customWidth="1"/>
    <col min="2" max="2" width="31.09765625" style="43" customWidth="1"/>
    <col min="3" max="4" width="15.796875" style="43" customWidth="1"/>
    <col min="5" max="5" width="16.19921875" style="43" customWidth="1"/>
    <col min="6" max="16384" width="8.8984375" style="43" customWidth="1"/>
  </cols>
  <sheetData>
    <row r="1" spans="2:5" ht="15.75">
      <c r="B1" s="198" t="str">
        <f>(inputPrYr!D2)</f>
        <v>City of Kechi </v>
      </c>
      <c r="C1" s="45"/>
      <c r="D1" s="45"/>
      <c r="E1" s="248">
        <f>inputPrYr!C5</f>
        <v>2012</v>
      </c>
    </row>
    <row r="2" spans="2:5" ht="15.75">
      <c r="B2" s="45"/>
      <c r="C2" s="45"/>
      <c r="D2" s="45"/>
      <c r="E2" s="169"/>
    </row>
    <row r="3" spans="2:5" ht="15.75">
      <c r="B3" s="249" t="s">
        <v>175</v>
      </c>
      <c r="C3" s="286"/>
      <c r="D3" s="286"/>
      <c r="E3" s="286"/>
    </row>
    <row r="4" spans="2:5" ht="15.75">
      <c r="B4" s="50" t="s">
        <v>104</v>
      </c>
      <c r="C4" s="567" t="s">
        <v>126</v>
      </c>
      <c r="D4" s="566" t="s">
        <v>247</v>
      </c>
      <c r="E4" s="566" t="s">
        <v>248</v>
      </c>
    </row>
    <row r="5" spans="2:5" ht="15.75">
      <c r="B5" s="516" t="str">
        <f>inputPrYr!B40</f>
        <v>Gas</v>
      </c>
      <c r="C5" s="251">
        <f>E1-2</f>
        <v>2010</v>
      </c>
      <c r="D5" s="251">
        <f>E1-1</f>
        <v>2011</v>
      </c>
      <c r="E5" s="251">
        <f>E1</f>
        <v>2012</v>
      </c>
    </row>
    <row r="6" spans="2:5" ht="15.75">
      <c r="B6" s="252" t="s">
        <v>229</v>
      </c>
      <c r="C6" s="65">
        <v>21115</v>
      </c>
      <c r="D6" s="228">
        <f>C39</f>
        <v>27142</v>
      </c>
      <c r="E6" s="228">
        <f>D39</f>
        <v>20642</v>
      </c>
    </row>
    <row r="7" spans="2:5" ht="15.75">
      <c r="B7" s="255" t="s">
        <v>231</v>
      </c>
      <c r="C7" s="85"/>
      <c r="D7" s="85"/>
      <c r="E7" s="85"/>
    </row>
    <row r="8" spans="2:5" ht="15.75">
      <c r="B8" s="272" t="s">
        <v>899</v>
      </c>
      <c r="C8" s="65">
        <v>456163</v>
      </c>
      <c r="D8" s="65">
        <v>500000</v>
      </c>
      <c r="E8" s="65">
        <v>520000</v>
      </c>
    </row>
    <row r="9" spans="2:5" ht="15.75">
      <c r="B9" s="272" t="s">
        <v>914</v>
      </c>
      <c r="C9" s="65">
        <v>2799</v>
      </c>
      <c r="D9" s="65">
        <v>5000</v>
      </c>
      <c r="E9" s="65">
        <v>5000</v>
      </c>
    </row>
    <row r="10" spans="2:5" ht="15.75">
      <c r="B10" s="272" t="s">
        <v>158</v>
      </c>
      <c r="C10" s="65">
        <v>4990</v>
      </c>
      <c r="D10" s="65">
        <v>5500</v>
      </c>
      <c r="E10" s="65">
        <v>5500</v>
      </c>
    </row>
    <row r="11" spans="2:5" ht="15.75">
      <c r="B11" s="272" t="s">
        <v>916</v>
      </c>
      <c r="C11" s="65">
        <v>13363</v>
      </c>
      <c r="D11" s="65"/>
      <c r="E11" s="65"/>
    </row>
    <row r="12" spans="2:5" ht="15.75">
      <c r="B12" s="260" t="s">
        <v>112</v>
      </c>
      <c r="C12" s="65"/>
      <c r="D12" s="65"/>
      <c r="E12" s="65"/>
    </row>
    <row r="13" spans="2:5" ht="15.75">
      <c r="B13" s="272"/>
      <c r="C13" s="65"/>
      <c r="D13" s="65"/>
      <c r="E13" s="65"/>
    </row>
    <row r="14" spans="2:5" ht="15.75">
      <c r="B14" s="272"/>
      <c r="C14" s="65"/>
      <c r="D14" s="65"/>
      <c r="E14" s="65"/>
    </row>
    <row r="15" spans="2:5" ht="15.75">
      <c r="B15" s="272"/>
      <c r="C15" s="65"/>
      <c r="D15" s="65"/>
      <c r="E15" s="65"/>
    </row>
    <row r="16" spans="2:5" ht="15.75">
      <c r="B16" s="260" t="s">
        <v>112</v>
      </c>
      <c r="C16" s="65"/>
      <c r="D16" s="65"/>
      <c r="E16" s="65"/>
    </row>
    <row r="17" spans="2:5" ht="15.75">
      <c r="B17" s="159" t="s">
        <v>17</v>
      </c>
      <c r="C17" s="65"/>
      <c r="D17" s="257"/>
      <c r="E17" s="257"/>
    </row>
    <row r="18" spans="2:5" ht="15.75">
      <c r="B18" s="252" t="s">
        <v>776</v>
      </c>
      <c r="C18" s="291">
        <f>IF(C19*0.1&lt;C17,"Exceed 10% Rule","")</f>
      </c>
      <c r="D18" s="262">
        <f>IF(D19*0.1&lt;D17,"Exceed 10% Rule","")</f>
      </c>
      <c r="E18" s="262">
        <f>IF(E19*0.1&lt;E17,"Exceed 10% Rule","")</f>
      </c>
    </row>
    <row r="19" spans="2:5" ht="15.75">
      <c r="B19" s="263" t="s">
        <v>113</v>
      </c>
      <c r="C19" s="266">
        <f>SUM(C8:C17)</f>
        <v>477315</v>
      </c>
      <c r="D19" s="266">
        <f>SUM(D8:D17)</f>
        <v>510500</v>
      </c>
      <c r="E19" s="266">
        <f>SUM(E8:E17)</f>
        <v>530500</v>
      </c>
    </row>
    <row r="20" spans="2:5" ht="15.75">
      <c r="B20" s="263" t="s">
        <v>114</v>
      </c>
      <c r="C20" s="266">
        <f>C6+C19</f>
        <v>498430</v>
      </c>
      <c r="D20" s="266">
        <f>D6+D19</f>
        <v>537642</v>
      </c>
      <c r="E20" s="266">
        <f>E6+E19</f>
        <v>551142</v>
      </c>
    </row>
    <row r="21" spans="2:5" ht="15.75">
      <c r="B21" s="150" t="s">
        <v>116</v>
      </c>
      <c r="C21" s="228"/>
      <c r="D21" s="228"/>
      <c r="E21" s="228"/>
    </row>
    <row r="22" spans="2:5" ht="15.75">
      <c r="B22" s="3" t="s">
        <v>857</v>
      </c>
      <c r="C22" s="65">
        <v>92364</v>
      </c>
      <c r="D22" s="65">
        <v>95000</v>
      </c>
      <c r="E22" s="65">
        <v>100000</v>
      </c>
    </row>
    <row r="23" spans="2:5" ht="15.75">
      <c r="B23" s="3" t="s">
        <v>936</v>
      </c>
      <c r="C23" s="65"/>
      <c r="D23" s="65">
        <v>3000</v>
      </c>
      <c r="E23" s="65">
        <v>4000</v>
      </c>
    </row>
    <row r="24" spans="2:5" ht="15.75">
      <c r="B24" s="3" t="s">
        <v>934</v>
      </c>
      <c r="C24" s="65"/>
      <c r="D24" s="65"/>
      <c r="E24" s="65">
        <v>3500</v>
      </c>
    </row>
    <row r="25" spans="2:5" ht="15.75">
      <c r="B25" s="3" t="s">
        <v>917</v>
      </c>
      <c r="C25" s="65">
        <v>247967</v>
      </c>
      <c r="D25" s="65">
        <v>260000</v>
      </c>
      <c r="E25" s="65">
        <v>290000</v>
      </c>
    </row>
    <row r="26" spans="2:5" ht="15.75">
      <c r="B26" s="632" t="s">
        <v>117</v>
      </c>
      <c r="C26" s="65">
        <v>23524</v>
      </c>
      <c r="D26" s="65">
        <v>30000</v>
      </c>
      <c r="E26" s="65">
        <v>30000</v>
      </c>
    </row>
    <row r="27" spans="2:5" ht="15.75">
      <c r="B27" s="632" t="s">
        <v>118</v>
      </c>
      <c r="C27" s="65">
        <v>32610</v>
      </c>
      <c r="D27" s="65">
        <v>40000</v>
      </c>
      <c r="E27" s="65">
        <v>40000</v>
      </c>
    </row>
    <row r="28" spans="2:5" ht="15.75">
      <c r="B28" s="632" t="s">
        <v>119</v>
      </c>
      <c r="C28" s="65">
        <v>9333</v>
      </c>
      <c r="D28" s="65">
        <v>2000</v>
      </c>
      <c r="E28" s="65">
        <v>2000</v>
      </c>
    </row>
    <row r="29" spans="2:5" ht="15.75">
      <c r="B29" s="632" t="s">
        <v>902</v>
      </c>
      <c r="C29" s="65">
        <v>30490</v>
      </c>
      <c r="D29" s="65">
        <v>27000</v>
      </c>
      <c r="E29" s="65">
        <v>31000</v>
      </c>
    </row>
    <row r="30" spans="2:5" ht="15.75">
      <c r="B30" s="3" t="s">
        <v>903</v>
      </c>
      <c r="C30" s="65">
        <v>35000</v>
      </c>
      <c r="D30" s="65"/>
      <c r="E30" s="65"/>
    </row>
    <row r="31" spans="2:5" ht="15.75">
      <c r="B31" s="3" t="s">
        <v>904</v>
      </c>
      <c r="C31" s="65"/>
      <c r="D31" s="65">
        <v>15000</v>
      </c>
      <c r="E31" s="65">
        <v>10000</v>
      </c>
    </row>
    <row r="32" spans="2:5" ht="15.75">
      <c r="B32" s="3" t="s">
        <v>905</v>
      </c>
      <c r="C32" s="65"/>
      <c r="D32" s="65">
        <v>20000</v>
      </c>
      <c r="E32" s="65">
        <v>15000</v>
      </c>
    </row>
    <row r="33" spans="2:5" ht="15.75">
      <c r="B33" s="3" t="s">
        <v>918</v>
      </c>
      <c r="C33" s="65"/>
      <c r="D33" s="65">
        <v>25000</v>
      </c>
      <c r="E33" s="65">
        <v>25000</v>
      </c>
    </row>
    <row r="34" spans="2:5" ht="15.75">
      <c r="B34" s="3" t="s">
        <v>907</v>
      </c>
      <c r="C34" s="65"/>
      <c r="D34" s="65"/>
      <c r="E34" s="65"/>
    </row>
    <row r="35" spans="2:5" ht="15.75">
      <c r="B35" s="272" t="s">
        <v>17</v>
      </c>
      <c r="C35" s="65"/>
      <c r="D35" s="65"/>
      <c r="E35" s="65"/>
    </row>
    <row r="36" spans="2:5" ht="15.75">
      <c r="B36" s="273" t="s">
        <v>17</v>
      </c>
      <c r="C36" s="65"/>
      <c r="D36" s="257"/>
      <c r="E36" s="257"/>
    </row>
    <row r="37" spans="2:5" ht="15.75">
      <c r="B37" s="273" t="s">
        <v>777</v>
      </c>
      <c r="C37" s="291">
        <f>IF(C38*0.1&lt;C36,"Exceed 10% Rule","")</f>
      </c>
      <c r="D37" s="262">
        <f>IF(D38*0.1&lt;D36,"Exceed 10% Rule","")</f>
      </c>
      <c r="E37" s="262">
        <f>IF(E38*0.1&lt;E36,"Exceed 10% Rule","")</f>
      </c>
    </row>
    <row r="38" spans="2:5" ht="15.75">
      <c r="B38" s="263" t="s">
        <v>120</v>
      </c>
      <c r="C38" s="266">
        <f>SUM(C22:C36)</f>
        <v>471288</v>
      </c>
      <c r="D38" s="266">
        <f>SUM(D22:D36)</f>
        <v>517000</v>
      </c>
      <c r="E38" s="266">
        <f>SUM(E22:E36)</f>
        <v>550500</v>
      </c>
    </row>
    <row r="39" spans="2:5" ht="15.75">
      <c r="B39" s="150" t="s">
        <v>230</v>
      </c>
      <c r="C39" s="80">
        <f>C20-C38</f>
        <v>27142</v>
      </c>
      <c r="D39" s="80">
        <f>D20-D38</f>
        <v>20642</v>
      </c>
      <c r="E39" s="80">
        <f>E20-E38</f>
        <v>642</v>
      </c>
    </row>
    <row r="40" spans="2:5" ht="15.75">
      <c r="B40" s="136" t="str">
        <f>CONCATENATE("",E1-2,"/",E1-1," Budget Authority Amount:")</f>
        <v>2010/2011 Budget Authority Amount:</v>
      </c>
      <c r="C40" s="241">
        <f>inputOth!B80</f>
        <v>767000</v>
      </c>
      <c r="D40" s="241">
        <f>inputPrYr!D40</f>
        <v>556500</v>
      </c>
      <c r="E40" s="349">
        <f>IF(E39&lt;0,"See Tab E","")</f>
      </c>
    </row>
    <row r="41" spans="2:5" ht="15.75">
      <c r="B41" s="136"/>
      <c r="C41" s="276">
        <f>IF(C38&gt;C40,"See Tab A","")</f>
      </c>
      <c r="D41" s="276">
        <f>IF(D38&gt;D40,"See Tab C","")</f>
      </c>
      <c r="E41" s="95"/>
    </row>
    <row r="42" spans="2:5" ht="15.75">
      <c r="B42" s="136"/>
      <c r="C42" s="276">
        <f>IF(C39&lt;0,"See Tab B","")</f>
      </c>
      <c r="D42" s="276">
        <f>IF(D39&lt;0,"See Tab D","")</f>
      </c>
      <c r="E42" s="95"/>
    </row>
    <row r="43" spans="2:5" ht="15.75">
      <c r="B43" s="45"/>
      <c r="C43" s="95"/>
      <c r="D43" s="95"/>
      <c r="E43" s="95"/>
    </row>
    <row r="44" spans="2:5" ht="15.75">
      <c r="B44" s="50" t="s">
        <v>104</v>
      </c>
      <c r="C44" s="289"/>
      <c r="D44" s="289"/>
      <c r="E44" s="289"/>
    </row>
    <row r="45" spans="2:5" ht="15.75">
      <c r="B45" s="45"/>
      <c r="C45" s="567" t="s">
        <v>126</v>
      </c>
      <c r="D45" s="566" t="s">
        <v>247</v>
      </c>
      <c r="E45" s="566" t="s">
        <v>248</v>
      </c>
    </row>
    <row r="46" spans="2:5" ht="15.75">
      <c r="B46" s="516" t="str">
        <f>inputPrYr!B41</f>
        <v>Gas Reserve</v>
      </c>
      <c r="C46" s="251">
        <f>C5</f>
        <v>2010</v>
      </c>
      <c r="D46" s="251">
        <f>D5</f>
        <v>2011</v>
      </c>
      <c r="E46" s="251">
        <f>E5</f>
        <v>2012</v>
      </c>
    </row>
    <row r="47" spans="2:5" ht="15.75">
      <c r="B47" s="252" t="s">
        <v>229</v>
      </c>
      <c r="C47" s="65">
        <v>650</v>
      </c>
      <c r="D47" s="228">
        <f>C66</f>
        <v>5650</v>
      </c>
      <c r="E47" s="228">
        <f>D66</f>
        <v>30650</v>
      </c>
    </row>
    <row r="48" spans="2:5" ht="15.75">
      <c r="B48" s="255" t="s">
        <v>231</v>
      </c>
      <c r="C48" s="85"/>
      <c r="D48" s="85"/>
      <c r="E48" s="85"/>
    </row>
    <row r="49" spans="2:5" ht="15.75">
      <c r="B49" s="272" t="s">
        <v>919</v>
      </c>
      <c r="C49" s="65">
        <v>5000</v>
      </c>
      <c r="D49" s="65">
        <v>25000</v>
      </c>
      <c r="E49" s="65">
        <v>25000</v>
      </c>
    </row>
    <row r="50" spans="2:5" ht="15.75">
      <c r="B50" s="272"/>
      <c r="C50" s="65"/>
      <c r="D50" s="65"/>
      <c r="E50" s="65"/>
    </row>
    <row r="51" spans="2:5" ht="15.75">
      <c r="B51" s="272"/>
      <c r="C51" s="65"/>
      <c r="D51" s="65"/>
      <c r="E51" s="65"/>
    </row>
    <row r="52" spans="2:5" ht="15.75">
      <c r="B52" s="272"/>
      <c r="C52" s="65"/>
      <c r="D52" s="65"/>
      <c r="E52" s="65"/>
    </row>
    <row r="53" spans="2:5" ht="15.75">
      <c r="B53" s="260" t="s">
        <v>112</v>
      </c>
      <c r="C53" s="65"/>
      <c r="D53" s="65"/>
      <c r="E53" s="65"/>
    </row>
    <row r="54" spans="2:5" ht="15.75">
      <c r="B54" s="159" t="s">
        <v>17</v>
      </c>
      <c r="C54" s="65"/>
      <c r="D54" s="257"/>
      <c r="E54" s="257"/>
    </row>
    <row r="55" spans="2:5" ht="15.75">
      <c r="B55" s="252" t="s">
        <v>776</v>
      </c>
      <c r="C55" s="291">
        <f>IF(C56*0.1&lt;C54,"Exceed 10% Rule","")</f>
      </c>
      <c r="D55" s="262">
        <f>IF(D56*0.1&lt;D54,"Exceed 10% Rule","")</f>
      </c>
      <c r="E55" s="262">
        <f>IF(E56*0.1&lt;E54,"Exceed 10% Rule","")</f>
      </c>
    </row>
    <row r="56" spans="2:5" ht="15.75">
      <c r="B56" s="263" t="s">
        <v>113</v>
      </c>
      <c r="C56" s="266">
        <f>SUM(C49:C54)</f>
        <v>5000</v>
      </c>
      <c r="D56" s="266">
        <f>SUM(D49:D54)</f>
        <v>25000</v>
      </c>
      <c r="E56" s="266">
        <f>SUM(E49:E54)</f>
        <v>25000</v>
      </c>
    </row>
    <row r="57" spans="2:5" ht="15.75">
      <c r="B57" s="263" t="s">
        <v>114</v>
      </c>
      <c r="C57" s="266">
        <f>C47+C56</f>
        <v>5650</v>
      </c>
      <c r="D57" s="266">
        <f>D47+D56</f>
        <v>30650</v>
      </c>
      <c r="E57" s="266">
        <f>E47+E56</f>
        <v>55650</v>
      </c>
    </row>
    <row r="58" spans="2:5" ht="15.75">
      <c r="B58" s="150" t="s">
        <v>116</v>
      </c>
      <c r="C58" s="228"/>
      <c r="D58" s="228"/>
      <c r="E58" s="228"/>
    </row>
    <row r="59" spans="2:5" ht="15.75">
      <c r="B59" s="272"/>
      <c r="C59" s="65"/>
      <c r="D59" s="65"/>
      <c r="E59" s="65"/>
    </row>
    <row r="60" spans="2:5" ht="15.75">
      <c r="B60" s="272" t="s">
        <v>920</v>
      </c>
      <c r="C60" s="65"/>
      <c r="D60" s="65"/>
      <c r="E60" s="65">
        <v>25000</v>
      </c>
    </row>
    <row r="61" spans="2:5" ht="15.75">
      <c r="B61" s="272"/>
      <c r="C61" s="65"/>
      <c r="D61" s="65"/>
      <c r="E61" s="65"/>
    </row>
    <row r="62" spans="2:5" ht="15.75">
      <c r="B62" s="272"/>
      <c r="C62" s="65"/>
      <c r="D62" s="65"/>
      <c r="E62" s="65"/>
    </row>
    <row r="63" spans="2:5" ht="15.75">
      <c r="B63" s="273" t="s">
        <v>17</v>
      </c>
      <c r="C63" s="65"/>
      <c r="D63" s="257"/>
      <c r="E63" s="257"/>
    </row>
    <row r="64" spans="2:5" ht="15.75">
      <c r="B64" s="273" t="s">
        <v>777</v>
      </c>
      <c r="C64" s="291">
        <f>IF(C65*0.1&lt;C63,"Exceed 10% Rule","")</f>
      </c>
      <c r="D64" s="262">
        <f>IF(D65*0.1&lt;D63,"Exceed 10% Rule","")</f>
      </c>
      <c r="E64" s="262">
        <f>IF(E65*0.1&lt;E63,"Exceed 10% Rule","")</f>
      </c>
    </row>
    <row r="65" spans="2:5" ht="15.75">
      <c r="B65" s="263" t="s">
        <v>120</v>
      </c>
      <c r="C65" s="266">
        <f>SUM(C59:C63)</f>
        <v>0</v>
      </c>
      <c r="D65" s="266">
        <f>SUM(D59:D63)</f>
        <v>0</v>
      </c>
      <c r="E65" s="266">
        <f>SUM(E59:E63)</f>
        <v>25000</v>
      </c>
    </row>
    <row r="66" spans="2:5" ht="15.75">
      <c r="B66" s="150" t="s">
        <v>230</v>
      </c>
      <c r="C66" s="80">
        <f>C57-C65</f>
        <v>5650</v>
      </c>
      <c r="D66" s="80">
        <f>D57-D65</f>
        <v>30650</v>
      </c>
      <c r="E66" s="80">
        <f>E57-E65</f>
        <v>30650</v>
      </c>
    </row>
    <row r="67" spans="2:5" ht="15.75">
      <c r="B67" s="136" t="str">
        <f>CONCATENATE("",E1-2,"/",E1-1," Budget Authority Amount:")</f>
        <v>2010/2011 Budget Authority Amount:</v>
      </c>
      <c r="C67" s="241">
        <f>inputOth!B81</f>
        <v>9650</v>
      </c>
      <c r="D67" s="241">
        <f>inputPrYr!D41</f>
        <v>25000</v>
      </c>
      <c r="E67" s="349">
        <f>IF(E66&lt;0,"See Tab E","")</f>
      </c>
    </row>
    <row r="68" spans="2:5" ht="15.75">
      <c r="B68" s="136"/>
      <c r="C68" s="276">
        <f>IF(C65&gt;C67,"See Tab A","")</f>
      </c>
      <c r="D68" s="276">
        <f>IF(D65&gt;D67,"See Tab C","")</f>
      </c>
      <c r="E68" s="45"/>
    </row>
    <row r="69" spans="2:5" ht="15.75">
      <c r="B69" s="136"/>
      <c r="C69" s="276">
        <f>IF(C66&lt;0,"See Tab B","")</f>
      </c>
      <c r="D69" s="276">
        <f>IF(D66&lt;0,"See Tab D","")</f>
      </c>
      <c r="E69" s="45"/>
    </row>
    <row r="70" spans="2:5" ht="15.75">
      <c r="B70" s="45"/>
      <c r="C70" s="45"/>
      <c r="D70" s="45"/>
      <c r="E70" s="45"/>
    </row>
    <row r="71" spans="2:5" ht="15.75">
      <c r="B71" s="373" t="s">
        <v>123</v>
      </c>
      <c r="C71" s="281">
        <v>12</v>
      </c>
      <c r="D71" s="45"/>
      <c r="E71" s="45"/>
    </row>
  </sheetData>
  <sheetProtection/>
  <conditionalFormatting sqref="C17">
    <cfRule type="cellIs" priority="3" dxfId="129" operator="greaterThan" stopIfTrue="1">
      <formula>$C$19*0.1</formula>
    </cfRule>
  </conditionalFormatting>
  <conditionalFormatting sqref="D17">
    <cfRule type="cellIs" priority="4" dxfId="129" operator="greaterThan" stopIfTrue="1">
      <formula>$D$19*0.1</formula>
    </cfRule>
  </conditionalFormatting>
  <conditionalFormatting sqref="E17">
    <cfRule type="cellIs" priority="5" dxfId="129" operator="greaterThan" stopIfTrue="1">
      <formula>$E$19*0.1</formula>
    </cfRule>
  </conditionalFormatting>
  <conditionalFormatting sqref="C36">
    <cfRule type="cellIs" priority="6" dxfId="129" operator="greaterThan" stopIfTrue="1">
      <formula>$C$38*0.1</formula>
    </cfRule>
  </conditionalFormatting>
  <conditionalFormatting sqref="D36">
    <cfRule type="cellIs" priority="7" dxfId="129" operator="greaterThan" stopIfTrue="1">
      <formula>$D$38*0.1</formula>
    </cfRule>
  </conditionalFormatting>
  <conditionalFormatting sqref="E36">
    <cfRule type="cellIs" priority="8" dxfId="129" operator="greaterThan" stopIfTrue="1">
      <formula>$E$38*0.1</formula>
    </cfRule>
  </conditionalFormatting>
  <conditionalFormatting sqref="C54">
    <cfRule type="cellIs" priority="9" dxfId="129" operator="greaterThan" stopIfTrue="1">
      <formula>$C$56*0.1</formula>
    </cfRule>
  </conditionalFormatting>
  <conditionalFormatting sqref="D54">
    <cfRule type="cellIs" priority="10" dxfId="129" operator="greaterThan" stopIfTrue="1">
      <formula>$D$56*0.1</formula>
    </cfRule>
  </conditionalFormatting>
  <conditionalFormatting sqref="E54">
    <cfRule type="cellIs" priority="11" dxfId="129" operator="greaterThan" stopIfTrue="1">
      <formula>$E$56*0.1</formula>
    </cfRule>
  </conditionalFormatting>
  <conditionalFormatting sqref="C63">
    <cfRule type="cellIs" priority="12" dxfId="129" operator="greaterThan" stopIfTrue="1">
      <formula>$C$65*0.1</formula>
    </cfRule>
  </conditionalFormatting>
  <conditionalFormatting sqref="D63">
    <cfRule type="cellIs" priority="13" dxfId="129" operator="greaterThan" stopIfTrue="1">
      <formula>$D$65*0.1</formula>
    </cfRule>
  </conditionalFormatting>
  <conditionalFormatting sqref="E63">
    <cfRule type="cellIs" priority="14" dxfId="129" operator="greaterThan" stopIfTrue="1">
      <formula>$E$65*0.1</formula>
    </cfRule>
  </conditionalFormatting>
  <conditionalFormatting sqref="D65">
    <cfRule type="cellIs" priority="15" dxfId="1" operator="greaterThan" stopIfTrue="1">
      <formula>$D$67</formula>
    </cfRule>
  </conditionalFormatting>
  <conditionalFormatting sqref="C65">
    <cfRule type="cellIs" priority="16" dxfId="1" operator="greaterThan" stopIfTrue="1">
      <formula>$C$67</formula>
    </cfRule>
  </conditionalFormatting>
  <conditionalFormatting sqref="C66 E66 C39 E39">
    <cfRule type="cellIs" priority="17" dxfId="1" operator="lessThan" stopIfTrue="1">
      <formula>0</formula>
    </cfRule>
  </conditionalFormatting>
  <conditionalFormatting sqref="D38">
    <cfRule type="cellIs" priority="18" dxfId="1" operator="greaterThan" stopIfTrue="1">
      <formula>$D$40</formula>
    </cfRule>
  </conditionalFormatting>
  <conditionalFormatting sqref="C38">
    <cfRule type="cellIs" priority="19" dxfId="1" operator="greaterThan" stopIfTrue="1">
      <formula>$C$40</formula>
    </cfRule>
  </conditionalFormatting>
  <conditionalFormatting sqref="D66 D39">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E65" sqref="E65"/>
    </sheetView>
  </sheetViews>
  <sheetFormatPr defaultColWidth="8.796875" defaultRowHeight="15"/>
  <cols>
    <col min="1" max="1" width="2.3984375" style="43" customWidth="1"/>
    <col min="2" max="2" width="31.09765625" style="43" customWidth="1"/>
    <col min="3" max="4" width="15.796875" style="43" customWidth="1"/>
    <col min="5" max="5" width="16.09765625" style="43" customWidth="1"/>
    <col min="6" max="16384" width="8.8984375" style="43" customWidth="1"/>
  </cols>
  <sheetData>
    <row r="1" spans="2:5" ht="15.75">
      <c r="B1" s="198" t="str">
        <f>(inputPrYr!D2)</f>
        <v>City of Kechi </v>
      </c>
      <c r="C1" s="45"/>
      <c r="D1" s="45"/>
      <c r="E1" s="248">
        <f>inputPrYr!C5</f>
        <v>2012</v>
      </c>
    </row>
    <row r="2" spans="2:5" ht="15.75">
      <c r="B2" s="45"/>
      <c r="C2" s="45"/>
      <c r="D2" s="45"/>
      <c r="E2" s="169"/>
    </row>
    <row r="3" spans="2:5" ht="15.75">
      <c r="B3" s="249" t="s">
        <v>175</v>
      </c>
      <c r="C3" s="286"/>
      <c r="D3" s="286"/>
      <c r="E3" s="286"/>
    </row>
    <row r="4" spans="2:5" ht="15.75">
      <c r="B4" s="50" t="s">
        <v>104</v>
      </c>
      <c r="C4" s="567" t="s">
        <v>126</v>
      </c>
      <c r="D4" s="566" t="s">
        <v>247</v>
      </c>
      <c r="E4" s="566" t="s">
        <v>248</v>
      </c>
    </row>
    <row r="5" spans="2:5" ht="15.75">
      <c r="B5" s="516" t="str">
        <f>inputPrYr!B42</f>
        <v>Equipment Reserve</v>
      </c>
      <c r="C5" s="251">
        <f>E1-2</f>
        <v>2010</v>
      </c>
      <c r="D5" s="251">
        <f>E1-1</f>
        <v>2011</v>
      </c>
      <c r="E5" s="251">
        <f>E1</f>
        <v>2012</v>
      </c>
    </row>
    <row r="6" spans="2:5" ht="15.75">
      <c r="B6" s="252" t="s">
        <v>229</v>
      </c>
      <c r="C6" s="65">
        <v>11088</v>
      </c>
      <c r="D6" s="228">
        <f>C35</f>
        <v>17703</v>
      </c>
      <c r="E6" s="228">
        <f>D35</f>
        <v>7651</v>
      </c>
    </row>
    <row r="7" spans="2:5" ht="15.75">
      <c r="B7" s="255" t="s">
        <v>231</v>
      </c>
      <c r="C7" s="85"/>
      <c r="D7" s="85"/>
      <c r="E7" s="85"/>
    </row>
    <row r="8" spans="2:5" ht="15.75">
      <c r="B8" s="272" t="s">
        <v>908</v>
      </c>
      <c r="C8" s="65">
        <v>16000</v>
      </c>
      <c r="D8" s="65"/>
      <c r="E8" s="65"/>
    </row>
    <row r="9" spans="2:5" ht="15.75">
      <c r="B9" s="272" t="s">
        <v>921</v>
      </c>
      <c r="C9" s="65"/>
      <c r="D9" s="65">
        <v>15000</v>
      </c>
      <c r="E9" s="65">
        <v>10000</v>
      </c>
    </row>
    <row r="10" spans="2:5" ht="15.75">
      <c r="B10" s="272" t="s">
        <v>937</v>
      </c>
      <c r="C10" s="65"/>
      <c r="D10" s="65"/>
      <c r="E10" s="65">
        <v>10000</v>
      </c>
    </row>
    <row r="11" spans="2:5" ht="15.75">
      <c r="B11" s="272" t="s">
        <v>922</v>
      </c>
      <c r="C11" s="65"/>
      <c r="D11" s="65"/>
      <c r="E11" s="65">
        <v>15000</v>
      </c>
    </row>
    <row r="12" spans="2:5" ht="15.75">
      <c r="B12" s="272" t="s">
        <v>923</v>
      </c>
      <c r="C12" s="65"/>
      <c r="D12" s="65"/>
      <c r="E12" s="65">
        <v>39000</v>
      </c>
    </row>
    <row r="13" spans="2:5" ht="15.75">
      <c r="B13" s="260" t="s">
        <v>112</v>
      </c>
      <c r="C13" s="65"/>
      <c r="D13" s="65"/>
      <c r="E13" s="65"/>
    </row>
    <row r="14" spans="2:5" ht="15.75">
      <c r="B14" s="272"/>
      <c r="C14" s="65"/>
      <c r="D14" s="65"/>
      <c r="E14" s="65"/>
    </row>
    <row r="15" spans="2:5" ht="15.75">
      <c r="B15" s="260" t="s">
        <v>112</v>
      </c>
      <c r="C15" s="65"/>
      <c r="D15" s="65"/>
      <c r="E15" s="65"/>
    </row>
    <row r="16" spans="2:5" ht="15.75">
      <c r="B16" s="159" t="s">
        <v>17</v>
      </c>
      <c r="C16" s="213"/>
      <c r="D16" s="213"/>
      <c r="E16" s="213"/>
    </row>
    <row r="17" spans="2:5" ht="15.75">
      <c r="B17" s="252" t="s">
        <v>776</v>
      </c>
      <c r="C17" s="291">
        <f>IF(C18*0.1&lt;C16,"Exceed 10% Rule","")</f>
      </c>
      <c r="D17" s="262">
        <f>IF(D18*0.1&lt;D16,"Exceed 10% Rule","")</f>
      </c>
      <c r="E17" s="262">
        <f>IF(E18*0.1&lt;E16,"Exceed 10% Rule","")</f>
      </c>
    </row>
    <row r="18" spans="2:5" ht="15.75">
      <c r="B18" s="263" t="s">
        <v>113</v>
      </c>
      <c r="C18" s="266">
        <f>SUM(C8:C16)</f>
        <v>16000</v>
      </c>
      <c r="D18" s="266">
        <f>SUM(D8:D16)</f>
        <v>15000</v>
      </c>
      <c r="E18" s="266">
        <f>SUM(E8:E16)</f>
        <v>74000</v>
      </c>
    </row>
    <row r="19" spans="2:5" ht="15.75">
      <c r="B19" s="263" t="s">
        <v>114</v>
      </c>
      <c r="C19" s="266">
        <f>C6+C18</f>
        <v>27088</v>
      </c>
      <c r="D19" s="266">
        <f>D6+D18</f>
        <v>32703</v>
      </c>
      <c r="E19" s="266">
        <f>E6+E18</f>
        <v>81651</v>
      </c>
    </row>
    <row r="20" spans="2:5" ht="15.75">
      <c r="B20" s="150" t="s">
        <v>116</v>
      </c>
      <c r="C20" s="228"/>
      <c r="D20" s="228"/>
      <c r="E20" s="228"/>
    </row>
    <row r="21" spans="2:5" ht="15.75">
      <c r="B21" s="272"/>
      <c r="C21" s="65"/>
      <c r="D21" s="65"/>
      <c r="E21" s="65"/>
    </row>
    <row r="22" spans="2:5" ht="15.75">
      <c r="B22" s="272" t="s">
        <v>861</v>
      </c>
      <c r="C22" s="65">
        <v>9385</v>
      </c>
      <c r="D22" s="65"/>
      <c r="E22" s="65"/>
    </row>
    <row r="23" spans="2:5" ht="15.75">
      <c r="B23" s="272" t="s">
        <v>924</v>
      </c>
      <c r="C23" s="65"/>
      <c r="D23" s="65">
        <v>11052</v>
      </c>
      <c r="E23" s="65">
        <v>0</v>
      </c>
    </row>
    <row r="24" spans="2:5" ht="15.75">
      <c r="B24" s="272" t="s">
        <v>925</v>
      </c>
      <c r="C24" s="65"/>
      <c r="D24" s="65">
        <v>4000</v>
      </c>
      <c r="E24" s="65"/>
    </row>
    <row r="25" spans="2:5" ht="15.75">
      <c r="B25" s="272" t="s">
        <v>938</v>
      </c>
      <c r="C25" s="65"/>
      <c r="D25" s="65">
        <v>0</v>
      </c>
      <c r="E25" s="65">
        <v>5000</v>
      </c>
    </row>
    <row r="26" spans="2:5" ht="15.75">
      <c r="B26" s="272" t="s">
        <v>840</v>
      </c>
      <c r="C26" s="65"/>
      <c r="D26" s="65">
        <v>7900</v>
      </c>
      <c r="E26" s="65">
        <v>7900</v>
      </c>
    </row>
    <row r="27" spans="2:5" ht="15.75">
      <c r="B27" s="272" t="s">
        <v>939</v>
      </c>
      <c r="C27" s="65"/>
      <c r="D27" s="65">
        <v>0</v>
      </c>
      <c r="E27" s="65">
        <v>12000</v>
      </c>
    </row>
    <row r="28" spans="2:5" ht="15.75">
      <c r="B28" s="272" t="s">
        <v>940</v>
      </c>
      <c r="C28" s="65"/>
      <c r="D28" s="65"/>
      <c r="E28" s="65">
        <v>12000</v>
      </c>
    </row>
    <row r="29" spans="2:5" ht="15.75">
      <c r="B29" s="272" t="s">
        <v>158</v>
      </c>
      <c r="C29" s="65"/>
      <c r="D29" s="65"/>
      <c r="E29" s="65">
        <v>40000</v>
      </c>
    </row>
    <row r="30" spans="2:5" ht="15.75">
      <c r="B30" s="272"/>
      <c r="C30" s="65"/>
      <c r="D30" s="65">
        <v>0</v>
      </c>
      <c r="E30" s="65">
        <v>0</v>
      </c>
    </row>
    <row r="31" spans="2:5" ht="15.75">
      <c r="B31" s="272" t="s">
        <v>926</v>
      </c>
      <c r="C31" s="65"/>
      <c r="D31" s="65">
        <v>2100</v>
      </c>
      <c r="E31" s="65">
        <v>0</v>
      </c>
    </row>
    <row r="32" spans="2:5" ht="15.75">
      <c r="B32" s="273" t="s">
        <v>17</v>
      </c>
      <c r="C32" s="65"/>
      <c r="D32" s="257"/>
      <c r="E32" s="257"/>
    </row>
    <row r="33" spans="2:5" ht="15.75">
      <c r="B33" s="273" t="s">
        <v>777</v>
      </c>
      <c r="C33" s="291">
        <f>IF(C34*0.1&lt;C32,"Exceed 10% Rule","")</f>
      </c>
      <c r="D33" s="262">
        <f>IF(D34*0.1&lt;D32,"Exceed 10% Rule","")</f>
      </c>
      <c r="E33" s="262">
        <f>IF(E34*0.1&lt;E32,"Exceed 10% Rule","")</f>
      </c>
    </row>
    <row r="34" spans="2:5" ht="15.75">
      <c r="B34" s="263" t="s">
        <v>120</v>
      </c>
      <c r="C34" s="266">
        <f>SUM(C21:C32)</f>
        <v>9385</v>
      </c>
      <c r="D34" s="266">
        <f>SUM(D21:D32)</f>
        <v>25052</v>
      </c>
      <c r="E34" s="266">
        <f>SUM(E21:E32)</f>
        <v>76900</v>
      </c>
    </row>
    <row r="35" spans="2:5" ht="15.75">
      <c r="B35" s="150" t="s">
        <v>230</v>
      </c>
      <c r="C35" s="80">
        <f>C19-C34</f>
        <v>17703</v>
      </c>
      <c r="D35" s="80">
        <f>D19-D34</f>
        <v>7651</v>
      </c>
      <c r="E35" s="80">
        <f>E19-E34</f>
        <v>4751</v>
      </c>
    </row>
    <row r="36" spans="2:5" ht="15.75">
      <c r="B36" s="136" t="str">
        <f>CONCATENATE("",E1-2,"/",E1-1," Budget Authority Amount:")</f>
        <v>2010/2011 Budget Authority Amount:</v>
      </c>
      <c r="C36" s="241">
        <f>inputOth!B82</f>
        <v>29052</v>
      </c>
      <c r="D36" s="241">
        <f>inputPrYr!D42</f>
        <v>25052</v>
      </c>
      <c r="E36" s="349">
        <f>IF(E35&lt;0,"See Tab E","")</f>
      </c>
    </row>
    <row r="37" spans="2:5" ht="15.75">
      <c r="B37" s="136"/>
      <c r="C37" s="276">
        <f>IF(C34&gt;C36,"See Tab A","")</f>
      </c>
      <c r="D37" s="276">
        <f>IF(D34&gt;D36,"See Tab C","")</f>
      </c>
      <c r="E37" s="95"/>
    </row>
    <row r="38" spans="2:5" ht="15.75">
      <c r="B38" s="136"/>
      <c r="C38" s="276">
        <f>IF(C35&lt;0,"See Tab B","")</f>
      </c>
      <c r="D38" s="276">
        <f>IF(D35&lt;0,"See Tab D","")</f>
      </c>
      <c r="E38" s="95"/>
    </row>
    <row r="39" spans="2:5" ht="15.75">
      <c r="B39" s="45"/>
      <c r="C39" s="95"/>
      <c r="D39" s="95"/>
      <c r="E39" s="95"/>
    </row>
    <row r="40" spans="2:5" ht="15.75">
      <c r="B40" s="50" t="s">
        <v>104</v>
      </c>
      <c r="C40" s="289"/>
      <c r="D40" s="289"/>
      <c r="E40" s="289"/>
    </row>
    <row r="41" spans="2:5" ht="15.75">
      <c r="B41" s="45"/>
      <c r="C41" s="567" t="s">
        <v>126</v>
      </c>
      <c r="D41" s="566" t="s">
        <v>247</v>
      </c>
      <c r="E41" s="566" t="s">
        <v>248</v>
      </c>
    </row>
    <row r="42" spans="2:5" ht="15.75">
      <c r="B42" s="516" t="str">
        <f>inputPrYr!B43</f>
        <v>Capital Improvements</v>
      </c>
      <c r="C42" s="251">
        <f>C5</f>
        <v>2010</v>
      </c>
      <c r="D42" s="251">
        <f>D5</f>
        <v>2011</v>
      </c>
      <c r="E42" s="251">
        <f>E5</f>
        <v>2012</v>
      </c>
    </row>
    <row r="43" spans="2:5" ht="15.75">
      <c r="B43" s="252" t="s">
        <v>229</v>
      </c>
      <c r="C43" s="65">
        <v>15448</v>
      </c>
      <c r="D43" s="228">
        <f>C64</f>
        <v>21679</v>
      </c>
      <c r="E43" s="228">
        <f>D64</f>
        <v>6679</v>
      </c>
    </row>
    <row r="44" spans="2:5" ht="15.75">
      <c r="B44" s="255" t="s">
        <v>231</v>
      </c>
      <c r="C44" s="85"/>
      <c r="D44" s="85"/>
      <c r="E44" s="85"/>
    </row>
    <row r="45" spans="2:5" ht="15.75">
      <c r="B45" s="272" t="s">
        <v>908</v>
      </c>
      <c r="C45" s="65">
        <v>26500</v>
      </c>
      <c r="D45" s="65">
        <v>0</v>
      </c>
      <c r="E45" s="65"/>
    </row>
    <row r="46" spans="2:5" ht="15.75">
      <c r="B46" s="272" t="s">
        <v>959</v>
      </c>
      <c r="C46" s="65"/>
      <c r="D46" s="65">
        <v>0</v>
      </c>
      <c r="E46" s="65">
        <v>19550</v>
      </c>
    </row>
    <row r="47" spans="2:5" ht="15.75">
      <c r="B47" s="272" t="s">
        <v>927</v>
      </c>
      <c r="C47" s="65"/>
      <c r="D47" s="65">
        <v>20000</v>
      </c>
      <c r="E47" s="65">
        <v>15000</v>
      </c>
    </row>
    <row r="48" spans="2:5" ht="15.75">
      <c r="B48" s="272" t="s">
        <v>928</v>
      </c>
      <c r="C48" s="65"/>
      <c r="D48" s="65"/>
      <c r="E48" s="65">
        <v>10000</v>
      </c>
    </row>
    <row r="49" spans="2:5" ht="15.75">
      <c r="B49" s="272" t="s">
        <v>958</v>
      </c>
      <c r="C49" s="65"/>
      <c r="D49" s="65"/>
      <c r="E49" s="65">
        <v>10000</v>
      </c>
    </row>
    <row r="50" spans="2:5" ht="15.75">
      <c r="B50" s="260" t="s">
        <v>112</v>
      </c>
      <c r="C50" s="65"/>
      <c r="D50" s="65"/>
      <c r="E50" s="65"/>
    </row>
    <row r="51" spans="2:5" ht="15.75">
      <c r="B51" s="159" t="s">
        <v>17</v>
      </c>
      <c r="C51" s="65"/>
      <c r="D51" s="257"/>
      <c r="E51" s="257"/>
    </row>
    <row r="52" spans="2:5" ht="15.75">
      <c r="B52" s="252" t="s">
        <v>776</v>
      </c>
      <c r="C52" s="291">
        <f>IF(C53*0.1&lt;C51,"Exceed 10% Rule","")</f>
      </c>
      <c r="D52" s="262">
        <f>IF(D53*0.1&lt;D51,"Exceed 10% Rule","")</f>
      </c>
      <c r="E52" s="262">
        <f>IF(E53*0.1&lt;E51,"Exceed 10% Rule","")</f>
      </c>
    </row>
    <row r="53" spans="2:5" ht="15.75">
      <c r="B53" s="263" t="s">
        <v>113</v>
      </c>
      <c r="C53" s="266">
        <f>SUM(C45:C51)</f>
        <v>26500</v>
      </c>
      <c r="D53" s="266">
        <f>SUM(D45:D51)</f>
        <v>20000</v>
      </c>
      <c r="E53" s="266">
        <f>SUM(E45:E51)</f>
        <v>54550</v>
      </c>
    </row>
    <row r="54" spans="2:5" ht="15.75">
      <c r="B54" s="263" t="s">
        <v>114</v>
      </c>
      <c r="C54" s="266">
        <f>C43+C53</f>
        <v>41948</v>
      </c>
      <c r="D54" s="266">
        <f>D43+D53</f>
        <v>41679</v>
      </c>
      <c r="E54" s="266">
        <f>E43+E53</f>
        <v>61229</v>
      </c>
    </row>
    <row r="55" spans="2:5" ht="15.75">
      <c r="B55" s="150" t="s">
        <v>116</v>
      </c>
      <c r="C55" s="228"/>
      <c r="D55" s="228"/>
      <c r="E55" s="228"/>
    </row>
    <row r="56" spans="2:5" ht="15.75">
      <c r="B56" s="272"/>
      <c r="C56" s="65"/>
      <c r="D56" s="65"/>
      <c r="E56" s="65"/>
    </row>
    <row r="57" spans="2:5" ht="15.75">
      <c r="B57" s="272" t="s">
        <v>929</v>
      </c>
      <c r="C57" s="65">
        <v>14334</v>
      </c>
      <c r="D57" s="65"/>
      <c r="E57" s="65"/>
    </row>
    <row r="58" spans="2:5" ht="15.75">
      <c r="B58" s="272" t="s">
        <v>930</v>
      </c>
      <c r="C58" s="65">
        <v>5935</v>
      </c>
      <c r="D58" s="65"/>
      <c r="E58" s="65"/>
    </row>
    <row r="59" spans="2:5" ht="15.75">
      <c r="B59" s="272" t="s">
        <v>861</v>
      </c>
      <c r="C59" s="65"/>
      <c r="D59" s="65">
        <v>35000</v>
      </c>
      <c r="E59" s="65">
        <v>25000</v>
      </c>
    </row>
    <row r="60" spans="2:5" ht="15.75">
      <c r="B60" s="272"/>
      <c r="C60" s="65"/>
      <c r="D60" s="65"/>
      <c r="E60" s="65"/>
    </row>
    <row r="61" spans="2:5" ht="15.75">
      <c r="B61" s="273" t="s">
        <v>17</v>
      </c>
      <c r="C61" s="65"/>
      <c r="D61" s="257"/>
      <c r="E61" s="257"/>
    </row>
    <row r="62" spans="2:5" ht="15.75">
      <c r="B62" s="273" t="s">
        <v>777</v>
      </c>
      <c r="C62" s="291">
        <f>IF(C63*0.1&lt;C61,"Exceed 10% Rule","")</f>
      </c>
      <c r="D62" s="262">
        <f>IF(D63*0.1&lt;D61,"Exceed 10% Rule","")</f>
      </c>
      <c r="E62" s="262">
        <f>IF(E63*0.1&lt;E61,"Exceed 10% Rule","")</f>
      </c>
    </row>
    <row r="63" spans="2:5" ht="15.75">
      <c r="B63" s="263" t="s">
        <v>120</v>
      </c>
      <c r="C63" s="266">
        <f>SUM(C56:C61)</f>
        <v>20269</v>
      </c>
      <c r="D63" s="266">
        <f>SUM(D56:D61)</f>
        <v>35000</v>
      </c>
      <c r="E63" s="266">
        <f>SUM(E56:E61)</f>
        <v>25000</v>
      </c>
    </row>
    <row r="64" spans="2:5" ht="15.75">
      <c r="B64" s="150" t="s">
        <v>230</v>
      </c>
      <c r="C64" s="80">
        <f>C54-C63</f>
        <v>21679</v>
      </c>
      <c r="D64" s="80">
        <f>D54-D63</f>
        <v>6679</v>
      </c>
      <c r="E64" s="80">
        <f>E54-E63</f>
        <v>36229</v>
      </c>
    </row>
    <row r="65" spans="2:5" ht="15.75">
      <c r="B65" s="136" t="str">
        <f>CONCATENATE("",E1-2,"/",E1-1," Budget Authority Amount:")</f>
        <v>2010/2011 Budget Authority Amount:</v>
      </c>
      <c r="C65" s="241">
        <f>inputOth!B83</f>
        <v>25000</v>
      </c>
      <c r="D65" s="241">
        <f>inputPrYr!D43</f>
        <v>35000</v>
      </c>
      <c r="E65" s="349">
        <f>IF(E64&lt;0,"See Tab E","")</f>
      </c>
    </row>
    <row r="66" spans="2:5" ht="15.75">
      <c r="B66" s="136"/>
      <c r="C66" s="276">
        <f>IF(C63&gt;C65,"See Tab A","")</f>
      </c>
      <c r="D66" s="276">
        <f>IF(D63&gt;D65,"See Tab C","")</f>
      </c>
      <c r="E66" s="45"/>
    </row>
    <row r="67" spans="2:5" ht="15.75">
      <c r="B67" s="136"/>
      <c r="C67" s="276">
        <f>IF(C64&lt;0,"See Tab B","")</f>
      </c>
      <c r="D67" s="276">
        <f>IF(D64&lt;0,"See Tab D","")</f>
      </c>
      <c r="E67" s="45"/>
    </row>
    <row r="68" spans="2:5" ht="15.75">
      <c r="B68" s="45"/>
      <c r="C68" s="45"/>
      <c r="D68" s="45"/>
      <c r="E68" s="45"/>
    </row>
    <row r="69" spans="2:5" ht="15.75">
      <c r="B69" s="373" t="s">
        <v>123</v>
      </c>
      <c r="C69" s="281">
        <v>13</v>
      </c>
      <c r="D69" s="45"/>
      <c r="E69" s="45"/>
    </row>
  </sheetData>
  <sheetProtection/>
  <conditionalFormatting sqref="C16">
    <cfRule type="cellIs" priority="4" dxfId="129" operator="greaterThan" stopIfTrue="1">
      <formula>$C$18*0.1</formula>
    </cfRule>
  </conditionalFormatting>
  <conditionalFormatting sqref="D16">
    <cfRule type="cellIs" priority="5" dxfId="129" operator="greaterThan" stopIfTrue="1">
      <formula>$D$18*0.1</formula>
    </cfRule>
  </conditionalFormatting>
  <conditionalFormatting sqref="E16">
    <cfRule type="cellIs" priority="6" dxfId="129" operator="greaterThan" stopIfTrue="1">
      <formula>$E$18*0.1</formula>
    </cfRule>
  </conditionalFormatting>
  <conditionalFormatting sqref="C32">
    <cfRule type="cellIs" priority="7" dxfId="129" operator="greaterThan" stopIfTrue="1">
      <formula>$C$34*0.1</formula>
    </cfRule>
  </conditionalFormatting>
  <conditionalFormatting sqref="D32">
    <cfRule type="cellIs" priority="8" dxfId="129" operator="greaterThan" stopIfTrue="1">
      <formula>$D$34*0.1</formula>
    </cfRule>
  </conditionalFormatting>
  <conditionalFormatting sqref="E32">
    <cfRule type="cellIs" priority="9" dxfId="129" operator="greaterThan" stopIfTrue="1">
      <formula>$E$34*0.1</formula>
    </cfRule>
  </conditionalFormatting>
  <conditionalFormatting sqref="C51">
    <cfRule type="cellIs" priority="10" dxfId="129" operator="greaterThan" stopIfTrue="1">
      <formula>$C$53*0.1</formula>
    </cfRule>
  </conditionalFormatting>
  <conditionalFormatting sqref="D51">
    <cfRule type="cellIs" priority="11" dxfId="129" operator="greaterThan" stopIfTrue="1">
      <formula>$D$53*0.1</formula>
    </cfRule>
  </conditionalFormatting>
  <conditionalFormatting sqref="E51">
    <cfRule type="cellIs" priority="12" dxfId="129" operator="greaterThan" stopIfTrue="1">
      <formula>$E$53*0.1</formula>
    </cfRule>
  </conditionalFormatting>
  <conditionalFormatting sqref="C61">
    <cfRule type="cellIs" priority="13" dxfId="129" operator="greaterThan" stopIfTrue="1">
      <formula>$C$63*0.1</formula>
    </cfRule>
  </conditionalFormatting>
  <conditionalFormatting sqref="D61">
    <cfRule type="cellIs" priority="14" dxfId="129" operator="greaterThan" stopIfTrue="1">
      <formula>$D$63*0.1</formula>
    </cfRule>
  </conditionalFormatting>
  <conditionalFormatting sqref="E61">
    <cfRule type="cellIs" priority="15" dxfId="129" operator="greaterThan" stopIfTrue="1">
      <formula>$E$63*0.1</formula>
    </cfRule>
  </conditionalFormatting>
  <conditionalFormatting sqref="D63">
    <cfRule type="cellIs" priority="16" dxfId="1" operator="greaterThan" stopIfTrue="1">
      <formula>$D$65</formula>
    </cfRule>
  </conditionalFormatting>
  <conditionalFormatting sqref="C63">
    <cfRule type="cellIs" priority="17" dxfId="1" operator="greaterThan" stopIfTrue="1">
      <formula>$C$65</formula>
    </cfRule>
  </conditionalFormatting>
  <conditionalFormatting sqref="C64 E64 C35 E35">
    <cfRule type="cellIs" priority="18" dxfId="1" operator="lessThan" stopIfTrue="1">
      <formula>0</formula>
    </cfRule>
  </conditionalFormatting>
  <conditionalFormatting sqref="C34">
    <cfRule type="cellIs" priority="20" dxfId="1" operator="greaterThan" stopIfTrue="1">
      <formula>$C$36</formula>
    </cfRule>
  </conditionalFormatting>
  <conditionalFormatting sqref="D64 D35">
    <cfRule type="cellIs" priority="3"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82">
      <selection activeCell="B46" sqref="B46"/>
    </sheetView>
  </sheetViews>
  <sheetFormatPr defaultColWidth="8.796875" defaultRowHeight="15"/>
  <cols>
    <col min="1" max="1" width="15.796875" style="43" customWidth="1"/>
    <col min="2" max="2" width="20.796875" style="43" customWidth="1"/>
    <col min="3" max="3" width="9.796875" style="43" customWidth="1"/>
    <col min="4" max="4" width="15.09765625" style="43" customWidth="1"/>
    <col min="5" max="5" width="15.796875" style="43" customWidth="1"/>
    <col min="6" max="16384" width="8.8984375" style="43" customWidth="1"/>
  </cols>
  <sheetData>
    <row r="1" spans="1:5" ht="15.75">
      <c r="A1" s="644" t="s">
        <v>72</v>
      </c>
      <c r="B1" s="645"/>
      <c r="C1" s="645"/>
      <c r="D1" s="645"/>
      <c r="E1" s="645"/>
    </row>
    <row r="2" spans="1:5" ht="15.75">
      <c r="A2" s="44" t="s">
        <v>22</v>
      </c>
      <c r="B2" s="45"/>
      <c r="C2" s="45"/>
      <c r="D2" s="46" t="s">
        <v>824</v>
      </c>
      <c r="E2" s="47"/>
    </row>
    <row r="3" spans="1:5" ht="15.75">
      <c r="A3" s="44" t="s">
        <v>23</v>
      </c>
      <c r="B3" s="45"/>
      <c r="C3" s="45"/>
      <c r="D3" s="48" t="s">
        <v>825</v>
      </c>
      <c r="E3" s="49"/>
    </row>
    <row r="4" spans="1:5" ht="15.75">
      <c r="A4" s="50"/>
      <c r="B4" s="45"/>
      <c r="C4" s="45"/>
      <c r="D4" s="51"/>
      <c r="E4" s="45"/>
    </row>
    <row r="5" spans="1:5" ht="15.75">
      <c r="A5" s="44" t="s">
        <v>257</v>
      </c>
      <c r="B5" s="45"/>
      <c r="C5" s="52">
        <v>2012</v>
      </c>
      <c r="D5" s="51"/>
      <c r="E5" s="45"/>
    </row>
    <row r="6" spans="1:5" ht="15.75">
      <c r="A6" s="45"/>
      <c r="B6" s="45"/>
      <c r="C6" s="45"/>
      <c r="D6" s="45"/>
      <c r="E6" s="45"/>
    </row>
    <row r="7" spans="1:5" ht="15.75">
      <c r="A7" s="53" t="s">
        <v>358</v>
      </c>
      <c r="B7" s="54"/>
      <c r="C7" s="54"/>
      <c r="D7" s="54"/>
      <c r="E7" s="54"/>
    </row>
    <row r="8" spans="1:5" ht="15.75">
      <c r="A8" s="53" t="s">
        <v>357</v>
      </c>
      <c r="B8" s="54"/>
      <c r="C8" s="54"/>
      <c r="D8" s="54"/>
      <c r="E8" s="54"/>
    </row>
    <row r="9" spans="1:5" ht="15.75">
      <c r="A9" s="53"/>
      <c r="B9" s="54"/>
      <c r="C9" s="54"/>
      <c r="D9" s="54"/>
      <c r="E9" s="54"/>
    </row>
    <row r="10" spans="1:5" ht="15.75">
      <c r="A10" s="642" t="s">
        <v>315</v>
      </c>
      <c r="B10" s="643"/>
      <c r="C10" s="643"/>
      <c r="D10" s="643"/>
      <c r="E10" s="643"/>
    </row>
    <row r="11" spans="1:5" ht="15.75">
      <c r="A11" s="45"/>
      <c r="B11" s="45"/>
      <c r="C11" s="45"/>
      <c r="D11" s="45"/>
      <c r="E11" s="45"/>
    </row>
    <row r="12" spans="1:5" ht="15.75">
      <c r="A12" s="55" t="s">
        <v>316</v>
      </c>
      <c r="B12" s="56"/>
      <c r="C12" s="45"/>
      <c r="D12" s="45"/>
      <c r="E12" s="45"/>
    </row>
    <row r="13" spans="1:5" ht="15.75">
      <c r="A13" s="57" t="str">
        <f>CONCATENATE("the ",C5-1," Budget, Certificate Page:")</f>
        <v>the 2011 Budget, Certificate Page:</v>
      </c>
      <c r="B13" s="58"/>
      <c r="C13" s="45"/>
      <c r="D13" s="45"/>
      <c r="E13" s="45"/>
    </row>
    <row r="14" spans="1:5" ht="15.75">
      <c r="A14" s="57" t="s">
        <v>360</v>
      </c>
      <c r="B14" s="58"/>
      <c r="C14" s="45"/>
      <c r="D14" s="45"/>
      <c r="E14" s="45"/>
    </row>
    <row r="15" spans="1:5" ht="15.75">
      <c r="A15" s="45"/>
      <c r="B15" s="45"/>
      <c r="C15" s="45"/>
      <c r="D15" s="59">
        <f>C5-1</f>
        <v>2011</v>
      </c>
      <c r="E15" s="59">
        <f>C5-2</f>
        <v>2010</v>
      </c>
    </row>
    <row r="16" spans="1:5" ht="15.75">
      <c r="A16" s="50" t="s">
        <v>73</v>
      </c>
      <c r="B16" s="45"/>
      <c r="C16" s="60" t="s">
        <v>74</v>
      </c>
      <c r="D16" s="61" t="s">
        <v>359</v>
      </c>
      <c r="E16" s="61" t="s">
        <v>64</v>
      </c>
    </row>
    <row r="17" spans="1:5" ht="15.75">
      <c r="A17" s="45"/>
      <c r="B17" s="62" t="s">
        <v>75</v>
      </c>
      <c r="C17" s="156" t="s">
        <v>233</v>
      </c>
      <c r="D17" s="64">
        <v>922072</v>
      </c>
      <c r="E17" s="64">
        <v>392592</v>
      </c>
    </row>
    <row r="18" spans="1:5" ht="15.75">
      <c r="A18" s="45"/>
      <c r="B18" s="62" t="s">
        <v>47</v>
      </c>
      <c r="C18" s="156" t="s">
        <v>258</v>
      </c>
      <c r="D18" s="65">
        <v>701540</v>
      </c>
      <c r="E18" s="65">
        <v>130236</v>
      </c>
    </row>
    <row r="19" spans="1:5" ht="15.75">
      <c r="A19" s="50" t="s">
        <v>76</v>
      </c>
      <c r="B19" s="45"/>
      <c r="C19" s="45"/>
      <c r="D19" s="45"/>
      <c r="E19" s="66"/>
    </row>
    <row r="20" spans="1:5" ht="15.75">
      <c r="A20" s="45"/>
      <c r="B20" s="67"/>
      <c r="C20" s="353"/>
      <c r="D20" s="65"/>
      <c r="E20" s="65"/>
    </row>
    <row r="21" spans="1:5" ht="15.75">
      <c r="A21" s="45"/>
      <c r="B21" s="67"/>
      <c r="C21" s="353"/>
      <c r="D21" s="65"/>
      <c r="E21" s="65"/>
    </row>
    <row r="22" spans="1:5" ht="15.75">
      <c r="A22" s="45"/>
      <c r="B22" s="67"/>
      <c r="C22" s="353"/>
      <c r="D22" s="65"/>
      <c r="E22" s="65"/>
    </row>
    <row r="23" spans="1:5" ht="15.75">
      <c r="A23" s="45"/>
      <c r="B23" s="67"/>
      <c r="C23" s="353"/>
      <c r="D23" s="65"/>
      <c r="E23" s="65"/>
    </row>
    <row r="24" spans="1:5" ht="15.75">
      <c r="A24" s="45"/>
      <c r="B24" s="67"/>
      <c r="C24" s="353"/>
      <c r="D24" s="65"/>
      <c r="E24" s="65"/>
    </row>
    <row r="25" spans="1:5" ht="15.75">
      <c r="A25" s="45"/>
      <c r="B25" s="67"/>
      <c r="C25" s="353"/>
      <c r="D25" s="65"/>
      <c r="E25" s="65"/>
    </row>
    <row r="26" spans="1:5" ht="15.75">
      <c r="A26" s="45"/>
      <c r="B26" s="67"/>
      <c r="C26" s="353"/>
      <c r="D26" s="65"/>
      <c r="E26" s="65"/>
    </row>
    <row r="27" spans="1:5" ht="15.75">
      <c r="A27" s="45"/>
      <c r="B27" s="67"/>
      <c r="C27" s="353"/>
      <c r="D27" s="65"/>
      <c r="E27" s="65"/>
    </row>
    <row r="28" spans="1:5" ht="15.75">
      <c r="A28" s="45"/>
      <c r="B28" s="67"/>
      <c r="C28" s="353"/>
      <c r="D28" s="65"/>
      <c r="E28" s="65"/>
    </row>
    <row r="29" spans="1:5" ht="15.75">
      <c r="A29" s="45"/>
      <c r="B29" s="67"/>
      <c r="C29" s="353"/>
      <c r="D29" s="65"/>
      <c r="E29" s="65"/>
    </row>
    <row r="30" spans="1:5" ht="15.75">
      <c r="A30" s="45"/>
      <c r="B30" s="67"/>
      <c r="C30" s="353"/>
      <c r="D30" s="257"/>
      <c r="E30" s="257"/>
    </row>
    <row r="31" spans="1:5" ht="15.75">
      <c r="A31" s="68" t="str">
        <f>CONCATENATE("Total Tax Levy Funds for ",C5-1," Budgeted Year")</f>
        <v>Total Tax Levy Funds for 2011 Budgeted Year</v>
      </c>
      <c r="B31" s="69"/>
      <c r="C31" s="70"/>
      <c r="D31" s="71"/>
      <c r="E31" s="72">
        <f>SUM(E17:E30)</f>
        <v>522828</v>
      </c>
    </row>
    <row r="32" spans="1:5" ht="15.75">
      <c r="A32" s="73"/>
      <c r="B32" s="74"/>
      <c r="C32" s="74"/>
      <c r="D32" s="75"/>
      <c r="E32" s="66"/>
    </row>
    <row r="33" spans="1:5" ht="15.75">
      <c r="A33" s="50" t="s">
        <v>263</v>
      </c>
      <c r="B33" s="45"/>
      <c r="C33" s="45"/>
      <c r="D33" s="45"/>
      <c r="E33" s="45"/>
    </row>
    <row r="34" spans="1:5" ht="15.75">
      <c r="A34" s="45"/>
      <c r="B34" s="63" t="s">
        <v>208</v>
      </c>
      <c r="C34" s="45"/>
      <c r="D34" s="65">
        <v>75000</v>
      </c>
      <c r="E34" s="45"/>
    </row>
    <row r="35" spans="1:5" ht="15.75">
      <c r="A35" s="45"/>
      <c r="B35" s="67"/>
      <c r="C35" s="45"/>
      <c r="D35" s="65"/>
      <c r="E35" s="45"/>
    </row>
    <row r="36" spans="1:5" ht="15.75">
      <c r="A36" s="45"/>
      <c r="B36" s="67" t="s">
        <v>815</v>
      </c>
      <c r="C36" s="45"/>
      <c r="D36" s="65">
        <v>340000</v>
      </c>
      <c r="E36" s="45"/>
    </row>
    <row r="37" spans="1:5" ht="15.75">
      <c r="A37" s="45"/>
      <c r="B37" s="67" t="s">
        <v>816</v>
      </c>
      <c r="C37" s="45"/>
      <c r="D37" s="65">
        <v>20000</v>
      </c>
      <c r="E37" s="45"/>
    </row>
    <row r="38" spans="1:5" ht="15.75">
      <c r="A38" s="45"/>
      <c r="B38" s="67" t="s">
        <v>817</v>
      </c>
      <c r="C38" s="45"/>
      <c r="D38" s="65">
        <v>233000</v>
      </c>
      <c r="E38" s="45"/>
    </row>
    <row r="39" spans="1:5" ht="15.75">
      <c r="A39" s="45"/>
      <c r="B39" s="67" t="s">
        <v>818</v>
      </c>
      <c r="C39" s="45"/>
      <c r="D39" s="65">
        <v>10000</v>
      </c>
      <c r="E39" s="45"/>
    </row>
    <row r="40" spans="1:5" ht="15.75">
      <c r="A40" s="45"/>
      <c r="B40" s="67" t="s">
        <v>819</v>
      </c>
      <c r="C40" s="45"/>
      <c r="D40" s="65">
        <v>556500</v>
      </c>
      <c r="E40" s="45"/>
    </row>
    <row r="41" spans="1:5" ht="15.75">
      <c r="A41" s="45"/>
      <c r="B41" s="67" t="s">
        <v>820</v>
      </c>
      <c r="C41" s="45"/>
      <c r="D41" s="65">
        <v>25000</v>
      </c>
      <c r="E41" s="45"/>
    </row>
    <row r="42" spans="1:5" ht="15.75">
      <c r="A42" s="45"/>
      <c r="B42" s="67" t="s">
        <v>821</v>
      </c>
      <c r="C42" s="45"/>
      <c r="D42" s="65">
        <v>25052</v>
      </c>
      <c r="E42" s="45"/>
    </row>
    <row r="43" spans="1:5" ht="15.75">
      <c r="A43" s="45"/>
      <c r="B43" s="67" t="s">
        <v>822</v>
      </c>
      <c r="C43" s="45"/>
      <c r="D43" s="65">
        <v>35000</v>
      </c>
      <c r="E43" s="45"/>
    </row>
    <row r="44" spans="1:5" ht="15.75">
      <c r="A44" s="45"/>
      <c r="B44" s="76" t="s">
        <v>823</v>
      </c>
      <c r="C44" s="45"/>
      <c r="D44" s="65">
        <v>35000</v>
      </c>
      <c r="E44" s="45"/>
    </row>
    <row r="45" spans="1:5" ht="15.75">
      <c r="A45" s="45"/>
      <c r="B45" s="76" t="s">
        <v>849</v>
      </c>
      <c r="C45" s="45"/>
      <c r="D45" s="65">
        <v>73000</v>
      </c>
      <c r="E45" s="45"/>
    </row>
    <row r="46" spans="1:5" ht="15.75">
      <c r="A46" s="45"/>
      <c r="B46" s="76"/>
      <c r="C46" s="45"/>
      <c r="D46" s="65"/>
      <c r="E46" s="45"/>
    </row>
    <row r="47" spans="1:5" ht="15.75">
      <c r="A47" s="45"/>
      <c r="B47" s="76"/>
      <c r="C47" s="45"/>
      <c r="D47" s="65"/>
      <c r="E47" s="45"/>
    </row>
    <row r="48" spans="1:5" ht="15.75">
      <c r="A48" s="45"/>
      <c r="B48" s="76"/>
      <c r="C48" s="45"/>
      <c r="D48" s="65"/>
      <c r="E48" s="45"/>
    </row>
    <row r="49" spans="1:5" ht="15.75">
      <c r="A49" s="45"/>
      <c r="B49" s="76"/>
      <c r="C49" s="45"/>
      <c r="D49" s="65"/>
      <c r="E49" s="45"/>
    </row>
    <row r="50" spans="1:5" ht="15.75">
      <c r="A50" s="45" t="s">
        <v>287</v>
      </c>
      <c r="B50" s="77"/>
      <c r="C50" s="45"/>
      <c r="D50" s="45"/>
      <c r="E50" s="45"/>
    </row>
    <row r="51" spans="1:5" ht="15.75">
      <c r="A51" s="45">
        <v>1</v>
      </c>
      <c r="B51" s="76"/>
      <c r="C51" s="45"/>
      <c r="D51" s="65"/>
      <c r="E51" s="45"/>
    </row>
    <row r="52" spans="1:5" ht="15.75">
      <c r="A52" s="45">
        <v>2</v>
      </c>
      <c r="B52" s="76"/>
      <c r="C52" s="45"/>
      <c r="D52" s="65"/>
      <c r="E52" s="45"/>
    </row>
    <row r="53" spans="1:5" ht="15.75">
      <c r="A53" s="45">
        <v>3</v>
      </c>
      <c r="B53" s="76"/>
      <c r="C53" s="45"/>
      <c r="D53" s="65"/>
      <c r="E53" s="45"/>
    </row>
    <row r="54" spans="1:5" ht="15.75">
      <c r="A54" s="45">
        <v>4</v>
      </c>
      <c r="B54" s="76"/>
      <c r="C54" s="45"/>
      <c r="D54" s="65"/>
      <c r="E54" s="45"/>
    </row>
    <row r="55" spans="1:5" ht="15.75">
      <c r="A55" s="68" t="str">
        <f>CONCATENATE("Total Expenditures for ",C5-1," Budgeted Year")</f>
        <v>Total Expenditures for 2011 Budgeted Year</v>
      </c>
      <c r="B55" s="78"/>
      <c r="C55" s="79"/>
      <c r="D55" s="80">
        <f>SUM(D17:D18,D20:D29,D34:D49,D51:D54)</f>
        <v>3051164</v>
      </c>
      <c r="E55" s="45"/>
    </row>
    <row r="56" spans="1:5" ht="15.75">
      <c r="A56" s="45" t="s">
        <v>288</v>
      </c>
      <c r="B56" s="81"/>
      <c r="C56" s="45"/>
      <c r="D56" s="45"/>
      <c r="E56" s="45"/>
    </row>
    <row r="57" spans="1:5" ht="15.75">
      <c r="A57" s="45">
        <v>1</v>
      </c>
      <c r="B57" s="76"/>
      <c r="C57" s="45"/>
      <c r="D57" s="45"/>
      <c r="E57" s="45"/>
    </row>
    <row r="58" spans="1:5" ht="15.75">
      <c r="A58" s="45">
        <v>2</v>
      </c>
      <c r="B58" s="76"/>
      <c r="C58" s="45"/>
      <c r="D58" s="45"/>
      <c r="E58" s="45"/>
    </row>
    <row r="59" spans="1:5" ht="15.75">
      <c r="A59" s="45">
        <v>3</v>
      </c>
      <c r="B59" s="76"/>
      <c r="C59" s="45"/>
      <c r="D59" s="45"/>
      <c r="E59" s="45"/>
    </row>
    <row r="60" spans="1:5" ht="15.75">
      <c r="A60" s="45">
        <v>4</v>
      </c>
      <c r="B60" s="76"/>
      <c r="C60" s="45"/>
      <c r="D60" s="45"/>
      <c r="E60" s="45"/>
    </row>
    <row r="61" spans="1:5" ht="15.75">
      <c r="A61" s="45">
        <v>5</v>
      </c>
      <c r="B61" s="76"/>
      <c r="C61" s="45"/>
      <c r="D61" s="45"/>
      <c r="E61" s="45"/>
    </row>
    <row r="62" spans="1:5" ht="15.75">
      <c r="A62" s="45" t="s">
        <v>289</v>
      </c>
      <c r="B62" s="77"/>
      <c r="C62" s="45"/>
      <c r="D62" s="45"/>
      <c r="E62" s="45"/>
    </row>
    <row r="63" spans="1:5" ht="15.75">
      <c r="A63" s="45">
        <v>1</v>
      </c>
      <c r="B63" s="76"/>
      <c r="C63" s="45"/>
      <c r="D63" s="45"/>
      <c r="E63" s="45"/>
    </row>
    <row r="64" spans="1:5" ht="15.75">
      <c r="A64" s="45">
        <v>2</v>
      </c>
      <c r="B64" s="76"/>
      <c r="C64" s="45"/>
      <c r="D64" s="45"/>
      <c r="E64" s="45"/>
    </row>
    <row r="65" spans="1:5" ht="15.75">
      <c r="A65" s="45">
        <v>3</v>
      </c>
      <c r="B65" s="76"/>
      <c r="C65" s="45"/>
      <c r="D65" s="45"/>
      <c r="E65" s="45"/>
    </row>
    <row r="66" spans="1:5" ht="15.75">
      <c r="A66" s="45">
        <v>4</v>
      </c>
      <c r="B66" s="76"/>
      <c r="C66" s="45"/>
      <c r="D66" s="45"/>
      <c r="E66" s="45"/>
    </row>
    <row r="67" spans="1:5" ht="15.75">
      <c r="A67" s="45">
        <v>5</v>
      </c>
      <c r="B67" s="76"/>
      <c r="C67" s="45"/>
      <c r="D67" s="45"/>
      <c r="E67" s="45"/>
    </row>
    <row r="68" spans="1:5" ht="15.75">
      <c r="A68" s="45" t="s">
        <v>290</v>
      </c>
      <c r="B68" s="77"/>
      <c r="C68" s="45"/>
      <c r="D68" s="45"/>
      <c r="E68" s="45"/>
    </row>
    <row r="69" spans="1:5" ht="15.75">
      <c r="A69" s="45">
        <v>1</v>
      </c>
      <c r="B69" s="76"/>
      <c r="C69" s="45"/>
      <c r="D69" s="45"/>
      <c r="E69" s="45"/>
    </row>
    <row r="70" spans="1:5" ht="15.75">
      <c r="A70" s="45">
        <v>2</v>
      </c>
      <c r="B70" s="76"/>
      <c r="C70" s="45"/>
      <c r="D70" s="45"/>
      <c r="E70" s="45"/>
    </row>
    <row r="71" spans="1:5" ht="15.75">
      <c r="A71" s="45">
        <v>3</v>
      </c>
      <c r="B71" s="76"/>
      <c r="C71" s="45"/>
      <c r="D71" s="45"/>
      <c r="E71" s="45"/>
    </row>
    <row r="72" spans="1:5" ht="15.75">
      <c r="A72" s="45">
        <v>4</v>
      </c>
      <c r="B72" s="76"/>
      <c r="C72" s="45"/>
      <c r="D72" s="45"/>
      <c r="E72" s="45"/>
    </row>
    <row r="73" spans="1:5" ht="15.75">
      <c r="A73" s="45">
        <v>5</v>
      </c>
      <c r="B73" s="76"/>
      <c r="C73" s="45"/>
      <c r="D73" s="45"/>
      <c r="E73" s="45"/>
    </row>
    <row r="74" spans="1:5" ht="15.75">
      <c r="A74" s="45" t="s">
        <v>291</v>
      </c>
      <c r="B74" s="77"/>
      <c r="C74" s="45"/>
      <c r="D74" s="45"/>
      <c r="E74" s="45"/>
    </row>
    <row r="75" spans="1:5" ht="15.75">
      <c r="A75" s="45">
        <v>1</v>
      </c>
      <c r="B75" s="76"/>
      <c r="C75" s="45"/>
      <c r="D75" s="45"/>
      <c r="E75" s="45"/>
    </row>
    <row r="76" spans="1:5" ht="15.75">
      <c r="A76" s="45">
        <v>2</v>
      </c>
      <c r="B76" s="76"/>
      <c r="C76" s="45"/>
      <c r="D76" s="45"/>
      <c r="E76" s="45"/>
    </row>
    <row r="77" spans="1:5" ht="15.75">
      <c r="A77" s="45">
        <v>3</v>
      </c>
      <c r="B77" s="76"/>
      <c r="C77" s="45"/>
      <c r="D77" s="45"/>
      <c r="E77" s="45"/>
    </row>
    <row r="78" spans="1:5" ht="15.75">
      <c r="A78" s="45">
        <v>4</v>
      </c>
      <c r="B78" s="76"/>
      <c r="C78" s="45"/>
      <c r="D78" s="45"/>
      <c r="E78" s="45"/>
    </row>
    <row r="79" spans="1:5" ht="15.75">
      <c r="A79" s="45">
        <v>5</v>
      </c>
      <c r="B79" s="76"/>
      <c r="C79" s="45"/>
      <c r="D79" s="45"/>
      <c r="E79" s="45"/>
    </row>
    <row r="80" spans="1:5" ht="15.75">
      <c r="A80" s="73"/>
      <c r="B80" s="74"/>
      <c r="C80" s="74"/>
      <c r="D80" s="74"/>
      <c r="E80" s="82"/>
    </row>
    <row r="81" spans="1:5" ht="15.75">
      <c r="A81" s="45"/>
      <c r="B81" s="45"/>
      <c r="C81" s="45"/>
      <c r="D81" s="45"/>
      <c r="E81" s="45"/>
    </row>
    <row r="82" spans="1:5" ht="15.75">
      <c r="A82" s="45"/>
      <c r="B82" s="45"/>
      <c r="C82" s="45"/>
      <c r="D82" s="83" t="str">
        <f>CONCATENATE("",C5-3," Tax Rate")</f>
        <v>2009 Tax Rate</v>
      </c>
      <c r="E82" s="45"/>
    </row>
    <row r="83" spans="1:5" ht="15.75">
      <c r="A83" s="57" t="str">
        <f>CONCATENATE("From the ",C5-1," Budget, Budget Summary Page")</f>
        <v>From the 2011 Budget, Budget Summary Page</v>
      </c>
      <c r="B83" s="58"/>
      <c r="C83" s="45"/>
      <c r="D83" s="84" t="str">
        <f>CONCATENATE("(",C5-2," Column)")</f>
        <v>(2010 Column)</v>
      </c>
      <c r="E83" s="45"/>
    </row>
    <row r="84" spans="1:5" ht="15.75">
      <c r="A84" s="45"/>
      <c r="B84" s="85" t="str">
        <f>B17</f>
        <v>General</v>
      </c>
      <c r="C84" s="45"/>
      <c r="D84" s="76">
        <v>21.894</v>
      </c>
      <c r="E84" s="45"/>
    </row>
    <row r="85" spans="1:5" ht="15.75">
      <c r="A85" s="45"/>
      <c r="B85" s="85" t="str">
        <f>B18</f>
        <v>Debt Service</v>
      </c>
      <c r="C85" s="45"/>
      <c r="D85" s="76">
        <v>11.963</v>
      </c>
      <c r="E85" s="45"/>
    </row>
    <row r="86" spans="1:5" ht="15.75">
      <c r="A86" s="45"/>
      <c r="B86" s="85">
        <f>B20</f>
        <v>0</v>
      </c>
      <c r="C86" s="45"/>
      <c r="D86" s="76"/>
      <c r="E86" s="45"/>
    </row>
    <row r="87" spans="1:5" ht="15.75">
      <c r="A87" s="45"/>
      <c r="B87" s="85">
        <f aca="true" t="shared" si="0" ref="B87:B96">B21</f>
        <v>0</v>
      </c>
      <c r="C87" s="45"/>
      <c r="D87" s="76"/>
      <c r="E87" s="45"/>
    </row>
    <row r="88" spans="1:5" ht="15.75">
      <c r="A88" s="45"/>
      <c r="B88" s="85">
        <f t="shared" si="0"/>
        <v>0</v>
      </c>
      <c r="C88" s="45"/>
      <c r="D88" s="76"/>
      <c r="E88" s="45"/>
    </row>
    <row r="89" spans="1:5" ht="15.75">
      <c r="A89" s="45"/>
      <c r="B89" s="85">
        <f t="shared" si="0"/>
        <v>0</v>
      </c>
      <c r="C89" s="45"/>
      <c r="D89" s="76"/>
      <c r="E89" s="45"/>
    </row>
    <row r="90" spans="1:5" ht="15.75">
      <c r="A90" s="45"/>
      <c r="B90" s="85">
        <f t="shared" si="0"/>
        <v>0</v>
      </c>
      <c r="C90" s="45"/>
      <c r="D90" s="76"/>
      <c r="E90" s="45"/>
    </row>
    <row r="91" spans="1:5" ht="15.75">
      <c r="A91" s="45"/>
      <c r="B91" s="85">
        <f t="shared" si="0"/>
        <v>0</v>
      </c>
      <c r="C91" s="45"/>
      <c r="D91" s="76"/>
      <c r="E91" s="45"/>
    </row>
    <row r="92" spans="1:5" ht="15.75">
      <c r="A92" s="45"/>
      <c r="B92" s="85">
        <f t="shared" si="0"/>
        <v>0</v>
      </c>
      <c r="C92" s="45"/>
      <c r="D92" s="76"/>
      <c r="E92" s="45"/>
    </row>
    <row r="93" spans="1:5" ht="15.75">
      <c r="A93" s="45"/>
      <c r="B93" s="85">
        <f t="shared" si="0"/>
        <v>0</v>
      </c>
      <c r="C93" s="45"/>
      <c r="D93" s="76"/>
      <c r="E93" s="45"/>
    </row>
    <row r="94" spans="1:5" ht="15.75">
      <c r="A94" s="45"/>
      <c r="B94" s="85">
        <f t="shared" si="0"/>
        <v>0</v>
      </c>
      <c r="C94" s="45"/>
      <c r="D94" s="76"/>
      <c r="E94" s="45"/>
    </row>
    <row r="95" spans="1:5" ht="15.75">
      <c r="A95" s="45"/>
      <c r="B95" s="85">
        <f t="shared" si="0"/>
        <v>0</v>
      </c>
      <c r="C95" s="45"/>
      <c r="D95" s="76"/>
      <c r="E95" s="45"/>
    </row>
    <row r="96" spans="1:5" ht="15.75">
      <c r="A96" s="45"/>
      <c r="B96" s="85">
        <f t="shared" si="0"/>
        <v>0</v>
      </c>
      <c r="C96" s="153"/>
      <c r="D96" s="76"/>
      <c r="E96" s="45"/>
    </row>
    <row r="97" spans="1:5" ht="15.75">
      <c r="A97" s="68" t="s">
        <v>77</v>
      </c>
      <c r="B97" s="69"/>
      <c r="C97" s="79"/>
      <c r="D97" s="86">
        <f>SUM(D84:D96)</f>
        <v>33.857</v>
      </c>
      <c r="E97" s="45"/>
    </row>
    <row r="98" spans="1:5" ht="15.75">
      <c r="A98" s="45"/>
      <c r="B98" s="45"/>
      <c r="C98" s="45"/>
      <c r="D98" s="45"/>
      <c r="E98" s="45"/>
    </row>
    <row r="99" spans="1:5" ht="15.75">
      <c r="A99" s="87" t="str">
        <f>CONCATENATE("Total Tax Levied (",C5-2," budget column)")</f>
        <v>Total Tax Levied (2010 budget column)</v>
      </c>
      <c r="B99" s="88"/>
      <c r="C99" s="69"/>
      <c r="D99" s="79"/>
      <c r="E99" s="65">
        <v>522363</v>
      </c>
    </row>
    <row r="100" spans="1:5" ht="15.75">
      <c r="A100" s="89" t="str">
        <f>CONCATENATE("Assessed Valuation  (",C5-2," budget column)")</f>
        <v>Assessed Valuation  (2010 budget column)</v>
      </c>
      <c r="B100" s="90"/>
      <c r="C100" s="70"/>
      <c r="D100" s="91"/>
      <c r="E100" s="65">
        <v>15428734</v>
      </c>
    </row>
    <row r="101" spans="1:5" ht="15.75">
      <c r="A101" s="73"/>
      <c r="B101" s="74"/>
      <c r="C101" s="74"/>
      <c r="D101" s="74"/>
      <c r="E101" s="82"/>
    </row>
    <row r="102" spans="1:5" ht="15.75">
      <c r="A102" s="92" t="str">
        <f>CONCATENATE("From the ",C5-1," Budget, Budget Summary Page")</f>
        <v>From the 2011 Budget, Budget Summary Page</v>
      </c>
      <c r="B102" s="93"/>
      <c r="C102" s="45"/>
      <c r="D102" s="94"/>
      <c r="E102" s="95"/>
    </row>
    <row r="103" spans="1:5" ht="15.75">
      <c r="A103" s="56" t="s">
        <v>3</v>
      </c>
      <c r="B103" s="56"/>
      <c r="C103" s="96"/>
      <c r="D103" s="97">
        <f>C5-3</f>
        <v>2009</v>
      </c>
      <c r="E103" s="98">
        <f>C5-2</f>
        <v>2010</v>
      </c>
    </row>
    <row r="104" spans="1:5" ht="15.75">
      <c r="A104" s="99" t="s">
        <v>259</v>
      </c>
      <c r="B104" s="99"/>
      <c r="C104" s="100"/>
      <c r="D104" s="101">
        <v>6690000</v>
      </c>
      <c r="E104" s="101">
        <v>6325000</v>
      </c>
    </row>
    <row r="105" spans="1:5" ht="15.75">
      <c r="A105" s="102" t="s">
        <v>260</v>
      </c>
      <c r="B105" s="102"/>
      <c r="C105" s="103"/>
      <c r="D105" s="101"/>
      <c r="E105" s="101"/>
    </row>
    <row r="106" spans="1:5" ht="15.75">
      <c r="A106" s="102" t="s">
        <v>261</v>
      </c>
      <c r="B106" s="102"/>
      <c r="C106" s="103"/>
      <c r="D106" s="101">
        <v>3621000</v>
      </c>
      <c r="E106" s="101">
        <v>3561000</v>
      </c>
    </row>
    <row r="107" spans="1:5" ht="15.75">
      <c r="A107" s="102" t="s">
        <v>262</v>
      </c>
      <c r="B107" s="102"/>
      <c r="C107" s="103"/>
      <c r="D107" s="101">
        <v>43594</v>
      </c>
      <c r="E107" s="101">
        <v>18950</v>
      </c>
    </row>
    <row r="108" spans="1:5" ht="15.75">
      <c r="A108" s="104"/>
      <c r="B108" s="104"/>
      <c r="C108" s="104"/>
      <c r="D108" s="104"/>
      <c r="E108" s="104"/>
    </row>
    <row r="109" spans="1:5" ht="15.75">
      <c r="A109" s="104"/>
      <c r="B109" s="104"/>
      <c r="C109" s="104"/>
      <c r="D109" s="104"/>
      <c r="E109" s="104"/>
    </row>
    <row r="110" spans="1:5" ht="15.75">
      <c r="A110" s="104"/>
      <c r="B110" s="104"/>
      <c r="C110" s="104"/>
      <c r="D110" s="104"/>
      <c r="E110" s="104"/>
    </row>
    <row r="111" spans="1:5" ht="15.75">
      <c r="A111" s="104"/>
      <c r="B111" s="104"/>
      <c r="C111" s="104"/>
      <c r="D111" s="104"/>
      <c r="E111" s="104"/>
    </row>
    <row r="112" spans="1:5" ht="15.75">
      <c r="A112" s="104"/>
      <c r="B112" s="104"/>
      <c r="C112" s="104"/>
      <c r="D112" s="104"/>
      <c r="E112" s="104"/>
    </row>
    <row r="113" spans="1:5" ht="15.75">
      <c r="A113" s="104"/>
      <c r="B113" s="104"/>
      <c r="C113" s="104"/>
      <c r="D113" s="104"/>
      <c r="E113" s="104"/>
    </row>
    <row r="114" s="104" customFormat="1" ht="15"/>
    <row r="115" spans="1:5" ht="15.75">
      <c r="A115" s="104"/>
      <c r="B115" s="104"/>
      <c r="C115" s="104"/>
      <c r="D115" s="104"/>
      <c r="E115" s="104"/>
    </row>
    <row r="116" spans="1:5" ht="15.75">
      <c r="A116" s="104"/>
      <c r="B116" s="104"/>
      <c r="C116" s="104"/>
      <c r="D116" s="104"/>
      <c r="E116" s="104"/>
    </row>
    <row r="117" spans="1:5" ht="15.75">
      <c r="A117" s="104"/>
      <c r="B117" s="104"/>
      <c r="C117" s="104"/>
      <c r="D117" s="104"/>
      <c r="E117" s="104"/>
    </row>
    <row r="118" spans="1:5" ht="15.75">
      <c r="A118" s="104"/>
      <c r="B118" s="104"/>
      <c r="C118" s="104"/>
      <c r="D118" s="104"/>
      <c r="E118" s="104"/>
    </row>
    <row r="119" spans="1:5" ht="15.75">
      <c r="A119" s="104"/>
      <c r="B119" s="104"/>
      <c r="C119" s="104"/>
      <c r="D119" s="104"/>
      <c r="E119" s="104"/>
    </row>
    <row r="120" spans="1:5" ht="15.75">
      <c r="A120" s="104"/>
      <c r="B120" s="104"/>
      <c r="C120" s="104"/>
      <c r="D120" s="104"/>
      <c r="E120" s="104"/>
    </row>
    <row r="121" spans="1:5" ht="15.75">
      <c r="A121" s="104"/>
      <c r="B121" s="104"/>
      <c r="C121" s="104"/>
      <c r="D121" s="104"/>
      <c r="E121" s="104"/>
    </row>
    <row r="122" spans="1:5" ht="15.75">
      <c r="A122" s="104"/>
      <c r="B122" s="104"/>
      <c r="C122" s="104"/>
      <c r="D122" s="104"/>
      <c r="E122" s="104"/>
    </row>
    <row r="123" spans="1:5" ht="15.75">
      <c r="A123" s="104"/>
      <c r="B123" s="104"/>
      <c r="C123" s="104"/>
      <c r="D123" s="104"/>
      <c r="E123" s="104"/>
    </row>
    <row r="124" spans="1:5" ht="15.75">
      <c r="A124" s="104"/>
      <c r="B124" s="104"/>
      <c r="C124" s="104"/>
      <c r="D124" s="104"/>
      <c r="E124" s="104"/>
    </row>
    <row r="125" spans="1:5" ht="15.75">
      <c r="A125" s="104"/>
      <c r="B125" s="104"/>
      <c r="C125" s="104"/>
      <c r="D125" s="104"/>
      <c r="E125" s="104"/>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1">
      <selection activeCell="B32" sqref="B32"/>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16384" width="8.8984375" style="30" customWidth="1"/>
  </cols>
  <sheetData>
    <row r="1" spans="2:5" ht="15.75">
      <c r="B1" s="198" t="str">
        <f>(inputPrYr!D2)</f>
        <v>City of Kechi </v>
      </c>
      <c r="C1" s="45"/>
      <c r="D1" s="45"/>
      <c r="E1" s="248">
        <f>inputPrYr!C5</f>
        <v>2012</v>
      </c>
    </row>
    <row r="2" spans="2:5" ht="15.75">
      <c r="B2" s="45"/>
      <c r="C2" s="45"/>
      <c r="D2" s="45"/>
      <c r="E2" s="169"/>
    </row>
    <row r="3" spans="2:5" ht="15.75">
      <c r="B3" s="249" t="s">
        <v>175</v>
      </c>
      <c r="C3" s="286"/>
      <c r="D3" s="286"/>
      <c r="E3" s="286"/>
    </row>
    <row r="4" spans="2:5" ht="15.75">
      <c r="B4" s="50" t="s">
        <v>104</v>
      </c>
      <c r="C4" s="567" t="s">
        <v>126</v>
      </c>
      <c r="D4" s="566" t="s">
        <v>247</v>
      </c>
      <c r="E4" s="566" t="s">
        <v>248</v>
      </c>
    </row>
    <row r="5" spans="2:5" ht="15.75">
      <c r="B5" s="516" t="str">
        <f>inputPrYr!B44</f>
        <v>Recycling</v>
      </c>
      <c r="C5" s="251">
        <f>E1-2</f>
        <v>2010</v>
      </c>
      <c r="D5" s="251">
        <f>E1-1</f>
        <v>2011</v>
      </c>
      <c r="E5" s="251">
        <f>E1</f>
        <v>2012</v>
      </c>
    </row>
    <row r="6" spans="2:5" ht="15.75">
      <c r="B6" s="252" t="s">
        <v>229</v>
      </c>
      <c r="C6" s="65">
        <v>4442</v>
      </c>
      <c r="D6" s="228">
        <f>C25</f>
        <v>2152</v>
      </c>
      <c r="E6" s="228">
        <f>D25</f>
        <v>7152</v>
      </c>
    </row>
    <row r="7" spans="2:5" s="43" customFormat="1" ht="15.75">
      <c r="B7" s="255" t="s">
        <v>231</v>
      </c>
      <c r="C7" s="85"/>
      <c r="D7" s="85"/>
      <c r="E7" s="85"/>
    </row>
    <row r="8" spans="2:5" ht="15.75">
      <c r="B8" s="272" t="s">
        <v>909</v>
      </c>
      <c r="C8" s="65">
        <v>34360</v>
      </c>
      <c r="D8" s="65">
        <v>40000</v>
      </c>
      <c r="E8" s="65">
        <v>45000</v>
      </c>
    </row>
    <row r="9" spans="2:5" ht="15.75">
      <c r="B9" s="272"/>
      <c r="C9" s="65"/>
      <c r="D9" s="65"/>
      <c r="E9" s="65"/>
    </row>
    <row r="10" spans="2:5" ht="15.75">
      <c r="B10" s="272"/>
      <c r="C10" s="65"/>
      <c r="D10" s="65"/>
      <c r="E10" s="65"/>
    </row>
    <row r="11" spans="2:5" ht="15.75">
      <c r="B11" s="272"/>
      <c r="C11" s="65"/>
      <c r="D11" s="65"/>
      <c r="E11" s="65"/>
    </row>
    <row r="12" spans="2:5" ht="15.75">
      <c r="B12" s="260" t="s">
        <v>112</v>
      </c>
      <c r="C12" s="65"/>
      <c r="D12" s="65"/>
      <c r="E12" s="65"/>
    </row>
    <row r="13" spans="2:5" ht="15.75">
      <c r="B13" s="159" t="s">
        <v>17</v>
      </c>
      <c r="C13" s="65"/>
      <c r="D13" s="257"/>
      <c r="E13" s="257"/>
    </row>
    <row r="14" spans="2:5" ht="15.75">
      <c r="B14" s="252" t="s">
        <v>776</v>
      </c>
      <c r="C14" s="291">
        <f>IF(C15*0.1&lt;C13,"Exceed 10% Rule","")</f>
      </c>
      <c r="D14" s="262">
        <f>IF(D15*0.1&lt;D13,"Exceed 10% Rule","")</f>
      </c>
      <c r="E14" s="262">
        <f>IF(E15*0.1&lt;E13,"Exceed 10% Rule","")</f>
      </c>
    </row>
    <row r="15" spans="2:5" ht="15.75">
      <c r="B15" s="263" t="s">
        <v>113</v>
      </c>
      <c r="C15" s="266">
        <f>SUM(C8:C13)</f>
        <v>34360</v>
      </c>
      <c r="D15" s="266">
        <f>SUM(D8:D13)</f>
        <v>40000</v>
      </c>
      <c r="E15" s="266">
        <f>SUM(E8:E13)</f>
        <v>45000</v>
      </c>
    </row>
    <row r="16" spans="2:5" ht="15.75">
      <c r="B16" s="263" t="s">
        <v>114</v>
      </c>
      <c r="C16" s="266">
        <f>C6+C15</f>
        <v>38802</v>
      </c>
      <c r="D16" s="266">
        <f>D6+D15</f>
        <v>42152</v>
      </c>
      <c r="E16" s="266">
        <f>E6+E15</f>
        <v>52152</v>
      </c>
    </row>
    <row r="17" spans="2:5" ht="15.75">
      <c r="B17" s="150" t="s">
        <v>116</v>
      </c>
      <c r="C17" s="228"/>
      <c r="D17" s="228"/>
      <c r="E17" s="228"/>
    </row>
    <row r="18" spans="2:5" ht="15.75">
      <c r="B18" s="272"/>
      <c r="C18" s="65"/>
      <c r="D18" s="65"/>
      <c r="E18" s="65"/>
    </row>
    <row r="19" spans="2:5" ht="15.75">
      <c r="B19" s="272" t="s">
        <v>931</v>
      </c>
      <c r="C19" s="65">
        <v>36650</v>
      </c>
      <c r="D19" s="65">
        <v>35000</v>
      </c>
      <c r="E19" s="65">
        <v>50000</v>
      </c>
    </row>
    <row r="20" spans="2:5" ht="15.75">
      <c r="B20" s="272" t="s">
        <v>930</v>
      </c>
      <c r="C20" s="65"/>
      <c r="D20" s="65"/>
      <c r="E20" s="65"/>
    </row>
    <row r="21" spans="2:5" ht="15.75">
      <c r="B21" s="272"/>
      <c r="C21" s="65"/>
      <c r="D21" s="65"/>
      <c r="E21" s="65"/>
    </row>
    <row r="22" spans="2:5" ht="15.75">
      <c r="B22" s="273" t="s">
        <v>17</v>
      </c>
      <c r="C22" s="65"/>
      <c r="D22" s="257"/>
      <c r="E22" s="257"/>
    </row>
    <row r="23" spans="2:5" ht="15.75">
      <c r="B23" s="273" t="s">
        <v>777</v>
      </c>
      <c r="C23" s="291">
        <f>IF(C24*0.1&lt;C22,"Exceed 10% Rule","")</f>
      </c>
      <c r="D23" s="262">
        <f>IF(D24*0.1&lt;D22,"Exceed 10% Rule","")</f>
      </c>
      <c r="E23" s="262">
        <f>IF(E24*0.1&lt;E22,"Exceed 10% Rule","")</f>
      </c>
    </row>
    <row r="24" spans="2:5" ht="15.75">
      <c r="B24" s="263" t="s">
        <v>120</v>
      </c>
      <c r="C24" s="266">
        <f>SUM(C18:C22)</f>
        <v>36650</v>
      </c>
      <c r="D24" s="266">
        <f>SUM(D18:D22)</f>
        <v>35000</v>
      </c>
      <c r="E24" s="266">
        <f>SUM(E18:E22)</f>
        <v>50000</v>
      </c>
    </row>
    <row r="25" spans="2:5" ht="15.75">
      <c r="B25" s="150" t="s">
        <v>230</v>
      </c>
      <c r="C25" s="80">
        <f>C16-C24</f>
        <v>2152</v>
      </c>
      <c r="D25" s="80">
        <f>D16-D24</f>
        <v>7152</v>
      </c>
      <c r="E25" s="80">
        <f>E16-E24</f>
        <v>2152</v>
      </c>
    </row>
    <row r="26" spans="2:5" ht="15.75">
      <c r="B26" s="136" t="str">
        <f>CONCATENATE("",E1-2,"/",E1-1," Budget Authority Amount:")</f>
        <v>2010/2011 Budget Authority Amount:</v>
      </c>
      <c r="C26" s="241">
        <f>inputOth!B84</f>
        <v>40000</v>
      </c>
      <c r="D26" s="241">
        <f>inputPrYr!D44</f>
        <v>35000</v>
      </c>
      <c r="E26" s="349">
        <f>IF(E25&lt;0,"See Tab E","")</f>
      </c>
    </row>
    <row r="27" spans="2:5" ht="15.75">
      <c r="B27" s="136"/>
      <c r="C27" s="276">
        <f>IF(C24&gt;C26,"See Tab A","")</f>
      </c>
      <c r="D27" s="276">
        <f>IF(D24&gt;D26,"See Tab C","")</f>
      </c>
      <c r="E27" s="95"/>
    </row>
    <row r="28" spans="2:5" ht="15.75">
      <c r="B28" s="136"/>
      <c r="C28" s="276">
        <f>IF(C25&lt;0,"See Tab B","")</f>
      </c>
      <c r="D28" s="276">
        <f>IF(D25&lt;0,"See Tab D","")</f>
      </c>
      <c r="E28" s="95"/>
    </row>
    <row r="29" spans="2:5" ht="15.75">
      <c r="B29" s="45"/>
      <c r="C29" s="95"/>
      <c r="D29" s="95"/>
      <c r="E29" s="95"/>
    </row>
    <row r="30" spans="2:5" ht="15.75">
      <c r="B30" s="50" t="s">
        <v>104</v>
      </c>
      <c r="C30" s="289"/>
      <c r="D30" s="289"/>
      <c r="E30" s="289"/>
    </row>
    <row r="31" spans="2:5" ht="15.75">
      <c r="B31" s="45"/>
      <c r="C31" s="567" t="s">
        <v>126</v>
      </c>
      <c r="D31" s="566" t="s">
        <v>247</v>
      </c>
      <c r="E31" s="566" t="s">
        <v>248</v>
      </c>
    </row>
    <row r="32" spans="2:5" ht="15.75">
      <c r="B32" s="516" t="str">
        <f>inputPrYr!B45</f>
        <v>Solid Waste</v>
      </c>
      <c r="C32" s="251">
        <f>C5</f>
        <v>2010</v>
      </c>
      <c r="D32" s="251">
        <f>D5</f>
        <v>2011</v>
      </c>
      <c r="E32" s="251">
        <f>E5</f>
        <v>2012</v>
      </c>
    </row>
    <row r="33" spans="2:5" ht="15.75">
      <c r="B33" s="252" t="s">
        <v>229</v>
      </c>
      <c r="C33" s="65">
        <v>2384</v>
      </c>
      <c r="D33" s="228">
        <f>C53</f>
        <v>1712</v>
      </c>
      <c r="E33" s="228">
        <f>D53</f>
        <v>3712</v>
      </c>
    </row>
    <row r="34" spans="2:5" s="43" customFormat="1" ht="15.75">
      <c r="B34" s="255" t="s">
        <v>231</v>
      </c>
      <c r="C34" s="85"/>
      <c r="D34" s="85"/>
      <c r="E34" s="85"/>
    </row>
    <row r="35" spans="2:5" ht="15.75">
      <c r="B35" s="272"/>
      <c r="C35" s="65"/>
      <c r="D35" s="65"/>
      <c r="E35" s="65"/>
    </row>
    <row r="36" spans="2:5" ht="15.75">
      <c r="B36" s="272" t="s">
        <v>909</v>
      </c>
      <c r="C36" s="65">
        <v>63946</v>
      </c>
      <c r="D36" s="65">
        <v>75000</v>
      </c>
      <c r="E36" s="65">
        <v>77000</v>
      </c>
    </row>
    <row r="37" spans="2:5" ht="15.75">
      <c r="B37" s="272"/>
      <c r="C37" s="65"/>
      <c r="D37" s="65"/>
      <c r="E37" s="65"/>
    </row>
    <row r="38" spans="2:5" ht="15.75">
      <c r="B38" s="272"/>
      <c r="C38" s="65"/>
      <c r="D38" s="65"/>
      <c r="E38" s="65"/>
    </row>
    <row r="39" spans="2:5" ht="15.75">
      <c r="B39" s="260" t="s">
        <v>112</v>
      </c>
      <c r="C39" s="65"/>
      <c r="D39" s="65"/>
      <c r="E39" s="65"/>
    </row>
    <row r="40" spans="2:5" ht="15.75">
      <c r="B40" s="159" t="s">
        <v>17</v>
      </c>
      <c r="C40" s="65"/>
      <c r="D40" s="257"/>
      <c r="E40" s="257"/>
    </row>
    <row r="41" spans="2:5" ht="15.75">
      <c r="B41" s="252" t="s">
        <v>776</v>
      </c>
      <c r="C41" s="291">
        <f>IF(C42*0.1&lt;C40,"Exceed 10% Rule","")</f>
      </c>
      <c r="D41" s="262">
        <f>IF(D42*0.1&lt;D40,"Exceed 10% Rule","")</f>
      </c>
      <c r="E41" s="262">
        <f>IF(E42*0.1&lt;E40,"Exceed 10% Rule","")</f>
      </c>
    </row>
    <row r="42" spans="2:5" ht="15.75">
      <c r="B42" s="263" t="s">
        <v>113</v>
      </c>
      <c r="C42" s="266">
        <f>SUM(C35:C40)</f>
        <v>63946</v>
      </c>
      <c r="D42" s="266">
        <f>SUM(D35:D40)</f>
        <v>75000</v>
      </c>
      <c r="E42" s="266">
        <f>SUM(E35:E40)</f>
        <v>77000</v>
      </c>
    </row>
    <row r="43" spans="2:5" ht="15.75">
      <c r="B43" s="263" t="s">
        <v>114</v>
      </c>
      <c r="C43" s="266">
        <f>C33+C42</f>
        <v>66330</v>
      </c>
      <c r="D43" s="266">
        <f>D33+D42</f>
        <v>76712</v>
      </c>
      <c r="E43" s="266">
        <f>E33+E42</f>
        <v>80712</v>
      </c>
    </row>
    <row r="44" spans="2:5" ht="15.75">
      <c r="B44" s="150" t="s">
        <v>116</v>
      </c>
      <c r="C44" s="228"/>
      <c r="D44" s="228"/>
      <c r="E44" s="228"/>
    </row>
    <row r="45" spans="2:5" ht="15.75">
      <c r="B45" s="272"/>
      <c r="C45" s="65"/>
      <c r="D45" s="65"/>
      <c r="E45" s="65"/>
    </row>
    <row r="46" spans="2:5" ht="15.75">
      <c r="B46" s="272" t="s">
        <v>932</v>
      </c>
      <c r="C46" s="65">
        <v>64618</v>
      </c>
      <c r="D46" s="65">
        <v>73000</v>
      </c>
      <c r="E46" s="65">
        <v>77000</v>
      </c>
    </row>
    <row r="47" spans="2:5" ht="15.75">
      <c r="B47" s="272" t="s">
        <v>933</v>
      </c>
      <c r="C47" s="65"/>
      <c r="D47" s="65"/>
      <c r="E47" s="65"/>
    </row>
    <row r="48" spans="2:5" ht="15.75">
      <c r="B48" s="272"/>
      <c r="C48" s="65"/>
      <c r="D48" s="65"/>
      <c r="E48" s="65"/>
    </row>
    <row r="49" spans="2:5" ht="15.75">
      <c r="B49" s="272"/>
      <c r="C49" s="65"/>
      <c r="D49" s="65"/>
      <c r="E49" s="65"/>
    </row>
    <row r="50" spans="2:5" ht="15.75">
      <c r="B50" s="273" t="s">
        <v>17</v>
      </c>
      <c r="C50" s="65"/>
      <c r="D50" s="257"/>
      <c r="E50" s="257"/>
    </row>
    <row r="51" spans="2:5" ht="15.75">
      <c r="B51" s="273" t="s">
        <v>777</v>
      </c>
      <c r="C51" s="291">
        <f>IF(C52*0.1&lt;C50,"Exceed 10% Rule","")</f>
      </c>
      <c r="D51" s="262">
        <f>IF(D52*0.1&lt;D50,"Exceed 10% Rule","")</f>
      </c>
      <c r="E51" s="262">
        <f>IF(E52*0.1&lt;E50,"Exceed 10% Rule","")</f>
      </c>
    </row>
    <row r="52" spans="2:5" ht="15.75">
      <c r="B52" s="263" t="s">
        <v>120</v>
      </c>
      <c r="C52" s="266">
        <f>SUM(C45:C50)</f>
        <v>64618</v>
      </c>
      <c r="D52" s="266">
        <f>SUM(D45:D50)</f>
        <v>73000</v>
      </c>
      <c r="E52" s="266">
        <f>SUM(E45:E50)</f>
        <v>77000</v>
      </c>
    </row>
    <row r="53" spans="2:5" ht="15.75">
      <c r="B53" s="150" t="s">
        <v>230</v>
      </c>
      <c r="C53" s="80">
        <f>C43-C52</f>
        <v>1712</v>
      </c>
      <c r="D53" s="80">
        <f>D43-D52</f>
        <v>3712</v>
      </c>
      <c r="E53" s="80">
        <f>E43-E52</f>
        <v>3712</v>
      </c>
    </row>
    <row r="54" spans="2:5" ht="15.75">
      <c r="B54" s="136" t="str">
        <f>CONCATENATE("",E1-2,"/",E1-1," Budget Authority Amount:")</f>
        <v>2010/2011 Budget Authority Amount:</v>
      </c>
      <c r="C54" s="241">
        <f>inputOth!B85</f>
        <v>76000</v>
      </c>
      <c r="D54" s="241">
        <f>inputPrYr!D45</f>
        <v>73000</v>
      </c>
      <c r="E54" s="349">
        <f>IF(E53&lt;0,"See Tab E","")</f>
      </c>
    </row>
    <row r="55" spans="2:5" ht="15.75">
      <c r="B55" s="136"/>
      <c r="C55" s="276">
        <f>IF(C52&gt;C54,"See Tab A","")</f>
      </c>
      <c r="D55" s="276">
        <f>IF(D52&gt;D54,"See Tab C","")</f>
      </c>
      <c r="E55" s="45"/>
    </row>
    <row r="56" spans="2:5" ht="15.75">
      <c r="B56" s="136"/>
      <c r="C56" s="276">
        <f>IF(C53&lt;0,"See Tab B","")</f>
      </c>
      <c r="D56" s="276">
        <f>IF(D53&lt;0,"See Tab D","")</f>
      </c>
      <c r="E56" s="45"/>
    </row>
    <row r="57" spans="2:5" ht="15.75">
      <c r="B57" s="45"/>
      <c r="C57" s="45"/>
      <c r="D57" s="45"/>
      <c r="E57" s="45"/>
    </row>
    <row r="58" spans="2:5" ht="15.75">
      <c r="B58" s="373" t="s">
        <v>123</v>
      </c>
      <c r="C58" s="281">
        <v>14</v>
      </c>
      <c r="D58" s="45"/>
      <c r="E58" s="45"/>
    </row>
  </sheetData>
  <sheetProtection/>
  <conditionalFormatting sqref="C13">
    <cfRule type="cellIs" priority="3" dxfId="129" operator="greaterThan" stopIfTrue="1">
      <formula>$C$15*0.1</formula>
    </cfRule>
  </conditionalFormatting>
  <conditionalFormatting sqref="D13">
    <cfRule type="cellIs" priority="4" dxfId="129" operator="greaterThan" stopIfTrue="1">
      <formula>$D$15*0.1</formula>
    </cfRule>
  </conditionalFormatting>
  <conditionalFormatting sqref="E13">
    <cfRule type="cellIs" priority="5" dxfId="129" operator="greaterThan" stopIfTrue="1">
      <formula>$E$15*0.1</formula>
    </cfRule>
  </conditionalFormatting>
  <conditionalFormatting sqref="C22">
    <cfRule type="cellIs" priority="6" dxfId="129" operator="greaterThan" stopIfTrue="1">
      <formula>$C$24*0.1</formula>
    </cfRule>
  </conditionalFormatting>
  <conditionalFormatting sqref="D22">
    <cfRule type="cellIs" priority="7" dxfId="129" operator="greaterThan" stopIfTrue="1">
      <formula>$D$24*0.1</formula>
    </cfRule>
  </conditionalFormatting>
  <conditionalFormatting sqref="E22">
    <cfRule type="cellIs" priority="8" dxfId="129" operator="greaterThan" stopIfTrue="1">
      <formula>$E$24*0.1</formula>
    </cfRule>
  </conditionalFormatting>
  <conditionalFormatting sqref="C40">
    <cfRule type="cellIs" priority="9" dxfId="129" operator="greaterThan" stopIfTrue="1">
      <formula>$C$42*0.1</formula>
    </cfRule>
  </conditionalFormatting>
  <conditionalFormatting sqref="D40">
    <cfRule type="cellIs" priority="10" dxfId="129" operator="greaterThan" stopIfTrue="1">
      <formula>$D$42*0.1</formula>
    </cfRule>
  </conditionalFormatting>
  <conditionalFormatting sqref="E40">
    <cfRule type="cellIs" priority="11" dxfId="129" operator="greaterThan" stopIfTrue="1">
      <formula>$E$42*0.1</formula>
    </cfRule>
  </conditionalFormatting>
  <conditionalFormatting sqref="C50">
    <cfRule type="cellIs" priority="12" dxfId="129" operator="greaterThan" stopIfTrue="1">
      <formula>$C$52*0.1</formula>
    </cfRule>
  </conditionalFormatting>
  <conditionalFormatting sqref="D50">
    <cfRule type="cellIs" priority="13" dxfId="129" operator="greaterThan" stopIfTrue="1">
      <formula>$D$52*0.1</formula>
    </cfRule>
  </conditionalFormatting>
  <conditionalFormatting sqref="E50">
    <cfRule type="cellIs" priority="14" dxfId="129" operator="greaterThan" stopIfTrue="1">
      <formula>$E$52*0.1</formula>
    </cfRule>
  </conditionalFormatting>
  <conditionalFormatting sqref="C52:D52">
    <cfRule type="cellIs" priority="15" dxfId="1" operator="greaterThan" stopIfTrue="1">
      <formula>$D$54</formula>
    </cfRule>
  </conditionalFormatting>
  <conditionalFormatting sqref="C53 E53 C25 E25">
    <cfRule type="cellIs" priority="16" dxfId="1" operator="lessThan" stopIfTrue="1">
      <formula>0</formula>
    </cfRule>
  </conditionalFormatting>
  <conditionalFormatting sqref="D24">
    <cfRule type="cellIs" priority="17" dxfId="1" operator="greaterThan" stopIfTrue="1">
      <formula>$D$26</formula>
    </cfRule>
  </conditionalFormatting>
  <conditionalFormatting sqref="C24">
    <cfRule type="cellIs" priority="18" dxfId="1" operator="greaterThan" stopIfTrue="1">
      <formula>$C$26</formula>
    </cfRule>
  </conditionalFormatting>
  <conditionalFormatting sqref="D53 D25">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M55"/>
  <sheetViews>
    <sheetView zoomScale="75" zoomScaleNormal="75" zoomScalePageLayoutView="0" workbookViewId="0" topLeftCell="B1">
      <selection activeCell="D56" sqref="D56"/>
    </sheetView>
  </sheetViews>
  <sheetFormatPr defaultColWidth="8.796875" defaultRowHeight="15"/>
  <cols>
    <col min="1" max="1" width="20.796875" style="30" customWidth="1"/>
    <col min="2" max="2" width="15.796875" style="30" customWidth="1"/>
    <col min="3" max="3" width="10.796875" style="30" customWidth="1"/>
    <col min="4" max="4" width="15.796875" style="30" customWidth="1"/>
    <col min="5" max="5" width="10.796875" style="30" customWidth="1"/>
    <col min="6" max="6" width="15.796875" style="30" customWidth="1"/>
    <col min="7" max="7" width="12.796875" style="30" customWidth="1"/>
    <col min="8" max="8" width="10.796875" style="30" customWidth="1"/>
    <col min="9" max="9" width="8.8984375" style="30" customWidth="1"/>
    <col min="10" max="10" width="12.3984375" style="30" customWidth="1"/>
    <col min="11" max="11" width="12.296875" style="30" customWidth="1"/>
    <col min="12" max="12" width="10.59765625" style="30" customWidth="1"/>
    <col min="13" max="13" width="12.09765625" style="30" customWidth="1"/>
    <col min="14" max="16384" width="8.8984375" style="30" customWidth="1"/>
  </cols>
  <sheetData>
    <row r="1" spans="1:9" ht="15.75">
      <c r="A1" s="667" t="s">
        <v>171</v>
      </c>
      <c r="B1" s="667"/>
      <c r="C1" s="667"/>
      <c r="D1" s="667"/>
      <c r="E1" s="667"/>
      <c r="F1" s="667"/>
      <c r="G1" s="667"/>
      <c r="H1" s="667"/>
      <c r="I1" s="292"/>
    </row>
    <row r="2" spans="1:8" ht="18" customHeight="1">
      <c r="A2" s="45"/>
      <c r="B2" s="45"/>
      <c r="C2" s="45"/>
      <c r="D2" s="45"/>
      <c r="E2" s="45"/>
      <c r="F2" s="45"/>
      <c r="G2" s="45"/>
      <c r="H2" s="45">
        <f>inputPrYr!$C$5</f>
        <v>2012</v>
      </c>
    </row>
    <row r="3" spans="1:8" ht="18" customHeight="1">
      <c r="A3" s="659" t="s">
        <v>125</v>
      </c>
      <c r="B3" s="659"/>
      <c r="C3" s="659"/>
      <c r="D3" s="659"/>
      <c r="E3" s="659"/>
      <c r="F3" s="659"/>
      <c r="G3" s="659"/>
      <c r="H3" s="659"/>
    </row>
    <row r="4" spans="1:8" ht="15.75">
      <c r="A4" s="657" t="str">
        <f>inputPrYr!D2</f>
        <v>City of Kechi </v>
      </c>
      <c r="B4" s="657"/>
      <c r="C4" s="657"/>
      <c r="D4" s="657"/>
      <c r="E4" s="657"/>
      <c r="F4" s="657"/>
      <c r="G4" s="657"/>
      <c r="H4" s="657"/>
    </row>
    <row r="5" spans="1:8" ht="18" customHeight="1">
      <c r="A5" s="694" t="str">
        <f>CONCATENATE("will meet on ",inputBudSum!B6," at ",inputBudSum!B8," at ",inputBudSum!B10," for the purpose of hearing and")</f>
        <v>will meet on August 11, 2011 at 7:00 PM at 220 W. Kechi Rd.   for the purpose of hearing and</v>
      </c>
      <c r="B5" s="694"/>
      <c r="C5" s="694"/>
      <c r="D5" s="694"/>
      <c r="E5" s="694"/>
      <c r="F5" s="694"/>
      <c r="G5" s="694"/>
      <c r="H5" s="694"/>
    </row>
    <row r="6" spans="1:8" ht="16.5" customHeight="1">
      <c r="A6" s="659" t="s">
        <v>612</v>
      </c>
      <c r="B6" s="659"/>
      <c r="C6" s="659"/>
      <c r="D6" s="659"/>
      <c r="E6" s="659"/>
      <c r="F6" s="659"/>
      <c r="G6" s="659"/>
      <c r="H6" s="659"/>
    </row>
    <row r="7" spans="1:8" ht="16.5" customHeight="1">
      <c r="A7" s="700" t="str">
        <f>CONCATENATE("Detailed budget information is available at ",inputBudSum!B13," and will be available at this hearing.")</f>
        <v>Detailed budget information is available at City Hall and will be available at this hearing.</v>
      </c>
      <c r="B7" s="700"/>
      <c r="C7" s="700"/>
      <c r="D7" s="700"/>
      <c r="E7" s="700"/>
      <c r="F7" s="700"/>
      <c r="G7" s="700"/>
      <c r="H7" s="700"/>
    </row>
    <row r="8" spans="1:8" ht="15.75">
      <c r="A8" s="53" t="s">
        <v>172</v>
      </c>
      <c r="B8" s="54"/>
      <c r="C8" s="54"/>
      <c r="D8" s="54"/>
      <c r="E8" s="54"/>
      <c r="F8" s="54"/>
      <c r="G8" s="54"/>
      <c r="H8" s="54"/>
    </row>
    <row r="9" spans="1:8" ht="15.75">
      <c r="A9" s="138" t="str">
        <f>CONCATENATE("Proposed Budget ",H2," Expenditures and Amount of ",H2-1," Ad Valorem Tax establish the maximum limits of the ",H2," budget.")</f>
        <v>Proposed Budget 2012 Expenditures and Amount of 2011 Ad Valorem Tax establish the maximum limits of the 2012 budget.</v>
      </c>
      <c r="B9" s="54"/>
      <c r="C9" s="54"/>
      <c r="D9" s="54"/>
      <c r="E9" s="54"/>
      <c r="F9" s="54"/>
      <c r="G9" s="54"/>
      <c r="H9" s="54"/>
    </row>
    <row r="10" spans="1:8" ht="15.75">
      <c r="A10" s="138" t="s">
        <v>236</v>
      </c>
      <c r="B10" s="54"/>
      <c r="C10" s="54"/>
      <c r="D10" s="54"/>
      <c r="E10" s="54"/>
      <c r="F10" s="54"/>
      <c r="G10" s="54"/>
      <c r="H10" s="54"/>
    </row>
    <row r="11" spans="1:8" ht="15.75">
      <c r="A11" s="45"/>
      <c r="B11" s="286"/>
      <c r="C11" s="286"/>
      <c r="D11" s="286"/>
      <c r="E11" s="286"/>
      <c r="F11" s="286"/>
      <c r="G11" s="286"/>
      <c r="H11" s="286"/>
    </row>
    <row r="12" spans="1:8" ht="15.75">
      <c r="A12" s="45"/>
      <c r="B12" s="293" t="str">
        <f>CONCATENATE("Prior Year Actual for ",H2-2,"")</f>
        <v>Prior Year Actual for 2010</v>
      </c>
      <c r="C12" s="141"/>
      <c r="D12" s="293" t="str">
        <f>CONCATENATE("Current Year Estimate for ",H2-1,"")</f>
        <v>Current Year Estimate for 2011</v>
      </c>
      <c r="E12" s="141"/>
      <c r="F12" s="139" t="str">
        <f>CONCATENATE("Proposed Budget for ",H2,"")</f>
        <v>Proposed Budget for 2012</v>
      </c>
      <c r="G12" s="140"/>
      <c r="H12" s="141"/>
    </row>
    <row r="13" spans="1:8" ht="21" customHeight="1">
      <c r="A13" s="45"/>
      <c r="B13" s="278"/>
      <c r="C13" s="144" t="s">
        <v>127</v>
      </c>
      <c r="D13" s="144"/>
      <c r="E13" s="144" t="s">
        <v>127</v>
      </c>
      <c r="F13" s="552" t="s">
        <v>13</v>
      </c>
      <c r="G13" s="144" t="str">
        <f>CONCATENATE("Amount of ",H2-1,"")</f>
        <v>Amount of 2011</v>
      </c>
      <c r="H13" s="144" t="s">
        <v>286</v>
      </c>
    </row>
    <row r="14" spans="1:8" ht="15.75">
      <c r="A14" s="62" t="s">
        <v>128</v>
      </c>
      <c r="B14" s="148" t="s">
        <v>129</v>
      </c>
      <c r="C14" s="148" t="s">
        <v>130</v>
      </c>
      <c r="D14" s="148" t="s">
        <v>129</v>
      </c>
      <c r="E14" s="148" t="s">
        <v>130</v>
      </c>
      <c r="F14" s="553" t="s">
        <v>636</v>
      </c>
      <c r="G14" s="149" t="s">
        <v>105</v>
      </c>
      <c r="H14" s="148" t="s">
        <v>130</v>
      </c>
    </row>
    <row r="15" spans="1:8" ht="15.75">
      <c r="A15" s="85" t="str">
        <f>inputPrYr!B17</f>
        <v>General</v>
      </c>
      <c r="B15" s="85">
        <f>IF(general!$C$111&lt;&gt;0,general!$C$111,"  ")</f>
        <v>758736.0700000001</v>
      </c>
      <c r="C15" s="294">
        <f>IF(inputPrYr!D84&gt;0,inputPrYr!D84,"  ")</f>
        <v>21.894</v>
      </c>
      <c r="D15" s="85">
        <f>IF(general!$D$111&lt;&gt;0,general!$D$111,"  ")</f>
        <v>864000</v>
      </c>
      <c r="E15" s="294">
        <f>IF(inputOth!D21&gt;0,inputOth!D21,"  ")</f>
        <v>25.361</v>
      </c>
      <c r="F15" s="85">
        <f>IF(general!$E$111&lt;&gt;0,general!$E$111,"  ")</f>
        <v>915100</v>
      </c>
      <c r="G15" s="85">
        <f>IF(general!$E$118&lt;&gt;0,general!$E$118,"  ")</f>
        <v>394241.07000000007</v>
      </c>
      <c r="H15" s="294">
        <f>IF(general!E118&gt;0,ROUND(G15/$F$42*1000,3),"  ")</f>
        <v>25.36</v>
      </c>
    </row>
    <row r="16" spans="1:8" ht="15.75">
      <c r="A16" s="85" t="str">
        <f>inputPrYr!B18</f>
        <v>Debt Service</v>
      </c>
      <c r="B16" s="85">
        <f>IF('DebtSvs-levy page 8'!C35&lt;&gt;0,'DebtSvs-levy page 8'!C35,"  ")</f>
        <v>2214370</v>
      </c>
      <c r="C16" s="294">
        <f>IF(inputPrYr!D85&gt;0,inputPrYr!D85,"  ")</f>
        <v>11.963</v>
      </c>
      <c r="D16" s="85">
        <f>IF('DebtSvs-levy page 8'!D35&lt;&gt;0,'DebtSvs-levy page 8'!D35,"  ")</f>
        <v>697999</v>
      </c>
      <c r="E16" s="294">
        <f>IF(inputOth!D22&gt;0,inputOth!D22,"  ")</f>
        <v>8.413</v>
      </c>
      <c r="F16" s="85">
        <f>IF('DebtSvs-levy page 8'!E35&lt;&gt;0,'DebtSvs-levy page 8'!E35,"  ")</f>
        <v>703581</v>
      </c>
      <c r="G16" s="85">
        <f>IF('DebtSvs-levy page 8'!E42&lt;&gt;0,'DebtSvs-levy page 8'!E42,"  ")</f>
        <v>130788</v>
      </c>
      <c r="H16" s="294">
        <f>IF('DebtSvs-levy page 8'!E42&gt;0,ROUND(G16/$F$42*1000,3),"  ")</f>
        <v>8.413</v>
      </c>
    </row>
    <row r="17" spans="1:8" ht="15.75">
      <c r="A17" s="85" t="str">
        <f>IF(inputPrYr!$B34&gt;"  ",(inputPrYr!$B34),"  ")</f>
        <v>Special Highway</v>
      </c>
      <c r="B17" s="85">
        <f>IF('Sp Hwy'!$C$30&gt;0,'Sp Hwy'!$C$30,"  ")</f>
        <v>28765</v>
      </c>
      <c r="C17" s="63"/>
      <c r="D17" s="85">
        <f>IF('Sp Hwy'!$D$30&gt;0,'Sp Hwy'!$D$30,"  ")</f>
        <v>21000</v>
      </c>
      <c r="E17" s="63"/>
      <c r="F17" s="85">
        <f>IF('Sp Hwy'!$E$30&gt;0,'Sp Hwy'!$E$30,"  ")</f>
        <v>140000</v>
      </c>
      <c r="G17" s="85"/>
      <c r="H17" s="294"/>
    </row>
    <row r="18" spans="1:8" ht="15.75">
      <c r="A18" s="85" t="str">
        <f>IF(inputPrYr!$B35&gt;"  ",(inputPrYr!$B35),"  ")</f>
        <v>  </v>
      </c>
      <c r="B18" s="85" t="str">
        <f>IF('Sp Hwy'!$C$50&gt;0,'Sp Hwy'!$C$50,"  ")</f>
        <v>  </v>
      </c>
      <c r="C18" s="63"/>
      <c r="D18" s="85" t="str">
        <f>IF('Sp Hwy'!$D$50&gt;0,'Sp Hwy'!$D$50,"  ")</f>
        <v>  </v>
      </c>
      <c r="E18" s="63"/>
      <c r="F18" s="85" t="str">
        <f>IF('Sp Hwy'!$E$50&gt;0,'Sp Hwy'!$E$50,"  ")</f>
        <v>  </v>
      </c>
      <c r="G18" s="85"/>
      <c r="H18" s="294"/>
    </row>
    <row r="19" spans="1:8" ht="15.75">
      <c r="A19" s="85" t="str">
        <f>IF(inputPrYr!$B36&gt;"  ",(inputPrYr!$B36),"  ")</f>
        <v>Water</v>
      </c>
      <c r="B19" s="85">
        <f>IF(Water!$C$35&gt;0,Water!$C$35,"  ")</f>
        <v>254111</v>
      </c>
      <c r="C19" s="63"/>
      <c r="D19" s="85">
        <f>IF(Water!$D$35&gt;0,Water!$D$35,"  ")</f>
        <v>315000</v>
      </c>
      <c r="E19" s="63"/>
      <c r="F19" s="85">
        <f>IF(Water!$E$35&gt;0,Water!$E$35,"  ")</f>
        <v>403000</v>
      </c>
      <c r="G19" s="85"/>
      <c r="H19" s="294"/>
    </row>
    <row r="20" spans="1:8" ht="15.75">
      <c r="A20" s="85" t="str">
        <f>IF(inputPrYr!$B37&gt;"  ",(inputPrYr!$B37),"  ")</f>
        <v>Water Reserve</v>
      </c>
      <c r="B20" s="85" t="str">
        <f>IF(Water!$C$61&gt;0,Water!$C$61,"  ")</f>
        <v>  </v>
      </c>
      <c r="C20" s="63"/>
      <c r="D20" s="85" t="str">
        <f>IF(Water!$D$61&gt;0,Water!$D$61,"  ")</f>
        <v>  </v>
      </c>
      <c r="E20" s="63"/>
      <c r="F20" s="85">
        <f>IF(Water!$E$61&gt;0,Water!$E$61,"  ")</f>
        <v>15000</v>
      </c>
      <c r="G20" s="85"/>
      <c r="H20" s="294"/>
    </row>
    <row r="21" spans="1:8" ht="15.75">
      <c r="A21" s="85" t="str">
        <f>IF(inputPrYr!$B38&gt;"  ",(inputPrYr!$B38),"  ")</f>
        <v>Sewer</v>
      </c>
      <c r="B21" s="85">
        <f>IF(Sewer!$C$36&gt;0,Sewer!$C$36,"  ")</f>
        <v>183602</v>
      </c>
      <c r="C21" s="63"/>
      <c r="D21" s="85">
        <f>IF(Sewer!$D$36&gt;0,Sewer!$D$36,"  ")</f>
        <v>208000</v>
      </c>
      <c r="E21" s="63"/>
      <c r="F21" s="85">
        <f>IF(Sewer!$E$36&gt;0,Sewer!$E$36,"  ")</f>
        <v>243500</v>
      </c>
      <c r="G21" s="63"/>
      <c r="H21" s="63"/>
    </row>
    <row r="22" spans="1:8" ht="15.75">
      <c r="A22" s="85" t="str">
        <f>IF(inputPrYr!$B39&gt;"  ",(inputPrYr!$B39),"  ")</f>
        <v>Sewer Reserve</v>
      </c>
      <c r="B22" s="85" t="str">
        <f>IF(Sewer!$C$63&gt;0,Sewer!$C$63,"  ")</f>
        <v>  </v>
      </c>
      <c r="C22" s="63"/>
      <c r="D22" s="85">
        <f>IF(Sewer!$D$63&gt;0,Sewer!$D$63,"  ")</f>
        <v>5000</v>
      </c>
      <c r="E22" s="63"/>
      <c r="F22" s="85">
        <f>IF(Sewer!$E$63&gt;0,Sewer!$E$63,"  ")</f>
        <v>10000</v>
      </c>
      <c r="G22" s="63"/>
      <c r="H22" s="63"/>
    </row>
    <row r="23" spans="1:8" ht="15.75">
      <c r="A23" s="85" t="str">
        <f>IF(inputPrYr!$B40&gt;"  ",(inputPrYr!$B40),"  ")</f>
        <v>Gas</v>
      </c>
      <c r="B23" s="85">
        <f>IF(Gas!$C$38&gt;0,Gas!$C$38,"  ")</f>
        <v>471288</v>
      </c>
      <c r="C23" s="63"/>
      <c r="D23" s="85">
        <f>IF(Gas!$D$38&gt;0,Gas!$D$38,"  ")</f>
        <v>517000</v>
      </c>
      <c r="E23" s="63"/>
      <c r="F23" s="85">
        <f>IF(Gas!$E$38&gt;0,Gas!$E$38,"  ")</f>
        <v>550500</v>
      </c>
      <c r="G23" s="63"/>
      <c r="H23" s="63"/>
    </row>
    <row r="24" spans="1:8" ht="15.75">
      <c r="A24" s="85" t="str">
        <f>IF(inputPrYr!$B41&gt;"  ",(inputPrYr!$B41),"  ")</f>
        <v>Gas Reserve</v>
      </c>
      <c r="B24" s="85" t="str">
        <f>IF(Gas!$C$65&gt;0,Gas!$C$65,"  ")</f>
        <v>  </v>
      </c>
      <c r="C24" s="63"/>
      <c r="D24" s="85" t="str">
        <f>IF(Gas!$D$65&gt;0,Gas!$D$65,"  ")</f>
        <v>  </v>
      </c>
      <c r="E24" s="63"/>
      <c r="F24" s="85">
        <f>IF(Gas!$E$65&gt;0,Gas!$E$65,"  ")</f>
        <v>25000</v>
      </c>
      <c r="G24" s="63"/>
      <c r="H24" s="63"/>
    </row>
    <row r="25" spans="1:8" ht="15.75">
      <c r="A25" s="85" t="str">
        <f>IF(inputPrYr!$B42&gt;"  ",(inputPrYr!$B42),"  ")</f>
        <v>Equipment Reserve</v>
      </c>
      <c r="B25" s="85">
        <f>IF(EqResCapImp!$C$34&gt;0,EqResCapImp!$C$34,"  ")</f>
        <v>9385</v>
      </c>
      <c r="C25" s="63"/>
      <c r="D25" s="85">
        <f>IF(EqResCapImp!$D$34&gt;0,EqResCapImp!$D$34,"  ")</f>
        <v>25052</v>
      </c>
      <c r="E25" s="63"/>
      <c r="F25" s="85">
        <f>IF(EqResCapImp!$E$34&gt;0,EqResCapImp!$E$34,"  ")</f>
        <v>76900</v>
      </c>
      <c r="G25" s="63"/>
      <c r="H25" s="63"/>
    </row>
    <row r="26" spans="1:8" ht="15.75">
      <c r="A26" s="85" t="str">
        <f>IF(inputPrYr!$B43&gt;"  ",(inputPrYr!$B43),"  ")</f>
        <v>Capital Improvements</v>
      </c>
      <c r="B26" s="85">
        <f>IF(EqResCapImp!$C$63&gt;0,EqResCapImp!$C$63,"  ")</f>
        <v>20269</v>
      </c>
      <c r="C26" s="63"/>
      <c r="D26" s="85">
        <f>IF(EqResCapImp!$D$63&gt;0,EqResCapImp!$D$63,"  ")</f>
        <v>35000</v>
      </c>
      <c r="E26" s="63"/>
      <c r="F26" s="85">
        <f>IF(EqResCapImp!$E$63&gt;0,EqResCapImp!$E$63,"  ")</f>
        <v>25000</v>
      </c>
      <c r="G26" s="63"/>
      <c r="H26" s="63"/>
    </row>
    <row r="27" spans="1:8" ht="15.75">
      <c r="A27" s="85" t="str">
        <f>IF(inputPrYr!$B44&gt;"  ",(inputPrYr!$B44),"  ")</f>
        <v>Recycling</v>
      </c>
      <c r="B27" s="85">
        <f>IF(RecylWaste!$C$24&gt;0,RecylWaste!$C$24,"  ")</f>
        <v>36650</v>
      </c>
      <c r="C27" s="63"/>
      <c r="D27" s="85">
        <f>IF(RecylWaste!$D$24&gt;0,RecylWaste!$D$24,"  ")</f>
        <v>35000</v>
      </c>
      <c r="E27" s="63"/>
      <c r="F27" s="85">
        <f>IF(RecylWaste!$E$24&gt;0,RecylWaste!$E$24,"  ")</f>
        <v>50000</v>
      </c>
      <c r="G27" s="63"/>
      <c r="H27" s="63"/>
    </row>
    <row r="28" spans="1:8" ht="15.75">
      <c r="A28" s="85" t="str">
        <f>IF(inputPrYr!$B45&gt;"  ",(inputPrYr!$B45),"  ")</f>
        <v>Solid Waste</v>
      </c>
      <c r="B28" s="85"/>
      <c r="C28" s="63"/>
      <c r="D28" s="85"/>
      <c r="E28" s="63"/>
      <c r="F28" s="85"/>
      <c r="G28" s="63"/>
      <c r="H28" s="63"/>
    </row>
    <row r="29" spans="1:8" ht="15.75">
      <c r="A29" s="85" t="str">
        <f>IF(inputPrYr!$B46&gt;"  ",(inputPrYr!$B46),"  ")</f>
        <v>  </v>
      </c>
      <c r="B29" s="85"/>
      <c r="C29" s="63"/>
      <c r="D29" s="85"/>
      <c r="E29" s="63"/>
      <c r="F29" s="85"/>
      <c r="G29" s="63"/>
      <c r="H29" s="63"/>
    </row>
    <row r="30" spans="1:13" ht="15.75">
      <c r="A30" s="85" t="str">
        <f>IF(inputPrYr!$B47&gt;"  ",(inputPrYr!$B47),"  ")</f>
        <v>  </v>
      </c>
      <c r="B30" s="85"/>
      <c r="C30" s="63"/>
      <c r="D30" s="85"/>
      <c r="E30" s="63"/>
      <c r="F30" s="85"/>
      <c r="G30" s="63"/>
      <c r="H30" s="63"/>
      <c r="J30" s="691" t="str">
        <f>CONCATENATE("Estimated Value Of One Mill For ",H2,"")</f>
        <v>Estimated Value Of One Mill For 2012</v>
      </c>
      <c r="K30" s="692"/>
      <c r="L30" s="692"/>
      <c r="M30" s="693"/>
    </row>
    <row r="31" spans="1:13" ht="15.75">
      <c r="A31" s="85" t="str">
        <f>IF(inputPrYr!$B48&gt;"  ",(inputPrYr!$B48),"  ")</f>
        <v>  </v>
      </c>
      <c r="B31" s="85"/>
      <c r="C31" s="63"/>
      <c r="D31" s="85"/>
      <c r="E31" s="63"/>
      <c r="F31" s="85"/>
      <c r="G31" s="63"/>
      <c r="H31" s="63"/>
      <c r="J31" s="486"/>
      <c r="K31" s="487"/>
      <c r="L31" s="487"/>
      <c r="M31" s="488"/>
    </row>
    <row r="32" spans="1:13" ht="15.75">
      <c r="A32" s="85" t="str">
        <f>IF(inputPrYr!$B49&gt;"  ",(inputPrYr!$B49),"  ")</f>
        <v>  </v>
      </c>
      <c r="B32" s="85">
        <f>IF(RecylWaste!$C$52&gt;0,RecylWaste!$C$52,"  ")</f>
        <v>64618</v>
      </c>
      <c r="C32" s="63"/>
      <c r="D32" s="85">
        <f>IF(RecylWaste!$D$52&gt;0,RecylWaste!$D$52,"  ")</f>
        <v>73000</v>
      </c>
      <c r="E32" s="63"/>
      <c r="F32" s="85">
        <f>IF(RecylWaste!$E$52&gt;0,RecylWaste!$E$52,"  ")</f>
        <v>77000</v>
      </c>
      <c r="G32" s="63"/>
      <c r="H32" s="63"/>
      <c r="J32" s="489" t="s">
        <v>752</v>
      </c>
      <c r="K32" s="490"/>
      <c r="L32" s="490"/>
      <c r="M32" s="491">
        <f>ROUND(F42/1000,0)</f>
        <v>15546</v>
      </c>
    </row>
    <row r="33" spans="1:13" ht="15.75">
      <c r="A33" s="85" t="str">
        <f>IF(inputPrYr!$B57&gt;"  ",(#REF!),"  ")</f>
        <v>  </v>
      </c>
      <c r="B33" s="85"/>
      <c r="C33" s="63"/>
      <c r="D33" s="85"/>
      <c r="E33" s="63"/>
      <c r="F33" s="85"/>
      <c r="G33" s="63"/>
      <c r="H33" s="63"/>
      <c r="J33" s="496" t="str">
        <f>CONCATENATE("",H2," Tax Levy Fund Expenditures Must Be")</f>
        <v>2012 Tax Levy Fund Expenditures Must Be</v>
      </c>
      <c r="K33" s="497"/>
      <c r="L33" s="497"/>
      <c r="M33" s="488">
        <f>G31</f>
        <v>0</v>
      </c>
    </row>
    <row r="34" spans="1:13" ht="15.75">
      <c r="A34" s="85" t="str">
        <f>IF(inputPrYr!$B63&gt;"  ",(#REF!),"  ")</f>
        <v>  </v>
      </c>
      <c r="B34" s="85"/>
      <c r="C34" s="63"/>
      <c r="D34" s="85"/>
      <c r="E34" s="63"/>
      <c r="F34" s="85"/>
      <c r="G34" s="63"/>
      <c r="H34" s="63"/>
      <c r="J34" s="496" t="e">
        <f>IF(M34&gt;0,"Increased By:","")</f>
        <v>#REF!</v>
      </c>
      <c r="K34" s="497"/>
      <c r="L34" s="497"/>
      <c r="M34" s="594" t="e">
        <f>IF(M41&lt;0,M41*-1,0)</f>
        <v>#REF!</v>
      </c>
    </row>
    <row r="35" spans="1:13" ht="15.75">
      <c r="A35" s="85" t="str">
        <f>IF(inputPrYr!$B69&gt;"  ",(#REF!),"  ")</f>
        <v>  </v>
      </c>
      <c r="B35" s="85"/>
      <c r="C35" s="63"/>
      <c r="D35" s="85"/>
      <c r="E35" s="63"/>
      <c r="F35" s="85"/>
      <c r="G35" s="63"/>
      <c r="H35" s="63"/>
      <c r="J35" s="595" t="e">
        <f>IF(M35&lt;0,"Reduced By:","")</f>
        <v>#REF!</v>
      </c>
      <c r="K35" s="596"/>
      <c r="L35" s="596"/>
      <c r="M35" s="597" t="e">
        <f>IF(M41&gt;0,M41*-1,0)</f>
        <v>#REF!</v>
      </c>
    </row>
    <row r="36" spans="1:13" ht="16.5" thickBot="1">
      <c r="A36" s="85" t="str">
        <f>IF(inputPrYr!$B75&gt;"  ",(#REF!),"  ")</f>
        <v>  </v>
      </c>
      <c r="B36" s="507"/>
      <c r="C36" s="508"/>
      <c r="D36" s="507"/>
      <c r="E36" s="508"/>
      <c r="F36" s="507"/>
      <c r="G36" s="508"/>
      <c r="H36" s="508"/>
      <c r="J36" s="500"/>
      <c r="K36" s="500"/>
      <c r="L36" s="500"/>
      <c r="M36" s="500"/>
    </row>
    <row r="37" spans="1:13" ht="15.75">
      <c r="A37" s="143" t="s">
        <v>764</v>
      </c>
      <c r="B37" s="548">
        <f>SUM(B15:B36)</f>
        <v>4041794.0700000003</v>
      </c>
      <c r="C37" s="549">
        <f>SUM(C15:C16)</f>
        <v>33.857</v>
      </c>
      <c r="D37" s="548">
        <f>SUM(D15:D36)</f>
        <v>2796051</v>
      </c>
      <c r="E37" s="549">
        <f>SUM(E15:E16)</f>
        <v>33.774</v>
      </c>
      <c r="F37" s="548">
        <f>SUM(F15:F36)</f>
        <v>3234581</v>
      </c>
      <c r="G37" s="548">
        <f>SUM(G15:G36)</f>
        <v>525029.0700000001</v>
      </c>
      <c r="H37" s="549">
        <f>SUM(H15:H16)</f>
        <v>33.772999999999996</v>
      </c>
      <c r="J37" s="691" t="str">
        <f>CONCATENATE("Impact On Keeping The Same Mill Rate As For ",H2-1,"")</f>
        <v>Impact On Keeping The Same Mill Rate As For 2011</v>
      </c>
      <c r="K37" s="698"/>
      <c r="L37" s="698"/>
      <c r="M37" s="699"/>
    </row>
    <row r="38" spans="1:13" ht="15.75">
      <c r="A38" s="50" t="s">
        <v>131</v>
      </c>
      <c r="B38" s="466">
        <f>transfers!C30</f>
        <v>118363.2</v>
      </c>
      <c r="C38" s="547"/>
      <c r="D38" s="466">
        <f>transfers!D30</f>
        <v>190000</v>
      </c>
      <c r="E38" s="307"/>
      <c r="F38" s="466">
        <f>transfers!E30</f>
        <v>306300</v>
      </c>
      <c r="G38" s="546"/>
      <c r="H38" s="307"/>
      <c r="I38" s="504"/>
      <c r="J38" s="493"/>
      <c r="K38" s="487"/>
      <c r="L38" s="487"/>
      <c r="M38" s="494"/>
    </row>
    <row r="39" spans="1:13" ht="16.5" thickBot="1">
      <c r="A39" s="50" t="s">
        <v>132</v>
      </c>
      <c r="B39" s="304">
        <f>B37-B38</f>
        <v>3923430.87</v>
      </c>
      <c r="C39" s="45"/>
      <c r="D39" s="304">
        <f>D37-D38</f>
        <v>2606051</v>
      </c>
      <c r="E39" s="45"/>
      <c r="F39" s="304">
        <f>F37-F38</f>
        <v>2928281</v>
      </c>
      <c r="G39" s="45"/>
      <c r="H39" s="45"/>
      <c r="J39" s="493" t="str">
        <f>CONCATENATE("",H2," Ad Valorem Tax Revenue:")</f>
        <v>2012 Ad Valorem Tax Revenue:</v>
      </c>
      <c r="K39" s="487"/>
      <c r="L39" s="487"/>
      <c r="M39" s="488">
        <f>G37</f>
        <v>525029.0700000001</v>
      </c>
    </row>
    <row r="40" spans="1:13" ht="16.5" thickTop="1">
      <c r="A40" s="50" t="s">
        <v>133</v>
      </c>
      <c r="B40" s="466">
        <f>inputPrYr!$E$99</f>
        <v>522363</v>
      </c>
      <c r="C40" s="198"/>
      <c r="D40" s="466">
        <f>inputPrYr!$E$31</f>
        <v>522828</v>
      </c>
      <c r="E40" s="198"/>
      <c r="F40" s="295" t="s">
        <v>94</v>
      </c>
      <c r="G40" s="45"/>
      <c r="H40" s="45"/>
      <c r="J40" s="493" t="str">
        <f>CONCATENATE("",H2-1," Ad Valorem Tax Revenue:")</f>
        <v>2011 Ad Valorem Tax Revenue:</v>
      </c>
      <c r="K40" s="487"/>
      <c r="L40" s="487"/>
      <c r="M40" s="501" t="e">
        <f>ROUND(F42*#REF!/1000,0)</f>
        <v>#REF!</v>
      </c>
    </row>
    <row r="41" spans="1:13" ht="15.75">
      <c r="A41" s="50" t="s">
        <v>134</v>
      </c>
      <c r="B41" s="200"/>
      <c r="C41" s="45"/>
      <c r="D41" s="467"/>
      <c r="E41" s="205"/>
      <c r="F41" s="152"/>
      <c r="G41" s="45"/>
      <c r="H41" s="45"/>
      <c r="J41" s="498" t="s">
        <v>753</v>
      </c>
      <c r="K41" s="499"/>
      <c r="L41" s="499"/>
      <c r="M41" s="491" t="e">
        <f>SUM(M39-M40)</f>
        <v>#REF!</v>
      </c>
    </row>
    <row r="42" spans="1:13" ht="15.75">
      <c r="A42" s="50" t="s">
        <v>135</v>
      </c>
      <c r="B42" s="466">
        <f>inputPrYr!$E$100</f>
        <v>15428734</v>
      </c>
      <c r="C42" s="74"/>
      <c r="D42" s="466">
        <f>inputOth!$E$36</f>
        <v>15480196</v>
      </c>
      <c r="E42" s="74"/>
      <c r="F42" s="466">
        <f>inputOth!$E$7</f>
        <v>15545668</v>
      </c>
      <c r="G42" s="45"/>
      <c r="H42" s="45"/>
      <c r="J42" s="492"/>
      <c r="K42" s="492"/>
      <c r="L42" s="492"/>
      <c r="M42" s="500"/>
    </row>
    <row r="43" spans="1:13" ht="15.75">
      <c r="A43" s="50" t="s">
        <v>136</v>
      </c>
      <c r="B43" s="45"/>
      <c r="C43" s="45"/>
      <c r="D43" s="45"/>
      <c r="E43" s="45"/>
      <c r="F43" s="45"/>
      <c r="G43" s="45"/>
      <c r="H43" s="45"/>
      <c r="J43" s="691" t="s">
        <v>754</v>
      </c>
      <c r="K43" s="696"/>
      <c r="L43" s="696"/>
      <c r="M43" s="697"/>
    </row>
    <row r="44" spans="1:13" ht="15.75">
      <c r="A44" s="50" t="s">
        <v>137</v>
      </c>
      <c r="B44" s="296">
        <f>$H$2-3</f>
        <v>2009</v>
      </c>
      <c r="C44" s="45"/>
      <c r="D44" s="296">
        <f>$H$2-2</f>
        <v>2010</v>
      </c>
      <c r="E44" s="45"/>
      <c r="F44" s="296">
        <f>$H$2-1</f>
        <v>2011</v>
      </c>
      <c r="G44" s="45"/>
      <c r="H44" s="45"/>
      <c r="J44" s="493"/>
      <c r="K44" s="487"/>
      <c r="L44" s="487"/>
      <c r="M44" s="494"/>
    </row>
    <row r="45" spans="1:13" ht="13.5" customHeight="1">
      <c r="A45" s="50" t="s">
        <v>138</v>
      </c>
      <c r="B45" s="241">
        <f>inputPrYr!$D$104</f>
        <v>6690000</v>
      </c>
      <c r="C45" s="173"/>
      <c r="D45" s="241">
        <f>inputPrYr!$E$104</f>
        <v>6325000</v>
      </c>
      <c r="E45" s="173"/>
      <c r="F45" s="241">
        <f>Debt!$F$27</f>
        <v>5915000</v>
      </c>
      <c r="G45" s="45"/>
      <c r="H45" s="45"/>
      <c r="J45" s="493" t="str">
        <f>CONCATENATE("Current ",H2," Estimated Mill Rate:")</f>
        <v>Current 2012 Estimated Mill Rate:</v>
      </c>
      <c r="K45" s="487"/>
      <c r="L45" s="487"/>
      <c r="M45" s="495">
        <f>H37</f>
        <v>33.772999999999996</v>
      </c>
    </row>
    <row r="46" spans="1:13" ht="15.75">
      <c r="A46" s="50" t="s">
        <v>139</v>
      </c>
      <c r="B46" s="466">
        <f>inputPrYr!$D$105</f>
        <v>0</v>
      </c>
      <c r="C46" s="173"/>
      <c r="D46" s="466">
        <f>inputPrYr!$E$105</f>
        <v>0</v>
      </c>
      <c r="E46" s="173"/>
      <c r="F46" s="241">
        <f>Debt!$F$28</f>
        <v>0</v>
      </c>
      <c r="G46" s="45"/>
      <c r="H46" s="45"/>
      <c r="J46" s="493" t="str">
        <f>CONCATENATE("Desired ",H2," Mill Rate:")</f>
        <v>Desired 2012 Mill Rate:</v>
      </c>
      <c r="K46" s="487"/>
      <c r="L46" s="487"/>
      <c r="M46" s="485">
        <v>33.773</v>
      </c>
    </row>
    <row r="47" spans="1:13" ht="18.75" customHeight="1">
      <c r="A47" s="45" t="s">
        <v>158</v>
      </c>
      <c r="B47" s="466">
        <f>inputPrYr!$D$106</f>
        <v>3621000</v>
      </c>
      <c r="C47" s="173"/>
      <c r="D47" s="466">
        <f>inputPrYr!$E$106</f>
        <v>3561000</v>
      </c>
      <c r="E47" s="173"/>
      <c r="F47" s="241">
        <f>Debt!$F$42</f>
        <v>3725000</v>
      </c>
      <c r="G47" s="45"/>
      <c r="H47" s="45"/>
      <c r="J47" s="493" t="str">
        <f>CONCATENATE("",H2," Ad Valorem Tax:")</f>
        <v>2012 Ad Valorem Tax:</v>
      </c>
      <c r="K47" s="487"/>
      <c r="L47" s="487"/>
      <c r="M47" s="501">
        <f>ROUND(F42*M46/1000,0)</f>
        <v>525024</v>
      </c>
    </row>
    <row r="48" spans="1:13" ht="18.75" customHeight="1">
      <c r="A48" s="50" t="s">
        <v>237</v>
      </c>
      <c r="B48" s="466">
        <f>inputPrYr!$D$107</f>
        <v>43594</v>
      </c>
      <c r="C48" s="173"/>
      <c r="D48" s="466">
        <f>inputPrYr!$E$107</f>
        <v>18950</v>
      </c>
      <c r="E48" s="173"/>
      <c r="F48" s="241">
        <f>LeasePurchase!$F$28</f>
        <v>32314.010000000002</v>
      </c>
      <c r="G48" s="45"/>
      <c r="H48" s="45"/>
      <c r="J48" s="498" t="str">
        <f>CONCATENATE("",H2," Tax Levy Fund Exp. Changed By:")</f>
        <v>2012 Tax Levy Fund Exp. Changed By:</v>
      </c>
      <c r="K48" s="499"/>
      <c r="L48" s="499"/>
      <c r="M48" s="491">
        <f>M47-G37</f>
        <v>-5.070000000065193</v>
      </c>
    </row>
    <row r="49" spans="1:8" ht="18.75" customHeight="1" thickBot="1">
      <c r="A49" s="50" t="s">
        <v>140</v>
      </c>
      <c r="B49" s="563">
        <f>SUM(B45:B48)</f>
        <v>10354594</v>
      </c>
      <c r="C49" s="173"/>
      <c r="D49" s="563">
        <f>SUM(D45:D48)</f>
        <v>9904950</v>
      </c>
      <c r="E49" s="173"/>
      <c r="F49" s="563">
        <f>SUM(F45:F48)</f>
        <v>9672314.01</v>
      </c>
      <c r="G49" s="45"/>
      <c r="H49" s="45"/>
    </row>
    <row r="50" spans="1:8" ht="18.75" customHeight="1" thickTop="1">
      <c r="A50" s="50" t="s">
        <v>141</v>
      </c>
      <c r="B50" s="45"/>
      <c r="C50" s="45"/>
      <c r="D50" s="45"/>
      <c r="E50" s="45"/>
      <c r="F50" s="45"/>
      <c r="G50" s="45"/>
      <c r="H50" s="45"/>
    </row>
    <row r="51" spans="1:8" ht="15.75">
      <c r="A51" s="45"/>
      <c r="B51" s="45"/>
      <c r="C51" s="45"/>
      <c r="D51" s="45"/>
      <c r="E51" s="45"/>
      <c r="F51" s="45"/>
      <c r="G51" s="45"/>
      <c r="H51" s="45"/>
    </row>
    <row r="52" spans="1:8" ht="15.75">
      <c r="A52" s="695"/>
      <c r="B52" s="695"/>
      <c r="C52" s="74"/>
      <c r="D52" s="45"/>
      <c r="E52" s="45"/>
      <c r="F52" s="45"/>
      <c r="G52" s="45"/>
      <c r="H52" s="45"/>
    </row>
    <row r="53" spans="1:8" ht="15.75">
      <c r="A53" s="169" t="s">
        <v>264</v>
      </c>
      <c r="B53" s="514" t="str">
        <f>inputBudSum!B4</f>
        <v>Laura Hill, City Clerk </v>
      </c>
      <c r="C53" s="45"/>
      <c r="D53" s="45"/>
      <c r="E53" s="45"/>
      <c r="F53" s="45"/>
      <c r="G53" s="45"/>
      <c r="H53" s="45"/>
    </row>
    <row r="54" spans="1:8" ht="15.75">
      <c r="A54" s="45"/>
      <c r="B54" s="45"/>
      <c r="C54" s="45"/>
      <c r="D54" s="45"/>
      <c r="E54" s="45"/>
      <c r="F54" s="45"/>
      <c r="G54" s="45"/>
      <c r="H54" s="45"/>
    </row>
    <row r="55" spans="1:8" ht="15.75">
      <c r="A55" s="45"/>
      <c r="B55" s="45"/>
      <c r="C55" s="136" t="s">
        <v>115</v>
      </c>
      <c r="D55" s="281">
        <v>15</v>
      </c>
      <c r="E55" s="45"/>
      <c r="F55" s="45"/>
      <c r="G55" s="45"/>
      <c r="H55" s="45"/>
    </row>
  </sheetData>
  <sheetProtection/>
  <mergeCells count="10">
    <mergeCell ref="J30:M30"/>
    <mergeCell ref="A5:H5"/>
    <mergeCell ref="A52:B52"/>
    <mergeCell ref="J43:M43"/>
    <mergeCell ref="J37:M37"/>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4" customWidth="1"/>
    <col min="2" max="2" width="16.296875" style="104" customWidth="1"/>
    <col min="3" max="3" width="11.796875" style="104" customWidth="1"/>
    <col min="4" max="4" width="12.796875" style="104" customWidth="1"/>
    <col min="5" max="5" width="11.796875" style="104" customWidth="1"/>
    <col min="6" max="16384" width="8.8984375" style="104" customWidth="1"/>
  </cols>
  <sheetData>
    <row r="1" spans="1:6" ht="15.75">
      <c r="A1" s="198" t="str">
        <f>inputPrYr!D2</f>
        <v>City of Kechi </v>
      </c>
      <c r="B1" s="45"/>
      <c r="C1" s="45"/>
      <c r="D1" s="45"/>
      <c r="E1" s="45"/>
      <c r="F1" s="45">
        <f>inputPrYr!C5</f>
        <v>2012</v>
      </c>
    </row>
    <row r="2" spans="1:6" ht="15.75">
      <c r="A2" s="45"/>
      <c r="B2" s="45"/>
      <c r="C2" s="45"/>
      <c r="D2" s="45"/>
      <c r="E2" s="45"/>
      <c r="F2" s="45"/>
    </row>
    <row r="3" spans="1:6" ht="15.75">
      <c r="A3" s="45"/>
      <c r="B3" s="660" t="str">
        <f>CONCATENATE("",F1," Neighborhood Revitalization Rebate")</f>
        <v>2012 Neighborhood Revitalization Rebate</v>
      </c>
      <c r="C3" s="702"/>
      <c r="D3" s="702"/>
      <c r="E3" s="702"/>
      <c r="F3" s="45"/>
    </row>
    <row r="4" spans="1:6" ht="15.75">
      <c r="A4" s="45"/>
      <c r="B4" s="45"/>
      <c r="C4" s="45"/>
      <c r="D4" s="45"/>
      <c r="E4" s="45"/>
      <c r="F4" s="45"/>
    </row>
    <row r="5" spans="1:6" ht="51.75" customHeight="1">
      <c r="A5" s="45"/>
      <c r="B5" s="298" t="str">
        <f>CONCATENATE("Budgeted Funds         for ",F1,"")</f>
        <v>Budgeted Funds         for 2012</v>
      </c>
      <c r="C5" s="298" t="str">
        <f>CONCATENATE("",F1-1," Ad Valorem before Rebate**")</f>
        <v>2011 Ad Valorem before Rebate**</v>
      </c>
      <c r="D5" s="299" t="str">
        <f>CONCATENATE("",F1-1," Mil Rate before Rebate")</f>
        <v>2011 Mil Rate before Rebate</v>
      </c>
      <c r="E5" s="300" t="str">
        <f>CONCATENATE("Estimate ",F1," NR Rebate")</f>
        <v>Estimate 2012 NR Rebate</v>
      </c>
      <c r="F5" s="96"/>
    </row>
    <row r="6" spans="1:6" ht="15.75">
      <c r="A6" s="45"/>
      <c r="B6" s="62" t="str">
        <f>inputPrYr!B17</f>
        <v>General</v>
      </c>
      <c r="C6" s="301"/>
      <c r="D6" s="302">
        <f>IF(C6&gt;0,C6/$D$24,"")</f>
      </c>
      <c r="E6" s="241">
        <f aca="true" t="shared" si="0" ref="E6:E17">IF(C6&gt;0,ROUND(D6*$D$28,0),"")</f>
      </c>
      <c r="F6" s="96"/>
    </row>
    <row r="7" spans="1:6" ht="15.75">
      <c r="A7" s="45"/>
      <c r="B7" s="62" t="str">
        <f>inputPrYr!B18</f>
        <v>Debt Service</v>
      </c>
      <c r="C7" s="301"/>
      <c r="D7" s="302">
        <f aca="true" t="shared" si="1" ref="D7:D17">IF(C7&gt;0,C7/$D$24,"")</f>
      </c>
      <c r="E7" s="241">
        <f t="shared" si="0"/>
      </c>
      <c r="F7" s="96"/>
    </row>
    <row r="8" spans="1:6" ht="15.75">
      <c r="A8" s="45"/>
      <c r="B8" s="85">
        <f>inputPrYr!B20</f>
        <v>0</v>
      </c>
      <c r="C8" s="301"/>
      <c r="D8" s="302">
        <f t="shared" si="1"/>
      </c>
      <c r="E8" s="241">
        <f t="shared" si="0"/>
      </c>
      <c r="F8" s="96"/>
    </row>
    <row r="9" spans="1:6" ht="15.75">
      <c r="A9" s="45"/>
      <c r="B9" s="85">
        <f>inputPrYr!B21</f>
        <v>0</v>
      </c>
      <c r="C9" s="301"/>
      <c r="D9" s="302">
        <f t="shared" si="1"/>
      </c>
      <c r="E9" s="241">
        <f t="shared" si="0"/>
      </c>
      <c r="F9" s="96"/>
    </row>
    <row r="10" spans="1:6" ht="15.75">
      <c r="A10" s="45"/>
      <c r="B10" s="85">
        <f>inputPrYr!B22</f>
        <v>0</v>
      </c>
      <c r="C10" s="301"/>
      <c r="D10" s="302">
        <f t="shared" si="1"/>
      </c>
      <c r="E10" s="241">
        <f t="shared" si="0"/>
      </c>
      <c r="F10" s="96"/>
    </row>
    <row r="11" spans="1:6" ht="15.75">
      <c r="A11" s="45"/>
      <c r="B11" s="85">
        <f>inputPrYr!B23</f>
        <v>0</v>
      </c>
      <c r="C11" s="301"/>
      <c r="D11" s="302">
        <f t="shared" si="1"/>
      </c>
      <c r="E11" s="241">
        <f t="shared" si="0"/>
      </c>
      <c r="F11" s="96"/>
    </row>
    <row r="12" spans="1:6" ht="15.75">
      <c r="A12" s="45"/>
      <c r="B12" s="85">
        <f>inputPrYr!B24</f>
        <v>0</v>
      </c>
      <c r="C12" s="303"/>
      <c r="D12" s="302">
        <f t="shared" si="1"/>
      </c>
      <c r="E12" s="241">
        <f t="shared" si="0"/>
      </c>
      <c r="F12" s="96"/>
    </row>
    <row r="13" spans="1:6" ht="15.75">
      <c r="A13" s="45"/>
      <c r="B13" s="85">
        <f>inputPrYr!B25</f>
        <v>0</v>
      </c>
      <c r="C13" s="303"/>
      <c r="D13" s="302">
        <f t="shared" si="1"/>
      </c>
      <c r="E13" s="241">
        <f t="shared" si="0"/>
      </c>
      <c r="F13" s="96"/>
    </row>
    <row r="14" spans="1:6" ht="15.75">
      <c r="A14" s="45"/>
      <c r="B14" s="85">
        <f>inputPrYr!B26</f>
        <v>0</v>
      </c>
      <c r="C14" s="303"/>
      <c r="D14" s="302">
        <f t="shared" si="1"/>
      </c>
      <c r="E14" s="241">
        <f t="shared" si="0"/>
      </c>
      <c r="F14" s="96"/>
    </row>
    <row r="15" spans="1:6" ht="15.75">
      <c r="A15" s="45"/>
      <c r="B15" s="85">
        <f>inputPrYr!B27</f>
        <v>0</v>
      </c>
      <c r="C15" s="303"/>
      <c r="D15" s="302">
        <f t="shared" si="1"/>
      </c>
      <c r="E15" s="241">
        <f t="shared" si="0"/>
      </c>
      <c r="F15" s="96"/>
    </row>
    <row r="16" spans="1:6" ht="15.75">
      <c r="A16" s="45"/>
      <c r="B16" s="85">
        <f>inputPrYr!B28</f>
        <v>0</v>
      </c>
      <c r="C16" s="303"/>
      <c r="D16" s="302">
        <f t="shared" si="1"/>
      </c>
      <c r="E16" s="241">
        <f t="shared" si="0"/>
      </c>
      <c r="F16" s="96"/>
    </row>
    <row r="17" spans="1:6" ht="15.75">
      <c r="A17" s="45"/>
      <c r="B17" s="85">
        <f>inputPrYr!B29</f>
        <v>0</v>
      </c>
      <c r="C17" s="303"/>
      <c r="D17" s="302">
        <f t="shared" si="1"/>
      </c>
      <c r="E17" s="241">
        <f t="shared" si="0"/>
      </c>
      <c r="F17" s="96"/>
    </row>
    <row r="18" spans="1:6" ht="15.75">
      <c r="A18" s="45"/>
      <c r="B18" s="85">
        <f>inputPrYr!B30</f>
        <v>0</v>
      </c>
      <c r="C18" s="303"/>
      <c r="D18" s="302">
        <f>IF(C18&gt;0,C18/$D$24,"")</f>
      </c>
      <c r="E18" s="241">
        <f>IF(C18&gt;0,ROUND(D18*$D$28,0),"")</f>
      </c>
      <c r="F18" s="96"/>
    </row>
    <row r="19" spans="1:6" ht="16.5" thickBot="1">
      <c r="A19" s="45"/>
      <c r="B19" s="63" t="s">
        <v>99</v>
      </c>
      <c r="C19" s="304">
        <f>SUM(C6:C18)</f>
        <v>0</v>
      </c>
      <c r="D19" s="305">
        <f>SUM(D6:D17)</f>
        <v>0</v>
      </c>
      <c r="E19" s="304">
        <f>SUM(E6:E17)</f>
        <v>0</v>
      </c>
      <c r="F19" s="96"/>
    </row>
    <row r="20" spans="1:6" ht="16.5" thickTop="1">
      <c r="A20" s="45"/>
      <c r="B20" s="45"/>
      <c r="C20" s="45"/>
      <c r="D20" s="45"/>
      <c r="E20" s="45"/>
      <c r="F20" s="96"/>
    </row>
    <row r="21" spans="1:6" ht="15.75">
      <c r="A21" s="45"/>
      <c r="B21" s="45"/>
      <c r="C21" s="45"/>
      <c r="D21" s="45"/>
      <c r="E21" s="45"/>
      <c r="F21" s="96"/>
    </row>
    <row r="22" spans="1:6" ht="15.75">
      <c r="A22" s="703" t="str">
        <f>CONCATENATE("",F1-1," July 1 Valuation:")</f>
        <v>2011 July 1 Valuation:</v>
      </c>
      <c r="B22" s="685"/>
      <c r="C22" s="703"/>
      <c r="D22" s="297">
        <f>inputOth!E7</f>
        <v>15545668</v>
      </c>
      <c r="E22" s="45"/>
      <c r="F22" s="96"/>
    </row>
    <row r="23" spans="1:6" ht="15.75">
      <c r="A23" s="45"/>
      <c r="B23" s="45"/>
      <c r="C23" s="45"/>
      <c r="D23" s="45"/>
      <c r="E23" s="45"/>
      <c r="F23" s="96"/>
    </row>
    <row r="24" spans="1:6" ht="15.75">
      <c r="A24" s="45"/>
      <c r="B24" s="703" t="s">
        <v>336</v>
      </c>
      <c r="C24" s="703"/>
      <c r="D24" s="306">
        <f>IF(D22&gt;0,(D22*0.001),"")</f>
        <v>15545.668</v>
      </c>
      <c r="E24" s="45"/>
      <c r="F24" s="96"/>
    </row>
    <row r="25" spans="1:6" ht="15.75">
      <c r="A25" s="45"/>
      <c r="B25" s="136"/>
      <c r="C25" s="136"/>
      <c r="D25" s="307"/>
      <c r="E25" s="45"/>
      <c r="F25" s="96"/>
    </row>
    <row r="26" spans="1:6" ht="15.75">
      <c r="A26" s="701" t="s">
        <v>337</v>
      </c>
      <c r="B26" s="704"/>
      <c r="C26" s="704"/>
      <c r="D26" s="308">
        <f>inputOth!E17</f>
        <v>0</v>
      </c>
      <c r="E26" s="66"/>
      <c r="F26" s="66"/>
    </row>
    <row r="27" spans="1:6" ht="15">
      <c r="A27" s="66"/>
      <c r="B27" s="66"/>
      <c r="C27" s="66"/>
      <c r="D27" s="309"/>
      <c r="E27" s="66"/>
      <c r="F27" s="66"/>
    </row>
    <row r="28" spans="1:6" ht="15.75">
      <c r="A28" s="66"/>
      <c r="B28" s="701" t="s">
        <v>338</v>
      </c>
      <c r="C28" s="685"/>
      <c r="D28" s="310">
        <f>IF(D26&gt;0,(D26*0.001),"")</f>
      </c>
      <c r="E28" s="66"/>
      <c r="F28" s="66"/>
    </row>
    <row r="29" spans="1:6" ht="15">
      <c r="A29" s="66"/>
      <c r="B29" s="66"/>
      <c r="C29" s="66"/>
      <c r="D29" s="66"/>
      <c r="E29" s="66"/>
      <c r="F29" s="66"/>
    </row>
    <row r="30" spans="1:6" ht="15">
      <c r="A30" s="66"/>
      <c r="B30" s="66"/>
      <c r="C30" s="66"/>
      <c r="D30" s="66"/>
      <c r="E30" s="66"/>
      <c r="F30" s="66"/>
    </row>
    <row r="31" spans="1:6" ht="15">
      <c r="A31" s="66"/>
      <c r="B31" s="66"/>
      <c r="C31" s="66"/>
      <c r="D31" s="66"/>
      <c r="E31" s="66"/>
      <c r="F31" s="66"/>
    </row>
    <row r="32" spans="1:6" ht="15.75">
      <c r="A32" s="343" t="str">
        <f>CONCATENATE("**This information comes from the ",F1," Budget Summary page.  See instructions tab #11 for completing")</f>
        <v>**This information comes from the 2012 Budget Summary page.  See instructions tab #11 for completing</v>
      </c>
      <c r="B32" s="66"/>
      <c r="C32" s="66"/>
      <c r="D32" s="66"/>
      <c r="E32" s="66"/>
      <c r="F32" s="66"/>
    </row>
    <row r="33" spans="1:6" ht="15.75">
      <c r="A33" s="343" t="s">
        <v>614</v>
      </c>
      <c r="B33" s="66"/>
      <c r="C33" s="66"/>
      <c r="D33" s="66"/>
      <c r="E33" s="66"/>
      <c r="F33" s="66"/>
    </row>
    <row r="34" spans="1:6" ht="15.75">
      <c r="A34" s="343"/>
      <c r="B34" s="66"/>
      <c r="C34" s="66"/>
      <c r="D34" s="66"/>
      <c r="E34" s="66"/>
      <c r="F34" s="66"/>
    </row>
    <row r="35" spans="1:6" ht="15.75">
      <c r="A35" s="343"/>
      <c r="B35" s="66"/>
      <c r="C35" s="66"/>
      <c r="D35" s="66"/>
      <c r="E35" s="66"/>
      <c r="F35" s="66"/>
    </row>
    <row r="36" spans="1:6" ht="15.75">
      <c r="A36" s="343"/>
      <c r="B36" s="66"/>
      <c r="C36" s="66"/>
      <c r="D36" s="66"/>
      <c r="E36" s="66"/>
      <c r="F36" s="66"/>
    </row>
    <row r="37" spans="1:6" ht="15.75">
      <c r="A37" s="343"/>
      <c r="B37" s="66"/>
      <c r="C37" s="66"/>
      <c r="D37" s="66"/>
      <c r="E37" s="66"/>
      <c r="F37" s="66"/>
    </row>
    <row r="38" spans="1:6" ht="15">
      <c r="A38" s="66"/>
      <c r="B38" s="66"/>
      <c r="C38" s="66"/>
      <c r="D38" s="66"/>
      <c r="E38" s="66"/>
      <c r="F38" s="66"/>
    </row>
    <row r="39" spans="1:6" ht="15.75">
      <c r="A39" s="66"/>
      <c r="B39" s="188" t="s">
        <v>123</v>
      </c>
      <c r="C39" s="281"/>
      <c r="D39" s="66"/>
      <c r="E39" s="66"/>
      <c r="F39" s="66"/>
    </row>
    <row r="40" spans="1:6" ht="15.75">
      <c r="A40" s="96"/>
      <c r="B40" s="45"/>
      <c r="C40" s="45"/>
      <c r="D40" s="311"/>
      <c r="E40" s="96"/>
      <c r="F40" s="96"/>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29" t="s">
        <v>387</v>
      </c>
      <c r="B3" s="329"/>
      <c r="C3" s="329"/>
      <c r="D3" s="329"/>
      <c r="E3" s="329"/>
      <c r="F3" s="329"/>
      <c r="G3" s="329"/>
      <c r="H3" s="329"/>
      <c r="I3" s="329"/>
      <c r="J3" s="329"/>
      <c r="K3" s="329"/>
      <c r="L3" s="329"/>
    </row>
    <row r="5" ht="15">
      <c r="A5" s="330" t="s">
        <v>388</v>
      </c>
    </row>
    <row r="6" ht="15">
      <c r="A6" s="330" t="str">
        <f>CONCATENATE(inputPrYr!C5-2," 'total expenditures' exceed your ",inputPrYr!C5-2," 'budget authority.'")</f>
        <v>2010 'total expenditures' exceed your 2010 'budget authority.'</v>
      </c>
    </row>
    <row r="7" ht="15">
      <c r="A7" s="330"/>
    </row>
    <row r="8" ht="15">
      <c r="A8" s="330" t="s">
        <v>389</v>
      </c>
    </row>
    <row r="9" ht="15">
      <c r="A9" s="330" t="s">
        <v>390</v>
      </c>
    </row>
    <row r="10" ht="15">
      <c r="A10" s="330" t="s">
        <v>391</v>
      </c>
    </row>
    <row r="11" ht="15">
      <c r="A11" s="330"/>
    </row>
    <row r="12" ht="15">
      <c r="A12" s="330"/>
    </row>
    <row r="13" ht="15">
      <c r="A13" s="331" t="s">
        <v>392</v>
      </c>
    </row>
    <row r="15" ht="15">
      <c r="A15" s="330" t="s">
        <v>393</v>
      </c>
    </row>
    <row r="16" ht="15">
      <c r="A16" s="330" t="str">
        <f>CONCATENATE("(i.e. an audit has not been completed, or the ",inputPrYr!C5," adopted")</f>
        <v>(i.e. an audit has not been completed, or the 2012 adopted</v>
      </c>
    </row>
    <row r="17" ht="15">
      <c r="A17" s="330" t="s">
        <v>394</v>
      </c>
    </row>
    <row r="18" ht="15">
      <c r="A18" s="330" t="s">
        <v>395</v>
      </c>
    </row>
    <row r="19" ht="15">
      <c r="A19" s="330" t="s">
        <v>396</v>
      </c>
    </row>
    <row r="21" ht="15">
      <c r="A21" s="331" t="s">
        <v>397</v>
      </c>
    </row>
    <row r="22" ht="15">
      <c r="A22" s="331"/>
    </row>
    <row r="23" ht="15">
      <c r="A23" s="330" t="s">
        <v>398</v>
      </c>
    </row>
    <row r="24" ht="15">
      <c r="A24" s="330" t="s">
        <v>399</v>
      </c>
    </row>
    <row r="25" ht="15">
      <c r="A25" s="330" t="str">
        <f>CONCATENATE("particular fund.  If your ",inputPrYr!C5-2," budget was amended, did you")</f>
        <v>particular fund.  If your 2010 budget was amended, did you</v>
      </c>
    </row>
    <row r="26" ht="15">
      <c r="A26" s="330" t="s">
        <v>400</v>
      </c>
    </row>
    <row r="27" ht="15">
      <c r="A27" s="330"/>
    </row>
    <row r="28" ht="15">
      <c r="A28" s="330" t="str">
        <f>CONCATENATE("Next, look to see if any of your ",inputPrYr!C5-2," expenditures can be")</f>
        <v>Next, look to see if any of your 2010 expenditures can be</v>
      </c>
    </row>
    <row r="29" ht="15">
      <c r="A29" s="330" t="s">
        <v>401</v>
      </c>
    </row>
    <row r="30" ht="15">
      <c r="A30" s="330" t="s">
        <v>402</v>
      </c>
    </row>
    <row r="31" ht="15">
      <c r="A31" s="330" t="s">
        <v>403</v>
      </c>
    </row>
    <row r="32" ht="15">
      <c r="A32" s="330"/>
    </row>
    <row r="33" ht="15">
      <c r="A33" s="330" t="str">
        <f>CONCATENATE("Additionally, do your ",inputPrYr!C5-2," receipts contain a reimbursement")</f>
        <v>Additionally, do your 2010 receipts contain a reimbursement</v>
      </c>
    </row>
    <row r="34" ht="15">
      <c r="A34" s="330" t="s">
        <v>404</v>
      </c>
    </row>
    <row r="35" ht="15">
      <c r="A35" s="330" t="s">
        <v>405</v>
      </c>
    </row>
    <row r="36" ht="15">
      <c r="A36" s="330"/>
    </row>
    <row r="37" ht="15">
      <c r="A37" s="330" t="s">
        <v>406</v>
      </c>
    </row>
    <row r="38" ht="15">
      <c r="A38" s="330" t="s">
        <v>407</v>
      </c>
    </row>
    <row r="39" ht="15">
      <c r="A39" s="330" t="s">
        <v>408</v>
      </c>
    </row>
    <row r="40" ht="15">
      <c r="A40" s="330" t="s">
        <v>409</v>
      </c>
    </row>
    <row r="41" ht="15">
      <c r="A41" s="330" t="s">
        <v>410</v>
      </c>
    </row>
    <row r="42" ht="15">
      <c r="A42" s="330" t="s">
        <v>411</v>
      </c>
    </row>
    <row r="43" ht="15">
      <c r="A43" s="330" t="s">
        <v>412</v>
      </c>
    </row>
    <row r="44" ht="15">
      <c r="A44" s="330" t="s">
        <v>413</v>
      </c>
    </row>
    <row r="45" ht="15">
      <c r="A45" s="330"/>
    </row>
    <row r="46" ht="15">
      <c r="A46" s="330" t="s">
        <v>414</v>
      </c>
    </row>
    <row r="47" ht="15">
      <c r="A47" s="330" t="s">
        <v>415</v>
      </c>
    </row>
    <row r="48" ht="15">
      <c r="A48" s="330" t="s">
        <v>416</v>
      </c>
    </row>
    <row r="49" ht="15">
      <c r="A49" s="330"/>
    </row>
    <row r="50" ht="15">
      <c r="A50" s="330" t="s">
        <v>417</v>
      </c>
    </row>
    <row r="51" ht="15">
      <c r="A51" s="330" t="s">
        <v>418</v>
      </c>
    </row>
    <row r="52" ht="15">
      <c r="A52" s="330" t="s">
        <v>419</v>
      </c>
    </row>
    <row r="53" ht="15">
      <c r="A53" s="330"/>
    </row>
    <row r="54" ht="15">
      <c r="A54" s="331" t="s">
        <v>420</v>
      </c>
    </row>
    <row r="55" ht="15">
      <c r="A55" s="330"/>
    </row>
    <row r="56" ht="15">
      <c r="A56" s="330" t="s">
        <v>421</v>
      </c>
    </row>
    <row r="57" ht="15">
      <c r="A57" s="330" t="s">
        <v>422</v>
      </c>
    </row>
    <row r="58" ht="15">
      <c r="A58" s="330" t="s">
        <v>423</v>
      </c>
    </row>
    <row r="59" ht="15">
      <c r="A59" s="330" t="s">
        <v>424</v>
      </c>
    </row>
    <row r="60" ht="15">
      <c r="A60" s="330" t="s">
        <v>425</v>
      </c>
    </row>
    <row r="61" ht="15">
      <c r="A61" s="330" t="s">
        <v>426</v>
      </c>
    </row>
    <row r="62" ht="15">
      <c r="A62" s="330" t="s">
        <v>427</v>
      </c>
    </row>
    <row r="63" ht="15">
      <c r="A63" s="330" t="s">
        <v>428</v>
      </c>
    </row>
    <row r="64" ht="15">
      <c r="A64" s="330" t="s">
        <v>429</v>
      </c>
    </row>
    <row r="65" ht="15">
      <c r="A65" s="330" t="s">
        <v>430</v>
      </c>
    </row>
    <row r="66" ht="15">
      <c r="A66" s="330" t="s">
        <v>431</v>
      </c>
    </row>
    <row r="67" ht="15">
      <c r="A67" s="330" t="s">
        <v>432</v>
      </c>
    </row>
    <row r="68" ht="15">
      <c r="A68" s="330" t="s">
        <v>433</v>
      </c>
    </row>
    <row r="69" ht="15">
      <c r="A69" s="330"/>
    </row>
    <row r="70" ht="15">
      <c r="A70" s="330" t="s">
        <v>434</v>
      </c>
    </row>
    <row r="71" ht="15">
      <c r="A71" s="330" t="s">
        <v>435</v>
      </c>
    </row>
    <row r="72" ht="15">
      <c r="A72" s="330" t="s">
        <v>436</v>
      </c>
    </row>
    <row r="73" ht="15">
      <c r="A73" s="330"/>
    </row>
    <row r="74" ht="15">
      <c r="A74" s="331" t="str">
        <f>CONCATENATE("What if the ",inputPrYr!C5-2," financial records have been closed?")</f>
        <v>What if the 2010 financial records have been closed?</v>
      </c>
    </row>
    <row r="76" ht="15">
      <c r="A76" s="330" t="s">
        <v>437</v>
      </c>
    </row>
    <row r="77" ht="15">
      <c r="A77" s="330" t="str">
        <f>CONCATENATE("(i.e. an audit for ",inputPrYr!C5-2," has been completed, or the ",inputPrYr!C5)</f>
        <v>(i.e. an audit for 2010 has been completed, or the 2012</v>
      </c>
    </row>
    <row r="78" ht="15">
      <c r="A78" s="330" t="s">
        <v>438</v>
      </c>
    </row>
    <row r="79" ht="15">
      <c r="A79" s="330" t="s">
        <v>439</v>
      </c>
    </row>
    <row r="80" ht="15">
      <c r="A80" s="330"/>
    </row>
    <row r="81" ht="15">
      <c r="A81" s="330" t="s">
        <v>440</v>
      </c>
    </row>
    <row r="82" ht="15">
      <c r="A82" s="330" t="s">
        <v>441</v>
      </c>
    </row>
    <row r="83" ht="15">
      <c r="A83" s="330" t="s">
        <v>442</v>
      </c>
    </row>
    <row r="84" ht="15">
      <c r="A84" s="330"/>
    </row>
    <row r="85" ht="15">
      <c r="A85" s="330" t="s">
        <v>443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29" t="s">
        <v>444</v>
      </c>
      <c r="B3" s="329"/>
      <c r="C3" s="329"/>
      <c r="D3" s="329"/>
      <c r="E3" s="329"/>
      <c r="F3" s="329"/>
      <c r="G3" s="329"/>
      <c r="H3" s="332"/>
      <c r="I3" s="332"/>
      <c r="J3" s="332"/>
    </row>
    <row r="5" ht="15">
      <c r="A5" s="330" t="s">
        <v>445</v>
      </c>
    </row>
    <row r="6" ht="15">
      <c r="A6" t="str">
        <f>CONCATENATE(inputPrYr!C5-2," expenditures show that you finished the year with a ")</f>
        <v>2010 expenditures show that you finished the year with a </v>
      </c>
    </row>
    <row r="7" ht="15">
      <c r="A7" t="s">
        <v>446</v>
      </c>
    </row>
    <row r="9" ht="15">
      <c r="A9" t="s">
        <v>447</v>
      </c>
    </row>
    <row r="10" ht="15">
      <c r="A10" t="s">
        <v>448</v>
      </c>
    </row>
    <row r="11" ht="15">
      <c r="A11" t="s">
        <v>449</v>
      </c>
    </row>
    <row r="13" ht="15">
      <c r="A13" s="331" t="s">
        <v>450</v>
      </c>
    </row>
    <row r="14" ht="15">
      <c r="A14" s="331"/>
    </row>
    <row r="15" ht="15">
      <c r="A15" s="330" t="s">
        <v>451</v>
      </c>
    </row>
    <row r="16" ht="15">
      <c r="A16" s="330" t="s">
        <v>452</v>
      </c>
    </row>
    <row r="17" ht="15">
      <c r="A17" s="330" t="s">
        <v>453</v>
      </c>
    </row>
    <row r="18" ht="15">
      <c r="A18" s="330"/>
    </row>
    <row r="19" ht="15">
      <c r="A19" s="331" t="s">
        <v>454</v>
      </c>
    </row>
    <row r="20" ht="15">
      <c r="A20" s="331"/>
    </row>
    <row r="21" ht="15">
      <c r="A21" s="330" t="s">
        <v>455</v>
      </c>
    </row>
    <row r="22" ht="15">
      <c r="A22" s="330" t="s">
        <v>456</v>
      </c>
    </row>
    <row r="23" ht="15">
      <c r="A23" s="330" t="s">
        <v>457</v>
      </c>
    </row>
    <row r="24" ht="15">
      <c r="A24" s="330"/>
    </row>
    <row r="25" ht="15">
      <c r="A25" s="331" t="s">
        <v>458</v>
      </c>
    </row>
    <row r="26" ht="15">
      <c r="A26" s="331"/>
    </row>
    <row r="27" ht="15">
      <c r="A27" s="330" t="s">
        <v>459</v>
      </c>
    </row>
    <row r="28" ht="15">
      <c r="A28" s="330" t="s">
        <v>460</v>
      </c>
    </row>
    <row r="29" ht="15">
      <c r="A29" s="330" t="s">
        <v>461</v>
      </c>
    </row>
    <row r="30" ht="15">
      <c r="A30" s="330"/>
    </row>
    <row r="31" ht="15">
      <c r="A31" s="331" t="s">
        <v>462</v>
      </c>
    </row>
    <row r="32" ht="15">
      <c r="A32" s="331"/>
    </row>
    <row r="33" spans="1:8" ht="15">
      <c r="A33" s="330" t="str">
        <f>CONCATENATE("If your financial records for ",inputPrYr!C5-2," are not closed")</f>
        <v>If your financial records for 2010 are not closed</v>
      </c>
      <c r="B33" s="330"/>
      <c r="C33" s="330"/>
      <c r="D33" s="330"/>
      <c r="E33" s="330"/>
      <c r="F33" s="330"/>
      <c r="G33" s="330"/>
      <c r="H33" s="330"/>
    </row>
    <row r="34" spans="1:8" ht="15">
      <c r="A34" s="330" t="str">
        <f>CONCATENATE("(i.e. an audit has not been completed, or the ",inputPrYr!C5," adopted ")</f>
        <v>(i.e. an audit has not been completed, or the 2012 adopted </v>
      </c>
      <c r="B34" s="330"/>
      <c r="C34" s="330"/>
      <c r="D34" s="330"/>
      <c r="E34" s="330"/>
      <c r="F34" s="330"/>
      <c r="G34" s="330"/>
      <c r="H34" s="330"/>
    </row>
    <row r="35" spans="1:8" ht="15">
      <c r="A35" s="330" t="s">
        <v>463</v>
      </c>
      <c r="B35" s="330"/>
      <c r="C35" s="330"/>
      <c r="D35" s="330"/>
      <c r="E35" s="330"/>
      <c r="F35" s="330"/>
      <c r="G35" s="330"/>
      <c r="H35" s="330"/>
    </row>
    <row r="36" spans="1:8" ht="15">
      <c r="A36" s="330" t="s">
        <v>464</v>
      </c>
      <c r="B36" s="330"/>
      <c r="C36" s="330"/>
      <c r="D36" s="330"/>
      <c r="E36" s="330"/>
      <c r="F36" s="330"/>
      <c r="G36" s="330"/>
      <c r="H36" s="330"/>
    </row>
    <row r="37" spans="1:8" ht="15">
      <c r="A37" s="330" t="s">
        <v>465</v>
      </c>
      <c r="B37" s="330"/>
      <c r="C37" s="330"/>
      <c r="D37" s="330"/>
      <c r="E37" s="330"/>
      <c r="F37" s="330"/>
      <c r="G37" s="330"/>
      <c r="H37" s="330"/>
    </row>
    <row r="38" spans="1:8" ht="15">
      <c r="A38" s="330" t="s">
        <v>466</v>
      </c>
      <c r="B38" s="330"/>
      <c r="C38" s="330"/>
      <c r="D38" s="330"/>
      <c r="E38" s="330"/>
      <c r="F38" s="330"/>
      <c r="G38" s="330"/>
      <c r="H38" s="330"/>
    </row>
    <row r="39" spans="1:8" ht="15">
      <c r="A39" s="330" t="s">
        <v>467</v>
      </c>
      <c r="B39" s="330"/>
      <c r="C39" s="330"/>
      <c r="D39" s="330"/>
      <c r="E39" s="330"/>
      <c r="F39" s="330"/>
      <c r="G39" s="330"/>
      <c r="H39" s="330"/>
    </row>
    <row r="40" spans="1:8" ht="15">
      <c r="A40" s="330"/>
      <c r="B40" s="330"/>
      <c r="C40" s="330"/>
      <c r="D40" s="330"/>
      <c r="E40" s="330"/>
      <c r="F40" s="330"/>
      <c r="G40" s="330"/>
      <c r="H40" s="330"/>
    </row>
    <row r="41" spans="1:8" ht="15">
      <c r="A41" s="330" t="s">
        <v>468</v>
      </c>
      <c r="B41" s="330"/>
      <c r="C41" s="330"/>
      <c r="D41" s="330"/>
      <c r="E41" s="330"/>
      <c r="F41" s="330"/>
      <c r="G41" s="330"/>
      <c r="H41" s="330"/>
    </row>
    <row r="42" spans="1:8" ht="15">
      <c r="A42" s="330" t="s">
        <v>469</v>
      </c>
      <c r="B42" s="330"/>
      <c r="C42" s="330"/>
      <c r="D42" s="330"/>
      <c r="E42" s="330"/>
      <c r="F42" s="330"/>
      <c r="G42" s="330"/>
      <c r="H42" s="330"/>
    </row>
    <row r="43" spans="1:8" ht="15">
      <c r="A43" s="330" t="s">
        <v>470</v>
      </c>
      <c r="B43" s="330"/>
      <c r="C43" s="330"/>
      <c r="D43" s="330"/>
      <c r="E43" s="330"/>
      <c r="F43" s="330"/>
      <c r="G43" s="330"/>
      <c r="H43" s="330"/>
    </row>
    <row r="44" spans="1:8" ht="15">
      <c r="A44" s="330" t="s">
        <v>471</v>
      </c>
      <c r="B44" s="330"/>
      <c r="C44" s="330"/>
      <c r="D44" s="330"/>
      <c r="E44" s="330"/>
      <c r="F44" s="330"/>
      <c r="G44" s="330"/>
      <c r="H44" s="330"/>
    </row>
    <row r="45" spans="1:8" ht="15">
      <c r="A45" s="330"/>
      <c r="B45" s="330"/>
      <c r="C45" s="330"/>
      <c r="D45" s="330"/>
      <c r="E45" s="330"/>
      <c r="F45" s="330"/>
      <c r="G45" s="330"/>
      <c r="H45" s="330"/>
    </row>
    <row r="46" spans="1:8" ht="15">
      <c r="A46" s="330" t="s">
        <v>472</v>
      </c>
      <c r="B46" s="330"/>
      <c r="C46" s="330"/>
      <c r="D46" s="330"/>
      <c r="E46" s="330"/>
      <c r="F46" s="330"/>
      <c r="G46" s="330"/>
      <c r="H46" s="330"/>
    </row>
    <row r="47" spans="1:8" ht="15">
      <c r="A47" s="330" t="s">
        <v>473</v>
      </c>
      <c r="B47" s="330"/>
      <c r="C47" s="330"/>
      <c r="D47" s="330"/>
      <c r="E47" s="330"/>
      <c r="F47" s="330"/>
      <c r="G47" s="330"/>
      <c r="H47" s="330"/>
    </row>
    <row r="48" spans="1:8" ht="15">
      <c r="A48" s="330" t="s">
        <v>474</v>
      </c>
      <c r="B48" s="330"/>
      <c r="C48" s="330"/>
      <c r="D48" s="330"/>
      <c r="E48" s="330"/>
      <c r="F48" s="330"/>
      <c r="G48" s="330"/>
      <c r="H48" s="330"/>
    </row>
    <row r="49" spans="1:8" ht="15">
      <c r="A49" s="330" t="s">
        <v>475</v>
      </c>
      <c r="B49" s="330"/>
      <c r="C49" s="330"/>
      <c r="D49" s="330"/>
      <c r="E49" s="330"/>
      <c r="F49" s="330"/>
      <c r="G49" s="330"/>
      <c r="H49" s="330"/>
    </row>
    <row r="50" spans="1:8" ht="15">
      <c r="A50" s="330" t="s">
        <v>476</v>
      </c>
      <c r="B50" s="330"/>
      <c r="C50" s="330"/>
      <c r="D50" s="330"/>
      <c r="E50" s="330"/>
      <c r="F50" s="330"/>
      <c r="G50" s="330"/>
      <c r="H50" s="330"/>
    </row>
    <row r="51" spans="1:8" ht="15">
      <c r="A51" s="330"/>
      <c r="B51" s="330"/>
      <c r="C51" s="330"/>
      <c r="D51" s="330"/>
      <c r="E51" s="330"/>
      <c r="F51" s="330"/>
      <c r="G51" s="330"/>
      <c r="H51" s="330"/>
    </row>
    <row r="52" spans="1:8" ht="15">
      <c r="A52" s="331" t="s">
        <v>477</v>
      </c>
      <c r="B52" s="331"/>
      <c r="C52" s="331"/>
      <c r="D52" s="331"/>
      <c r="E52" s="331"/>
      <c r="F52" s="331"/>
      <c r="G52" s="331"/>
      <c r="H52" s="330"/>
    </row>
    <row r="53" spans="1:8" ht="15">
      <c r="A53" s="331" t="s">
        <v>478</v>
      </c>
      <c r="B53" s="331"/>
      <c r="C53" s="331"/>
      <c r="D53" s="331"/>
      <c r="E53" s="331"/>
      <c r="F53" s="331"/>
      <c r="G53" s="331"/>
      <c r="H53" s="330"/>
    </row>
    <row r="54" spans="1:8" ht="15">
      <c r="A54" s="330"/>
      <c r="B54" s="330"/>
      <c r="C54" s="330"/>
      <c r="D54" s="330"/>
      <c r="E54" s="330"/>
      <c r="F54" s="330"/>
      <c r="G54" s="330"/>
      <c r="H54" s="330"/>
    </row>
    <row r="55" spans="1:8" ht="15">
      <c r="A55" s="330" t="s">
        <v>479</v>
      </c>
      <c r="B55" s="330"/>
      <c r="C55" s="330"/>
      <c r="D55" s="330"/>
      <c r="E55" s="330"/>
      <c r="F55" s="330"/>
      <c r="G55" s="330"/>
      <c r="H55" s="330"/>
    </row>
    <row r="56" spans="1:8" ht="15">
      <c r="A56" s="330" t="s">
        <v>480</v>
      </c>
      <c r="B56" s="330"/>
      <c r="C56" s="330"/>
      <c r="D56" s="330"/>
      <c r="E56" s="330"/>
      <c r="F56" s="330"/>
      <c r="G56" s="330"/>
      <c r="H56" s="330"/>
    </row>
    <row r="57" spans="1:8" ht="15">
      <c r="A57" s="330" t="s">
        <v>481</v>
      </c>
      <c r="B57" s="330"/>
      <c r="C57" s="330"/>
      <c r="D57" s="330"/>
      <c r="E57" s="330"/>
      <c r="F57" s="330"/>
      <c r="G57" s="330"/>
      <c r="H57" s="330"/>
    </row>
    <row r="58" spans="1:8" ht="15">
      <c r="A58" s="330" t="s">
        <v>482</v>
      </c>
      <c r="B58" s="330"/>
      <c r="C58" s="330"/>
      <c r="D58" s="330"/>
      <c r="E58" s="330"/>
      <c r="F58" s="330"/>
      <c r="G58" s="330"/>
      <c r="H58" s="330"/>
    </row>
    <row r="59" spans="1:8" ht="15">
      <c r="A59" s="330"/>
      <c r="B59" s="330"/>
      <c r="C59" s="330"/>
      <c r="D59" s="330"/>
      <c r="E59" s="330"/>
      <c r="F59" s="330"/>
      <c r="G59" s="330"/>
      <c r="H59" s="330"/>
    </row>
    <row r="60" spans="1:8" ht="15">
      <c r="A60" s="330" t="s">
        <v>483</v>
      </c>
      <c r="B60" s="330"/>
      <c r="C60" s="330"/>
      <c r="D60" s="330"/>
      <c r="E60" s="330"/>
      <c r="F60" s="330"/>
      <c r="G60" s="330"/>
      <c r="H60" s="330"/>
    </row>
    <row r="61" spans="1:8" ht="15">
      <c r="A61" s="330" t="s">
        <v>484</v>
      </c>
      <c r="B61" s="330"/>
      <c r="C61" s="330"/>
      <c r="D61" s="330"/>
      <c r="E61" s="330"/>
      <c r="F61" s="330"/>
      <c r="G61" s="330"/>
      <c r="H61" s="330"/>
    </row>
    <row r="62" spans="1:8" ht="15">
      <c r="A62" s="330" t="s">
        <v>485</v>
      </c>
      <c r="B62" s="330"/>
      <c r="C62" s="330"/>
      <c r="D62" s="330"/>
      <c r="E62" s="330"/>
      <c r="F62" s="330"/>
      <c r="G62" s="330"/>
      <c r="H62" s="330"/>
    </row>
    <row r="63" spans="1:8" ht="15">
      <c r="A63" s="330" t="s">
        <v>486</v>
      </c>
      <c r="B63" s="330"/>
      <c r="C63" s="330"/>
      <c r="D63" s="330"/>
      <c r="E63" s="330"/>
      <c r="F63" s="330"/>
      <c r="G63" s="330"/>
      <c r="H63" s="330"/>
    </row>
    <row r="64" spans="1:8" ht="15">
      <c r="A64" s="330" t="s">
        <v>487</v>
      </c>
      <c r="B64" s="330"/>
      <c r="C64" s="330"/>
      <c r="D64" s="330"/>
      <c r="E64" s="330"/>
      <c r="F64" s="330"/>
      <c r="G64" s="330"/>
      <c r="H64" s="330"/>
    </row>
    <row r="65" spans="1:8" ht="15">
      <c r="A65" s="330" t="s">
        <v>488</v>
      </c>
      <c r="B65" s="330"/>
      <c r="C65" s="330"/>
      <c r="D65" s="330"/>
      <c r="E65" s="330"/>
      <c r="F65" s="330"/>
      <c r="G65" s="330"/>
      <c r="H65" s="330"/>
    </row>
    <row r="66" spans="1:8" ht="15">
      <c r="A66" s="330"/>
      <c r="B66" s="330"/>
      <c r="C66" s="330"/>
      <c r="D66" s="330"/>
      <c r="E66" s="330"/>
      <c r="F66" s="330"/>
      <c r="G66" s="330"/>
      <c r="H66" s="330"/>
    </row>
    <row r="67" spans="1:8" ht="15">
      <c r="A67" s="330" t="s">
        <v>489</v>
      </c>
      <c r="B67" s="330"/>
      <c r="C67" s="330"/>
      <c r="D67" s="330"/>
      <c r="E67" s="330"/>
      <c r="F67" s="330"/>
      <c r="G67" s="330"/>
      <c r="H67" s="330"/>
    </row>
    <row r="68" spans="1:8" ht="15">
      <c r="A68" s="330" t="s">
        <v>490</v>
      </c>
      <c r="B68" s="330"/>
      <c r="C68" s="330"/>
      <c r="D68" s="330"/>
      <c r="E68" s="330"/>
      <c r="F68" s="330"/>
      <c r="G68" s="330"/>
      <c r="H68" s="330"/>
    </row>
    <row r="69" spans="1:8" ht="15">
      <c r="A69" s="330" t="s">
        <v>491</v>
      </c>
      <c r="B69" s="330"/>
      <c r="C69" s="330"/>
      <c r="D69" s="330"/>
      <c r="E69" s="330"/>
      <c r="F69" s="330"/>
      <c r="G69" s="330"/>
      <c r="H69" s="330"/>
    </row>
    <row r="70" spans="1:8" ht="15">
      <c r="A70" s="330" t="s">
        <v>492</v>
      </c>
      <c r="B70" s="330"/>
      <c r="C70" s="330"/>
      <c r="D70" s="330"/>
      <c r="E70" s="330"/>
      <c r="F70" s="330"/>
      <c r="G70" s="330"/>
      <c r="H70" s="330"/>
    </row>
    <row r="71" spans="1:8" ht="15">
      <c r="A71" s="330" t="s">
        <v>493</v>
      </c>
      <c r="B71" s="330"/>
      <c r="C71" s="330"/>
      <c r="D71" s="330"/>
      <c r="E71" s="330"/>
      <c r="F71" s="330"/>
      <c r="G71" s="330"/>
      <c r="H71" s="330"/>
    </row>
    <row r="72" spans="1:8" ht="15">
      <c r="A72" s="330" t="s">
        <v>494</v>
      </c>
      <c r="B72" s="330"/>
      <c r="C72" s="330"/>
      <c r="D72" s="330"/>
      <c r="E72" s="330"/>
      <c r="F72" s="330"/>
      <c r="G72" s="330"/>
      <c r="H72" s="330"/>
    </row>
    <row r="73" spans="1:8" ht="15">
      <c r="A73" s="330" t="s">
        <v>495</v>
      </c>
      <c r="B73" s="330"/>
      <c r="C73" s="330"/>
      <c r="D73" s="330"/>
      <c r="E73" s="330"/>
      <c r="F73" s="330"/>
      <c r="G73" s="330"/>
      <c r="H73" s="330"/>
    </row>
    <row r="74" spans="1:8" ht="15">
      <c r="A74" s="330"/>
      <c r="B74" s="330"/>
      <c r="C74" s="330"/>
      <c r="D74" s="330"/>
      <c r="E74" s="330"/>
      <c r="F74" s="330"/>
      <c r="G74" s="330"/>
      <c r="H74" s="330"/>
    </row>
    <row r="75" spans="1:8" ht="15">
      <c r="A75" s="330" t="s">
        <v>496</v>
      </c>
      <c r="B75" s="330"/>
      <c r="C75" s="330"/>
      <c r="D75" s="330"/>
      <c r="E75" s="330"/>
      <c r="F75" s="330"/>
      <c r="G75" s="330"/>
      <c r="H75" s="330"/>
    </row>
    <row r="76" spans="1:8" ht="15">
      <c r="A76" s="330" t="s">
        <v>497</v>
      </c>
      <c r="B76" s="330"/>
      <c r="C76" s="330"/>
      <c r="D76" s="330"/>
      <c r="E76" s="330"/>
      <c r="F76" s="330"/>
      <c r="G76" s="330"/>
      <c r="H76" s="330"/>
    </row>
    <row r="77" spans="1:8" ht="15">
      <c r="A77" s="330" t="s">
        <v>498</v>
      </c>
      <c r="B77" s="330"/>
      <c r="C77" s="330"/>
      <c r="D77" s="330"/>
      <c r="E77" s="330"/>
      <c r="F77" s="330"/>
      <c r="G77" s="330"/>
      <c r="H77" s="330"/>
    </row>
    <row r="78" spans="1:8" ht="15">
      <c r="A78" s="330"/>
      <c r="B78" s="330"/>
      <c r="C78" s="330"/>
      <c r="D78" s="330"/>
      <c r="E78" s="330"/>
      <c r="F78" s="330"/>
      <c r="G78" s="330"/>
      <c r="H78" s="330"/>
    </row>
    <row r="79" ht="15">
      <c r="A79" s="330" t="s">
        <v>443</v>
      </c>
    </row>
    <row r="80" ht="15">
      <c r="A80" s="331"/>
    </row>
    <row r="81" ht="15">
      <c r="A81" s="330"/>
    </row>
    <row r="82" ht="15">
      <c r="A82" s="330"/>
    </row>
    <row r="83" ht="15">
      <c r="A83" s="330"/>
    </row>
    <row r="84" ht="15">
      <c r="A84" s="330"/>
    </row>
    <row r="85" ht="15">
      <c r="A85" s="330"/>
    </row>
    <row r="86" ht="15">
      <c r="A86" s="330"/>
    </row>
    <row r="87" ht="15">
      <c r="A87" s="330"/>
    </row>
    <row r="88" ht="15">
      <c r="A88" s="330"/>
    </row>
    <row r="89" ht="15">
      <c r="A89" s="330"/>
    </row>
    <row r="90" ht="15">
      <c r="A90" s="330"/>
    </row>
    <row r="91" ht="15">
      <c r="A91" s="330"/>
    </row>
    <row r="92" ht="15">
      <c r="A92" s="330"/>
    </row>
    <row r="93" ht="15">
      <c r="A93" s="330"/>
    </row>
    <row r="94" ht="15">
      <c r="A94" s="330"/>
    </row>
    <row r="95" ht="15">
      <c r="A95" s="330"/>
    </row>
    <row r="96" ht="15">
      <c r="A96" s="330"/>
    </row>
    <row r="97" ht="15">
      <c r="A97" s="330"/>
    </row>
    <row r="98" ht="15">
      <c r="A98" s="330"/>
    </row>
    <row r="99" ht="15">
      <c r="A99" s="330"/>
    </row>
    <row r="100" ht="15">
      <c r="A100" s="330"/>
    </row>
    <row r="101" ht="15">
      <c r="A101" s="330"/>
    </row>
    <row r="103" ht="15">
      <c r="A103" s="330"/>
    </row>
    <row r="104" ht="15">
      <c r="A104" s="330"/>
    </row>
    <row r="105" ht="15">
      <c r="A105" s="330"/>
    </row>
    <row r="107" ht="15">
      <c r="A107" s="331"/>
    </row>
    <row r="108" ht="15">
      <c r="A108" s="331"/>
    </row>
    <row r="109" ht="15">
      <c r="A109" s="33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29" t="s">
        <v>499</v>
      </c>
      <c r="B3" s="329"/>
      <c r="C3" s="329"/>
      <c r="D3" s="329"/>
      <c r="E3" s="329"/>
      <c r="F3" s="329"/>
      <c r="G3" s="329"/>
      <c r="H3" s="329"/>
      <c r="I3" s="329"/>
      <c r="J3" s="329"/>
      <c r="K3" s="329"/>
      <c r="L3" s="329"/>
    </row>
    <row r="4" spans="1:12" ht="15">
      <c r="A4" s="329"/>
      <c r="B4" s="329"/>
      <c r="C4" s="329"/>
      <c r="D4" s="329"/>
      <c r="E4" s="329"/>
      <c r="F4" s="329"/>
      <c r="G4" s="329"/>
      <c r="H4" s="329"/>
      <c r="I4" s="329"/>
      <c r="J4" s="329"/>
      <c r="K4" s="329"/>
      <c r="L4" s="329"/>
    </row>
    <row r="5" spans="1:12" ht="15">
      <c r="A5" s="330" t="s">
        <v>388</v>
      </c>
      <c r="I5" s="329"/>
      <c r="J5" s="329"/>
      <c r="K5" s="329"/>
      <c r="L5" s="329"/>
    </row>
    <row r="6" spans="1:12" ht="15">
      <c r="A6" s="330" t="str">
        <f>CONCATENATE("estimated ",inputPrYr!C5-1," 'total expenditures' exceed your ",inputPrYr!C5-1,"")</f>
        <v>estimated 2011 'total expenditures' exceed your 2011</v>
      </c>
      <c r="I6" s="329"/>
      <c r="J6" s="329"/>
      <c r="K6" s="329"/>
      <c r="L6" s="329"/>
    </row>
    <row r="7" spans="1:12" ht="15">
      <c r="A7" s="333" t="s">
        <v>500</v>
      </c>
      <c r="I7" s="329"/>
      <c r="J7" s="329"/>
      <c r="K7" s="329"/>
      <c r="L7" s="329"/>
    </row>
    <row r="8" spans="1:12" ht="15">
      <c r="A8" s="330"/>
      <c r="I8" s="329"/>
      <c r="J8" s="329"/>
      <c r="K8" s="329"/>
      <c r="L8" s="329"/>
    </row>
    <row r="9" spans="1:12" ht="15">
      <c r="A9" s="330" t="s">
        <v>501</v>
      </c>
      <c r="I9" s="329"/>
      <c r="J9" s="329"/>
      <c r="K9" s="329"/>
      <c r="L9" s="329"/>
    </row>
    <row r="10" spans="1:12" ht="15">
      <c r="A10" s="330" t="s">
        <v>502</v>
      </c>
      <c r="I10" s="329"/>
      <c r="J10" s="329"/>
      <c r="K10" s="329"/>
      <c r="L10" s="329"/>
    </row>
    <row r="11" spans="1:12" ht="15">
      <c r="A11" s="330" t="s">
        <v>503</v>
      </c>
      <c r="I11" s="329"/>
      <c r="J11" s="329"/>
      <c r="K11" s="329"/>
      <c r="L11" s="329"/>
    </row>
    <row r="12" spans="1:12" ht="15">
      <c r="A12" s="330" t="s">
        <v>504</v>
      </c>
      <c r="I12" s="329"/>
      <c r="J12" s="329"/>
      <c r="K12" s="329"/>
      <c r="L12" s="329"/>
    </row>
    <row r="13" spans="1:12" ht="15">
      <c r="A13" s="330" t="s">
        <v>505</v>
      </c>
      <c r="I13" s="329"/>
      <c r="J13" s="329"/>
      <c r="K13" s="329"/>
      <c r="L13" s="329"/>
    </row>
    <row r="14" spans="1:12" ht="15">
      <c r="A14" s="329"/>
      <c r="B14" s="329"/>
      <c r="C14" s="329"/>
      <c r="D14" s="329"/>
      <c r="E14" s="329"/>
      <c r="F14" s="329"/>
      <c r="G14" s="329"/>
      <c r="H14" s="329"/>
      <c r="I14" s="329"/>
      <c r="J14" s="329"/>
      <c r="K14" s="329"/>
      <c r="L14" s="329"/>
    </row>
    <row r="15" ht="15">
      <c r="A15" s="331" t="s">
        <v>506</v>
      </c>
    </row>
    <row r="16" ht="15">
      <c r="A16" s="331" t="s">
        <v>507</v>
      </c>
    </row>
    <row r="17" ht="15">
      <c r="A17" s="331"/>
    </row>
    <row r="18" spans="1:7" ht="15">
      <c r="A18" s="330" t="s">
        <v>508</v>
      </c>
      <c r="B18" s="330"/>
      <c r="C18" s="330"/>
      <c r="D18" s="330"/>
      <c r="E18" s="330"/>
      <c r="F18" s="330"/>
      <c r="G18" s="330"/>
    </row>
    <row r="19" spans="1:7" ht="15">
      <c r="A19" s="330" t="str">
        <f>CONCATENATE("your ",inputPrYr!C5-1," numbers to see what steps might be necessary to")</f>
        <v>your 2011 numbers to see what steps might be necessary to</v>
      </c>
      <c r="B19" s="330"/>
      <c r="C19" s="330"/>
      <c r="D19" s="330"/>
      <c r="E19" s="330"/>
      <c r="F19" s="330"/>
      <c r="G19" s="330"/>
    </row>
    <row r="20" spans="1:7" ht="15">
      <c r="A20" s="330" t="s">
        <v>509</v>
      </c>
      <c r="B20" s="330"/>
      <c r="C20" s="330"/>
      <c r="D20" s="330"/>
      <c r="E20" s="330"/>
      <c r="F20" s="330"/>
      <c r="G20" s="330"/>
    </row>
    <row r="21" spans="1:7" ht="15">
      <c r="A21" s="330" t="s">
        <v>510</v>
      </c>
      <c r="B21" s="330"/>
      <c r="C21" s="330"/>
      <c r="D21" s="330"/>
      <c r="E21" s="330"/>
      <c r="F21" s="330"/>
      <c r="G21" s="330"/>
    </row>
    <row r="22" ht="15">
      <c r="A22" s="330"/>
    </row>
    <row r="23" ht="15">
      <c r="A23" s="331" t="s">
        <v>511</v>
      </c>
    </row>
    <row r="24" ht="15">
      <c r="A24" s="331"/>
    </row>
    <row r="25" ht="15">
      <c r="A25" s="330" t="s">
        <v>512</v>
      </c>
    </row>
    <row r="26" spans="1:6" ht="15">
      <c r="A26" s="330" t="s">
        <v>513</v>
      </c>
      <c r="B26" s="330"/>
      <c r="C26" s="330"/>
      <c r="D26" s="330"/>
      <c r="E26" s="330"/>
      <c r="F26" s="330"/>
    </row>
    <row r="27" spans="1:6" ht="15">
      <c r="A27" s="330" t="s">
        <v>514</v>
      </c>
      <c r="B27" s="330"/>
      <c r="C27" s="330"/>
      <c r="D27" s="330"/>
      <c r="E27" s="330"/>
      <c r="F27" s="330"/>
    </row>
    <row r="28" spans="1:6" ht="15">
      <c r="A28" s="330" t="s">
        <v>515</v>
      </c>
      <c r="B28" s="330"/>
      <c r="C28" s="330"/>
      <c r="D28" s="330"/>
      <c r="E28" s="330"/>
      <c r="F28" s="330"/>
    </row>
    <row r="29" spans="1:6" ht="15">
      <c r="A29" s="330"/>
      <c r="B29" s="330"/>
      <c r="C29" s="330"/>
      <c r="D29" s="330"/>
      <c r="E29" s="330"/>
      <c r="F29" s="330"/>
    </row>
    <row r="30" spans="1:7" ht="15">
      <c r="A30" s="331" t="s">
        <v>516</v>
      </c>
      <c r="B30" s="331"/>
      <c r="C30" s="331"/>
      <c r="D30" s="331"/>
      <c r="E30" s="331"/>
      <c r="F30" s="331"/>
      <c r="G30" s="331"/>
    </row>
    <row r="31" spans="1:7" ht="15">
      <c r="A31" s="331" t="s">
        <v>517</v>
      </c>
      <c r="B31" s="331"/>
      <c r="C31" s="331"/>
      <c r="D31" s="331"/>
      <c r="E31" s="331"/>
      <c r="F31" s="331"/>
      <c r="G31" s="331"/>
    </row>
    <row r="32" spans="1:6" ht="15">
      <c r="A32" s="330"/>
      <c r="B32" s="330"/>
      <c r="C32" s="330"/>
      <c r="D32" s="330"/>
      <c r="E32" s="330"/>
      <c r="F32" s="330"/>
    </row>
    <row r="33" spans="1:6" ht="15">
      <c r="A33" s="328" t="str">
        <f>CONCATENATE("Well, let's look to see if any of your ",inputPrYr!C5-1," expenditures can")</f>
        <v>Well, let's look to see if any of your 2011 expenditures can</v>
      </c>
      <c r="B33" s="330"/>
      <c r="C33" s="330"/>
      <c r="D33" s="330"/>
      <c r="E33" s="330"/>
      <c r="F33" s="330"/>
    </row>
    <row r="34" spans="1:6" ht="15">
      <c r="A34" s="328" t="s">
        <v>518</v>
      </c>
      <c r="B34" s="330"/>
      <c r="C34" s="330"/>
      <c r="D34" s="330"/>
      <c r="E34" s="330"/>
      <c r="F34" s="330"/>
    </row>
    <row r="35" spans="1:6" ht="15">
      <c r="A35" s="328" t="s">
        <v>402</v>
      </c>
      <c r="B35" s="330"/>
      <c r="C35" s="330"/>
      <c r="D35" s="330"/>
      <c r="E35" s="330"/>
      <c r="F35" s="330"/>
    </row>
    <row r="36" spans="1:6" ht="15">
      <c r="A36" s="328" t="s">
        <v>403</v>
      </c>
      <c r="B36" s="330"/>
      <c r="C36" s="330"/>
      <c r="D36" s="330"/>
      <c r="E36" s="330"/>
      <c r="F36" s="330"/>
    </row>
    <row r="37" spans="1:6" ht="15">
      <c r="A37" s="328"/>
      <c r="B37" s="330"/>
      <c r="C37" s="330"/>
      <c r="D37" s="330"/>
      <c r="E37" s="330"/>
      <c r="F37" s="330"/>
    </row>
    <row r="38" spans="1:6" ht="15">
      <c r="A38" s="328" t="str">
        <f>CONCATENATE("Additionally, do your ",inputPrYr!C5-1," receipts contain a reimbursement")</f>
        <v>Additionally, do your 2011 receipts contain a reimbursement</v>
      </c>
      <c r="B38" s="330"/>
      <c r="C38" s="330"/>
      <c r="D38" s="330"/>
      <c r="E38" s="330"/>
      <c r="F38" s="330"/>
    </row>
    <row r="39" spans="1:6" ht="15">
      <c r="A39" s="328" t="s">
        <v>404</v>
      </c>
      <c r="B39" s="330"/>
      <c r="C39" s="330"/>
      <c r="D39" s="330"/>
      <c r="E39" s="330"/>
      <c r="F39" s="330"/>
    </row>
    <row r="40" spans="1:6" ht="15">
      <c r="A40" s="328" t="s">
        <v>405</v>
      </c>
      <c r="B40" s="330"/>
      <c r="C40" s="330"/>
      <c r="D40" s="330"/>
      <c r="E40" s="330"/>
      <c r="F40" s="330"/>
    </row>
    <row r="41" spans="1:6" ht="15">
      <c r="A41" s="328"/>
      <c r="B41" s="330"/>
      <c r="C41" s="330"/>
      <c r="D41" s="330"/>
      <c r="E41" s="330"/>
      <c r="F41" s="330"/>
    </row>
    <row r="42" spans="1:6" ht="15">
      <c r="A42" s="328" t="s">
        <v>406</v>
      </c>
      <c r="B42" s="330"/>
      <c r="C42" s="330"/>
      <c r="D42" s="330"/>
      <c r="E42" s="330"/>
      <c r="F42" s="330"/>
    </row>
    <row r="43" spans="1:6" ht="15">
      <c r="A43" s="328" t="s">
        <v>407</v>
      </c>
      <c r="B43" s="330"/>
      <c r="C43" s="330"/>
      <c r="D43" s="330"/>
      <c r="E43" s="330"/>
      <c r="F43" s="330"/>
    </row>
    <row r="44" spans="1:6" ht="15">
      <c r="A44" s="328" t="s">
        <v>408</v>
      </c>
      <c r="B44" s="330"/>
      <c r="C44" s="330"/>
      <c r="D44" s="330"/>
      <c r="E44" s="330"/>
      <c r="F44" s="330"/>
    </row>
    <row r="45" spans="1:6" ht="15">
      <c r="A45" s="328" t="s">
        <v>519</v>
      </c>
      <c r="B45" s="330"/>
      <c r="C45" s="330"/>
      <c r="D45" s="330"/>
      <c r="E45" s="330"/>
      <c r="F45" s="330"/>
    </row>
    <row r="46" spans="1:6" ht="15">
      <c r="A46" s="328" t="s">
        <v>410</v>
      </c>
      <c r="B46" s="330"/>
      <c r="C46" s="330"/>
      <c r="D46" s="330"/>
      <c r="E46" s="330"/>
      <c r="F46" s="330"/>
    </row>
    <row r="47" spans="1:6" ht="15">
      <c r="A47" s="328" t="s">
        <v>520</v>
      </c>
      <c r="B47" s="330"/>
      <c r="C47" s="330"/>
      <c r="D47" s="330"/>
      <c r="E47" s="330"/>
      <c r="F47" s="330"/>
    </row>
    <row r="48" spans="1:6" ht="15">
      <c r="A48" s="328" t="s">
        <v>521</v>
      </c>
      <c r="B48" s="330"/>
      <c r="C48" s="330"/>
      <c r="D48" s="330"/>
      <c r="E48" s="330"/>
      <c r="F48" s="330"/>
    </row>
    <row r="49" spans="1:6" ht="15">
      <c r="A49" s="328" t="s">
        <v>413</v>
      </c>
      <c r="B49" s="330"/>
      <c r="C49" s="330"/>
      <c r="D49" s="330"/>
      <c r="E49" s="330"/>
      <c r="F49" s="330"/>
    </row>
    <row r="50" spans="1:6" ht="15">
      <c r="A50" s="328"/>
      <c r="B50" s="330"/>
      <c r="C50" s="330"/>
      <c r="D50" s="330"/>
      <c r="E50" s="330"/>
      <c r="F50" s="330"/>
    </row>
    <row r="51" spans="1:6" ht="15">
      <c r="A51" s="328" t="s">
        <v>414</v>
      </c>
      <c r="B51" s="330"/>
      <c r="C51" s="330"/>
      <c r="D51" s="330"/>
      <c r="E51" s="330"/>
      <c r="F51" s="330"/>
    </row>
    <row r="52" spans="1:6" ht="15">
      <c r="A52" s="328" t="s">
        <v>415</v>
      </c>
      <c r="B52" s="330"/>
      <c r="C52" s="330"/>
      <c r="D52" s="330"/>
      <c r="E52" s="330"/>
      <c r="F52" s="330"/>
    </row>
    <row r="53" spans="1:6" ht="15">
      <c r="A53" s="328" t="s">
        <v>416</v>
      </c>
      <c r="B53" s="330"/>
      <c r="C53" s="330"/>
      <c r="D53" s="330"/>
      <c r="E53" s="330"/>
      <c r="F53" s="330"/>
    </row>
    <row r="54" spans="1:6" ht="15">
      <c r="A54" s="328"/>
      <c r="B54" s="330"/>
      <c r="C54" s="330"/>
      <c r="D54" s="330"/>
      <c r="E54" s="330"/>
      <c r="F54" s="330"/>
    </row>
    <row r="55" spans="1:6" ht="15">
      <c r="A55" s="328" t="s">
        <v>522</v>
      </c>
      <c r="B55" s="330"/>
      <c r="C55" s="330"/>
      <c r="D55" s="330"/>
      <c r="E55" s="330"/>
      <c r="F55" s="330"/>
    </row>
    <row r="56" spans="1:6" ht="15">
      <c r="A56" s="328" t="s">
        <v>523</v>
      </c>
      <c r="B56" s="330"/>
      <c r="C56" s="330"/>
      <c r="D56" s="330"/>
      <c r="E56" s="330"/>
      <c r="F56" s="330"/>
    </row>
    <row r="57" spans="1:6" ht="15">
      <c r="A57" s="328" t="s">
        <v>524</v>
      </c>
      <c r="B57" s="330"/>
      <c r="C57" s="330"/>
      <c r="D57" s="330"/>
      <c r="E57" s="330"/>
      <c r="F57" s="330"/>
    </row>
    <row r="58" spans="1:6" ht="15">
      <c r="A58" s="328" t="s">
        <v>525</v>
      </c>
      <c r="B58" s="330"/>
      <c r="C58" s="330"/>
      <c r="D58" s="330"/>
      <c r="E58" s="330"/>
      <c r="F58" s="330"/>
    </row>
    <row r="59" spans="1:6" ht="15">
      <c r="A59" s="328" t="s">
        <v>526</v>
      </c>
      <c r="B59" s="330"/>
      <c r="C59" s="330"/>
      <c r="D59" s="330"/>
      <c r="E59" s="330"/>
      <c r="F59" s="330"/>
    </row>
    <row r="60" spans="1:6" ht="15">
      <c r="A60" s="328"/>
      <c r="B60" s="330"/>
      <c r="C60" s="330"/>
      <c r="D60" s="330"/>
      <c r="E60" s="330"/>
      <c r="F60" s="330"/>
    </row>
    <row r="61" spans="1:6" ht="15">
      <c r="A61" s="327" t="s">
        <v>527</v>
      </c>
      <c r="B61" s="330"/>
      <c r="C61" s="330"/>
      <c r="D61" s="330"/>
      <c r="E61" s="330"/>
      <c r="F61" s="330"/>
    </row>
    <row r="62" spans="1:6" ht="15">
      <c r="A62" s="327" t="s">
        <v>528</v>
      </c>
      <c r="B62" s="330"/>
      <c r="C62" s="330"/>
      <c r="D62" s="330"/>
      <c r="E62" s="330"/>
      <c r="F62" s="330"/>
    </row>
    <row r="63" spans="1:6" ht="15">
      <c r="A63" s="327" t="s">
        <v>529</v>
      </c>
      <c r="B63" s="330"/>
      <c r="C63" s="330"/>
      <c r="D63" s="330"/>
      <c r="E63" s="330"/>
      <c r="F63" s="330"/>
    </row>
    <row r="64" ht="15">
      <c r="A64" s="327" t="s">
        <v>530</v>
      </c>
    </row>
    <row r="65" ht="15">
      <c r="A65" s="327" t="s">
        <v>531</v>
      </c>
    </row>
    <row r="66" ht="15">
      <c r="A66" s="327" t="s">
        <v>532</v>
      </c>
    </row>
    <row r="68" ht="15">
      <c r="A68" s="330" t="s">
        <v>533</v>
      </c>
    </row>
    <row r="69" ht="15">
      <c r="A69" s="330" t="s">
        <v>534</v>
      </c>
    </row>
    <row r="70" ht="15">
      <c r="A70" s="330" t="s">
        <v>535</v>
      </c>
    </row>
    <row r="71" ht="15">
      <c r="A71" s="330" t="s">
        <v>536</v>
      </c>
    </row>
    <row r="72" ht="15">
      <c r="A72" s="330" t="s">
        <v>537</v>
      </c>
    </row>
    <row r="73" ht="15">
      <c r="A73" s="330" t="s">
        <v>538</v>
      </c>
    </row>
    <row r="75" ht="15">
      <c r="A75" s="330" t="s">
        <v>443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29" t="s">
        <v>539</v>
      </c>
      <c r="B3" s="329"/>
      <c r="C3" s="329"/>
      <c r="D3" s="329"/>
      <c r="E3" s="329"/>
      <c r="F3" s="329"/>
      <c r="G3" s="329"/>
    </row>
    <row r="4" spans="1:7" ht="15">
      <c r="A4" s="329"/>
      <c r="B4" s="329"/>
      <c r="C4" s="329"/>
      <c r="D4" s="329"/>
      <c r="E4" s="329"/>
      <c r="F4" s="329"/>
      <c r="G4" s="329"/>
    </row>
    <row r="5" ht="15">
      <c r="A5" s="330" t="s">
        <v>445</v>
      </c>
    </row>
    <row r="6" ht="15">
      <c r="A6" s="330" t="str">
        <f>CONCATENATE(inputPrYr!C5," estimated expenditures show that at the end of this year")</f>
        <v>2012 estimated expenditures show that at the end of this year</v>
      </c>
    </row>
    <row r="7" ht="15">
      <c r="A7" s="330" t="s">
        <v>540</v>
      </c>
    </row>
    <row r="8" ht="15">
      <c r="A8" s="330" t="s">
        <v>541</v>
      </c>
    </row>
    <row r="10" ht="15">
      <c r="A10" t="s">
        <v>447</v>
      </c>
    </row>
    <row r="11" ht="15">
      <c r="A11" t="s">
        <v>448</v>
      </c>
    </row>
    <row r="12" ht="15">
      <c r="A12" t="s">
        <v>449</v>
      </c>
    </row>
    <row r="13" spans="1:7" ht="15">
      <c r="A13" s="329"/>
      <c r="B13" s="329"/>
      <c r="C13" s="329"/>
      <c r="D13" s="329"/>
      <c r="E13" s="329"/>
      <c r="F13" s="329"/>
      <c r="G13" s="329"/>
    </row>
    <row r="14" ht="15">
      <c r="A14" s="331" t="s">
        <v>542</v>
      </c>
    </row>
    <row r="15" ht="15">
      <c r="A15" s="330"/>
    </row>
    <row r="16" ht="15">
      <c r="A16" s="330" t="s">
        <v>543</v>
      </c>
    </row>
    <row r="17" ht="15">
      <c r="A17" s="330" t="s">
        <v>544</v>
      </c>
    </row>
    <row r="18" ht="15">
      <c r="A18" s="330" t="s">
        <v>545</v>
      </c>
    </row>
    <row r="19" ht="15">
      <c r="A19" s="330"/>
    </row>
    <row r="20" ht="15">
      <c r="A20" s="330" t="s">
        <v>546</v>
      </c>
    </row>
    <row r="21" ht="15">
      <c r="A21" s="330" t="s">
        <v>547</v>
      </c>
    </row>
    <row r="22" ht="15">
      <c r="A22" s="330" t="s">
        <v>548</v>
      </c>
    </row>
    <row r="23" ht="15">
      <c r="A23" s="330" t="s">
        <v>549</v>
      </c>
    </row>
    <row r="24" ht="15">
      <c r="A24" s="330"/>
    </row>
    <row r="25" ht="15">
      <c r="A25" s="331" t="s">
        <v>511</v>
      </c>
    </row>
    <row r="26" ht="15">
      <c r="A26" s="331"/>
    </row>
    <row r="27" ht="15">
      <c r="A27" s="330" t="s">
        <v>512</v>
      </c>
    </row>
    <row r="28" spans="1:6" ht="15">
      <c r="A28" s="330" t="s">
        <v>513</v>
      </c>
      <c r="B28" s="330"/>
      <c r="C28" s="330"/>
      <c r="D28" s="330"/>
      <c r="E28" s="330"/>
      <c r="F28" s="330"/>
    </row>
    <row r="29" spans="1:6" ht="15">
      <c r="A29" s="330" t="s">
        <v>514</v>
      </c>
      <c r="B29" s="330"/>
      <c r="C29" s="330"/>
      <c r="D29" s="330"/>
      <c r="E29" s="330"/>
      <c r="F29" s="330"/>
    </row>
    <row r="30" spans="1:6" ht="15">
      <c r="A30" s="330" t="s">
        <v>515</v>
      </c>
      <c r="B30" s="330"/>
      <c r="C30" s="330"/>
      <c r="D30" s="330"/>
      <c r="E30" s="330"/>
      <c r="F30" s="330"/>
    </row>
    <row r="31" ht="15">
      <c r="A31" s="330"/>
    </row>
    <row r="32" spans="1:7" ht="15">
      <c r="A32" s="331" t="s">
        <v>516</v>
      </c>
      <c r="B32" s="331"/>
      <c r="C32" s="331"/>
      <c r="D32" s="331"/>
      <c r="E32" s="331"/>
      <c r="F32" s="331"/>
      <c r="G32" s="331"/>
    </row>
    <row r="33" spans="1:7" ht="15">
      <c r="A33" s="331" t="s">
        <v>517</v>
      </c>
      <c r="B33" s="331"/>
      <c r="C33" s="331"/>
      <c r="D33" s="331"/>
      <c r="E33" s="331"/>
      <c r="F33" s="331"/>
      <c r="G33" s="331"/>
    </row>
    <row r="34" spans="1:7" ht="15">
      <c r="A34" s="331"/>
      <c r="B34" s="331"/>
      <c r="C34" s="331"/>
      <c r="D34" s="331"/>
      <c r="E34" s="331"/>
      <c r="F34" s="331"/>
      <c r="G34" s="331"/>
    </row>
    <row r="35" spans="1:7" ht="15">
      <c r="A35" s="330" t="s">
        <v>550</v>
      </c>
      <c r="B35" s="330"/>
      <c r="C35" s="330"/>
      <c r="D35" s="330"/>
      <c r="E35" s="330"/>
      <c r="F35" s="330"/>
      <c r="G35" s="330"/>
    </row>
    <row r="36" spans="1:7" ht="15">
      <c r="A36" s="330" t="s">
        <v>551</v>
      </c>
      <c r="B36" s="330"/>
      <c r="C36" s="330"/>
      <c r="D36" s="330"/>
      <c r="E36" s="330"/>
      <c r="F36" s="330"/>
      <c r="G36" s="330"/>
    </row>
    <row r="37" spans="1:7" ht="15">
      <c r="A37" s="330" t="s">
        <v>552</v>
      </c>
      <c r="B37" s="330"/>
      <c r="C37" s="330"/>
      <c r="D37" s="330"/>
      <c r="E37" s="330"/>
      <c r="F37" s="330"/>
      <c r="G37" s="330"/>
    </row>
    <row r="38" spans="1:7" ht="15">
      <c r="A38" s="330" t="s">
        <v>553</v>
      </c>
      <c r="B38" s="330"/>
      <c r="C38" s="330"/>
      <c r="D38" s="330"/>
      <c r="E38" s="330"/>
      <c r="F38" s="330"/>
      <c r="G38" s="330"/>
    </row>
    <row r="39" spans="1:7" ht="15">
      <c r="A39" s="330" t="s">
        <v>554</v>
      </c>
      <c r="B39" s="330"/>
      <c r="C39" s="330"/>
      <c r="D39" s="330"/>
      <c r="E39" s="330"/>
      <c r="F39" s="330"/>
      <c r="G39" s="330"/>
    </row>
    <row r="40" spans="1:7" ht="15">
      <c r="A40" s="331"/>
      <c r="B40" s="331"/>
      <c r="C40" s="331"/>
      <c r="D40" s="331"/>
      <c r="E40" s="331"/>
      <c r="F40" s="331"/>
      <c r="G40" s="331"/>
    </row>
    <row r="41" spans="1:6" ht="15">
      <c r="A41" s="328" t="str">
        <f>CONCATENATE("So, let's look to see if any of your ",inputPrYr!C5-1," expenditures can")</f>
        <v>So, let's look to see if any of your 2011 expenditures can</v>
      </c>
      <c r="B41" s="330"/>
      <c r="C41" s="330"/>
      <c r="D41" s="330"/>
      <c r="E41" s="330"/>
      <c r="F41" s="330"/>
    </row>
    <row r="42" spans="1:6" ht="15">
      <c r="A42" s="328" t="s">
        <v>518</v>
      </c>
      <c r="B42" s="330"/>
      <c r="C42" s="330"/>
      <c r="D42" s="330"/>
      <c r="E42" s="330"/>
      <c r="F42" s="330"/>
    </row>
    <row r="43" spans="1:6" ht="15">
      <c r="A43" s="328" t="s">
        <v>402</v>
      </c>
      <c r="B43" s="330"/>
      <c r="C43" s="330"/>
      <c r="D43" s="330"/>
      <c r="E43" s="330"/>
      <c r="F43" s="330"/>
    </row>
    <row r="44" spans="1:6" ht="15">
      <c r="A44" s="328" t="s">
        <v>403</v>
      </c>
      <c r="B44" s="330"/>
      <c r="C44" s="330"/>
      <c r="D44" s="330"/>
      <c r="E44" s="330"/>
      <c r="F44" s="330"/>
    </row>
    <row r="45" ht="15">
      <c r="A45" s="330"/>
    </row>
    <row r="46" spans="1:6" ht="15">
      <c r="A46" s="328" t="str">
        <f>CONCATENATE("Additionally, do your ",inputPrYr!C5-1," receipts contain a reimbursement")</f>
        <v>Additionally, do your 2011 receipts contain a reimbursement</v>
      </c>
      <c r="B46" s="330"/>
      <c r="C46" s="330"/>
      <c r="D46" s="330"/>
      <c r="E46" s="330"/>
      <c r="F46" s="330"/>
    </row>
    <row r="47" spans="1:6" ht="15">
      <c r="A47" s="328" t="s">
        <v>404</v>
      </c>
      <c r="B47" s="330"/>
      <c r="C47" s="330"/>
      <c r="D47" s="330"/>
      <c r="E47" s="330"/>
      <c r="F47" s="330"/>
    </row>
    <row r="48" spans="1:6" ht="15">
      <c r="A48" s="328" t="s">
        <v>405</v>
      </c>
      <c r="B48" s="330"/>
      <c r="C48" s="330"/>
      <c r="D48" s="330"/>
      <c r="E48" s="330"/>
      <c r="F48" s="330"/>
    </row>
    <row r="49" spans="1:7" ht="15">
      <c r="A49" s="330"/>
      <c r="B49" s="330"/>
      <c r="C49" s="330"/>
      <c r="D49" s="330"/>
      <c r="E49" s="330"/>
      <c r="F49" s="330"/>
      <c r="G49" s="330"/>
    </row>
    <row r="50" spans="1:7" ht="15">
      <c r="A50" s="330" t="s">
        <v>472</v>
      </c>
      <c r="B50" s="330"/>
      <c r="C50" s="330"/>
      <c r="D50" s="330"/>
      <c r="E50" s="330"/>
      <c r="F50" s="330"/>
      <c r="G50" s="330"/>
    </row>
    <row r="51" spans="1:7" ht="15">
      <c r="A51" s="330" t="s">
        <v>473</v>
      </c>
      <c r="B51" s="330"/>
      <c r="C51" s="330"/>
      <c r="D51" s="330"/>
      <c r="E51" s="330"/>
      <c r="F51" s="330"/>
      <c r="G51" s="330"/>
    </row>
    <row r="52" spans="1:7" ht="15">
      <c r="A52" s="330" t="s">
        <v>474</v>
      </c>
      <c r="B52" s="330"/>
      <c r="C52" s="330"/>
      <c r="D52" s="330"/>
      <c r="E52" s="330"/>
      <c r="F52" s="330"/>
      <c r="G52" s="330"/>
    </row>
    <row r="53" spans="1:7" ht="15">
      <c r="A53" s="330" t="s">
        <v>475</v>
      </c>
      <c r="B53" s="330"/>
      <c r="C53" s="330"/>
      <c r="D53" s="330"/>
      <c r="E53" s="330"/>
      <c r="F53" s="330"/>
      <c r="G53" s="330"/>
    </row>
    <row r="54" spans="1:7" ht="15">
      <c r="A54" s="330" t="s">
        <v>476</v>
      </c>
      <c r="B54" s="330"/>
      <c r="C54" s="330"/>
      <c r="D54" s="330"/>
      <c r="E54" s="330"/>
      <c r="F54" s="330"/>
      <c r="G54" s="330"/>
    </row>
    <row r="55" spans="1:7" ht="15">
      <c r="A55" s="330"/>
      <c r="B55" s="330"/>
      <c r="C55" s="330"/>
      <c r="D55" s="330"/>
      <c r="E55" s="330"/>
      <c r="F55" s="330"/>
      <c r="G55" s="330"/>
    </row>
    <row r="56" spans="1:6" ht="15">
      <c r="A56" s="328" t="s">
        <v>414</v>
      </c>
      <c r="B56" s="330"/>
      <c r="C56" s="330"/>
      <c r="D56" s="330"/>
      <c r="E56" s="330"/>
      <c r="F56" s="330"/>
    </row>
    <row r="57" spans="1:6" ht="15">
      <c r="A57" s="328" t="s">
        <v>415</v>
      </c>
      <c r="B57" s="330"/>
      <c r="C57" s="330"/>
      <c r="D57" s="330"/>
      <c r="E57" s="330"/>
      <c r="F57" s="330"/>
    </row>
    <row r="58" spans="1:6" ht="15">
      <c r="A58" s="328" t="s">
        <v>416</v>
      </c>
      <c r="B58" s="330"/>
      <c r="C58" s="330"/>
      <c r="D58" s="330"/>
      <c r="E58" s="330"/>
      <c r="F58" s="330"/>
    </row>
    <row r="59" spans="1:6" ht="15">
      <c r="A59" s="328"/>
      <c r="B59" s="330"/>
      <c r="C59" s="330"/>
      <c r="D59" s="330"/>
      <c r="E59" s="330"/>
      <c r="F59" s="330"/>
    </row>
    <row r="60" spans="1:7" ht="15">
      <c r="A60" s="330" t="s">
        <v>555</v>
      </c>
      <c r="B60" s="330"/>
      <c r="C60" s="330"/>
      <c r="D60" s="330"/>
      <c r="E60" s="330"/>
      <c r="F60" s="330"/>
      <c r="G60" s="330"/>
    </row>
    <row r="61" spans="1:7" ht="15">
      <c r="A61" s="330" t="s">
        <v>556</v>
      </c>
      <c r="B61" s="330"/>
      <c r="C61" s="330"/>
      <c r="D61" s="330"/>
      <c r="E61" s="330"/>
      <c r="F61" s="330"/>
      <c r="G61" s="330"/>
    </row>
    <row r="62" spans="1:7" ht="15">
      <c r="A62" s="330" t="s">
        <v>557</v>
      </c>
      <c r="B62" s="330"/>
      <c r="C62" s="330"/>
      <c r="D62" s="330"/>
      <c r="E62" s="330"/>
      <c r="F62" s="330"/>
      <c r="G62" s="330"/>
    </row>
    <row r="63" spans="1:7" ht="15">
      <c r="A63" s="330" t="s">
        <v>558</v>
      </c>
      <c r="B63" s="330"/>
      <c r="C63" s="330"/>
      <c r="D63" s="330"/>
      <c r="E63" s="330"/>
      <c r="F63" s="330"/>
      <c r="G63" s="330"/>
    </row>
    <row r="64" spans="1:7" ht="15">
      <c r="A64" s="330" t="s">
        <v>559</v>
      </c>
      <c r="B64" s="330"/>
      <c r="C64" s="330"/>
      <c r="D64" s="330"/>
      <c r="E64" s="330"/>
      <c r="F64" s="330"/>
      <c r="G64" s="330"/>
    </row>
    <row r="66" spans="1:6" ht="15">
      <c r="A66" s="328" t="s">
        <v>522</v>
      </c>
      <c r="B66" s="330"/>
      <c r="C66" s="330"/>
      <c r="D66" s="330"/>
      <c r="E66" s="330"/>
      <c r="F66" s="330"/>
    </row>
    <row r="67" spans="1:6" ht="15">
      <c r="A67" s="328" t="s">
        <v>523</v>
      </c>
      <c r="B67" s="330"/>
      <c r="C67" s="330"/>
      <c r="D67" s="330"/>
      <c r="E67" s="330"/>
      <c r="F67" s="330"/>
    </row>
    <row r="68" spans="1:6" ht="15">
      <c r="A68" s="328" t="s">
        <v>524</v>
      </c>
      <c r="B68" s="330"/>
      <c r="C68" s="330"/>
      <c r="D68" s="330"/>
      <c r="E68" s="330"/>
      <c r="F68" s="330"/>
    </row>
    <row r="69" spans="1:6" ht="15">
      <c r="A69" s="328" t="s">
        <v>525</v>
      </c>
      <c r="B69" s="330"/>
      <c r="C69" s="330"/>
      <c r="D69" s="330"/>
      <c r="E69" s="330"/>
      <c r="F69" s="330"/>
    </row>
    <row r="70" spans="1:6" ht="15">
      <c r="A70" s="328" t="s">
        <v>526</v>
      </c>
      <c r="B70" s="330"/>
      <c r="C70" s="330"/>
      <c r="D70" s="330"/>
      <c r="E70" s="330"/>
      <c r="F70" s="330"/>
    </row>
    <row r="71" ht="15">
      <c r="A71" s="330"/>
    </row>
    <row r="72" ht="15">
      <c r="A72" s="330" t="s">
        <v>443</v>
      </c>
    </row>
    <row r="73" ht="15">
      <c r="A73" s="330"/>
    </row>
    <row r="74" ht="15">
      <c r="A74" s="330"/>
    </row>
    <row r="75" ht="15">
      <c r="A75" s="330"/>
    </row>
    <row r="78" ht="15">
      <c r="A78" s="331"/>
    </row>
    <row r="80" ht="15">
      <c r="A80" s="330"/>
    </row>
    <row r="81" ht="15">
      <c r="A81" s="330"/>
    </row>
    <row r="82" ht="15">
      <c r="A82" s="330"/>
    </row>
    <row r="83" ht="15">
      <c r="A83" s="330"/>
    </row>
    <row r="84" ht="15">
      <c r="A84" s="330"/>
    </row>
    <row r="85" ht="15">
      <c r="A85" s="330"/>
    </row>
    <row r="86" ht="15">
      <c r="A86" s="330"/>
    </row>
    <row r="87" ht="15">
      <c r="A87" s="330"/>
    </row>
    <row r="88" ht="15">
      <c r="A88" s="330"/>
    </row>
    <row r="89" ht="15">
      <c r="A89" s="330"/>
    </row>
    <row r="90" ht="15">
      <c r="A90" s="330"/>
    </row>
    <row r="92" ht="15">
      <c r="A92" s="330"/>
    </row>
    <row r="93" ht="15">
      <c r="A93" s="330"/>
    </row>
    <row r="94" ht="15">
      <c r="A94" s="330"/>
    </row>
    <row r="95" ht="15">
      <c r="A95" s="330"/>
    </row>
    <row r="96" ht="15">
      <c r="A96" s="330"/>
    </row>
    <row r="97" ht="15">
      <c r="A97" s="330"/>
    </row>
    <row r="98" ht="15">
      <c r="A98" s="330"/>
    </row>
    <row r="99" ht="15">
      <c r="A99" s="330"/>
    </row>
    <row r="100" ht="15">
      <c r="A100" s="330"/>
    </row>
    <row r="101" ht="15">
      <c r="A101" s="330"/>
    </row>
    <row r="102" ht="15">
      <c r="A102" s="330"/>
    </row>
    <row r="103" ht="15">
      <c r="A103" s="330"/>
    </row>
    <row r="104" ht="15">
      <c r="A104" s="330"/>
    </row>
    <row r="105" ht="15">
      <c r="A105" s="330"/>
    </row>
    <row r="106" ht="15">
      <c r="A106" s="33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29" t="s">
        <v>560</v>
      </c>
      <c r="B3" s="329"/>
      <c r="C3" s="329"/>
      <c r="D3" s="329"/>
      <c r="E3" s="329"/>
      <c r="F3" s="329"/>
      <c r="G3" s="329"/>
    </row>
    <row r="4" spans="1:7" ht="15">
      <c r="A4" s="329" t="s">
        <v>561</v>
      </c>
      <c r="B4" s="329"/>
      <c r="C4" s="329"/>
      <c r="D4" s="329"/>
      <c r="E4" s="329"/>
      <c r="F4" s="329"/>
      <c r="G4" s="329"/>
    </row>
    <row r="5" spans="1:7" ht="15">
      <c r="A5" s="329"/>
      <c r="B5" s="329"/>
      <c r="C5" s="329"/>
      <c r="D5" s="329"/>
      <c r="E5" s="329"/>
      <c r="F5" s="329"/>
      <c r="G5" s="329"/>
    </row>
    <row r="6" spans="1:7" ht="15">
      <c r="A6" s="329"/>
      <c r="B6" s="329"/>
      <c r="C6" s="329"/>
      <c r="D6" s="329"/>
      <c r="E6" s="329"/>
      <c r="F6" s="329"/>
      <c r="G6" s="329"/>
    </row>
    <row r="7" ht="15">
      <c r="A7" s="330" t="s">
        <v>388</v>
      </c>
    </row>
    <row r="8" ht="15">
      <c r="A8" s="330" t="str">
        <f>CONCATENATE("estimated ",inputPrYr!C5," 'total expenditures' exceed your ",inputPrYr!C5,"")</f>
        <v>estimated 2012 'total expenditures' exceed your 2012</v>
      </c>
    </row>
    <row r="9" ht="15">
      <c r="A9" s="333" t="s">
        <v>562</v>
      </c>
    </row>
    <row r="10" ht="15">
      <c r="A10" s="330"/>
    </row>
    <row r="11" ht="15">
      <c r="A11" s="330" t="s">
        <v>563</v>
      </c>
    </row>
    <row r="12" ht="15">
      <c r="A12" s="330" t="s">
        <v>564</v>
      </c>
    </row>
    <row r="13" ht="15">
      <c r="A13" s="330" t="s">
        <v>565</v>
      </c>
    </row>
    <row r="14" ht="15">
      <c r="A14" s="330"/>
    </row>
    <row r="15" ht="15">
      <c r="A15" s="331" t="s">
        <v>566</v>
      </c>
    </row>
    <row r="16" spans="1:7" ht="15">
      <c r="A16" s="329"/>
      <c r="B16" s="329"/>
      <c r="C16" s="329"/>
      <c r="D16" s="329"/>
      <c r="E16" s="329"/>
      <c r="F16" s="329"/>
      <c r="G16" s="329"/>
    </row>
    <row r="17" spans="1:8" ht="15">
      <c r="A17" s="334" t="s">
        <v>567</v>
      </c>
      <c r="B17" s="335"/>
      <c r="C17" s="335"/>
      <c r="D17" s="335"/>
      <c r="E17" s="335"/>
      <c r="F17" s="335"/>
      <c r="G17" s="335"/>
      <c r="H17" s="335"/>
    </row>
    <row r="18" spans="1:7" ht="15">
      <c r="A18" s="330" t="s">
        <v>568</v>
      </c>
      <c r="B18" s="336"/>
      <c r="C18" s="336"/>
      <c r="D18" s="336"/>
      <c r="E18" s="336"/>
      <c r="F18" s="336"/>
      <c r="G18" s="336"/>
    </row>
    <row r="19" ht="15">
      <c r="A19" s="330" t="s">
        <v>569</v>
      </c>
    </row>
    <row r="20" ht="15">
      <c r="A20" s="330" t="s">
        <v>570</v>
      </c>
    </row>
    <row r="22" ht="15">
      <c r="A22" s="331" t="s">
        <v>571</v>
      </c>
    </row>
    <row r="24" ht="15">
      <c r="A24" s="330" t="s">
        <v>572</v>
      </c>
    </row>
    <row r="25" ht="15">
      <c r="A25" s="330" t="s">
        <v>573</v>
      </c>
    </row>
    <row r="26" ht="15">
      <c r="A26" s="330" t="s">
        <v>574</v>
      </c>
    </row>
    <row r="28" ht="15">
      <c r="A28" s="331" t="s">
        <v>575</v>
      </c>
    </row>
    <row r="30" ht="15">
      <c r="A30" t="s">
        <v>576</v>
      </c>
    </row>
    <row r="31" ht="15">
      <c r="A31" t="s">
        <v>577</v>
      </c>
    </row>
    <row r="32" ht="15">
      <c r="A32" t="s">
        <v>578</v>
      </c>
    </row>
    <row r="33" ht="15">
      <c r="A33" s="330" t="s">
        <v>579</v>
      </c>
    </row>
    <row r="35" ht="15">
      <c r="A35" t="s">
        <v>580</v>
      </c>
    </row>
    <row r="36" ht="15">
      <c r="A36" t="s">
        <v>581</v>
      </c>
    </row>
    <row r="37" ht="15">
      <c r="A37" t="s">
        <v>582</v>
      </c>
    </row>
    <row r="38" ht="15">
      <c r="A38" t="s">
        <v>583</v>
      </c>
    </row>
    <row r="40" ht="15">
      <c r="A40" t="s">
        <v>584</v>
      </c>
    </row>
    <row r="41" ht="15">
      <c r="A41" t="s">
        <v>585</v>
      </c>
    </row>
    <row r="42" ht="15">
      <c r="A42" t="s">
        <v>586</v>
      </c>
    </row>
    <row r="43" ht="15">
      <c r="A43" t="s">
        <v>587</v>
      </c>
    </row>
    <row r="44" ht="15">
      <c r="A44" t="s">
        <v>588</v>
      </c>
    </row>
    <row r="45" ht="15">
      <c r="A45" t="s">
        <v>589</v>
      </c>
    </row>
    <row r="47" ht="15">
      <c r="A47" t="s">
        <v>590</v>
      </c>
    </row>
    <row r="48" ht="15">
      <c r="A48" t="s">
        <v>591</v>
      </c>
    </row>
    <row r="49" ht="15">
      <c r="A49" s="330" t="s">
        <v>592</v>
      </c>
    </row>
    <row r="50" ht="15">
      <c r="A50" s="330" t="s">
        <v>593</v>
      </c>
    </row>
    <row r="52" ht="15">
      <c r="A52" t="s">
        <v>443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A1" sqref="A1:IV16384"/>
    </sheetView>
  </sheetViews>
  <sheetFormatPr defaultColWidth="8.796875" defaultRowHeight="15"/>
  <cols>
    <col min="1" max="1" width="7.59765625" style="413" customWidth="1"/>
    <col min="2" max="2" width="11.19921875" style="415" customWidth="1"/>
    <col min="3" max="3" width="7.3984375" style="415" customWidth="1"/>
    <col min="4" max="4" width="8.8984375" style="415" customWidth="1"/>
    <col min="5" max="5" width="1.59765625" style="415" customWidth="1"/>
    <col min="6" max="6" width="14.296875" style="415" customWidth="1"/>
    <col min="7" max="7" width="2.59765625" style="415" customWidth="1"/>
    <col min="8" max="8" width="9.796875" style="415" customWidth="1"/>
    <col min="9" max="9" width="2" style="415" customWidth="1"/>
    <col min="10" max="10" width="8.59765625" style="415" customWidth="1"/>
    <col min="11" max="11" width="11.69921875" style="415" customWidth="1"/>
    <col min="12" max="12" width="7.59765625" style="413" customWidth="1"/>
    <col min="13" max="14" width="8.8984375" style="413" customWidth="1"/>
    <col min="15" max="15" width="9.8984375" style="413" bestFit="1" customWidth="1"/>
    <col min="16" max="16384" width="8.8984375" style="413" customWidth="1"/>
  </cols>
  <sheetData>
    <row r="1" spans="1:12" ht="14.25">
      <c r="A1" s="414"/>
      <c r="B1" s="414"/>
      <c r="C1" s="414"/>
      <c r="D1" s="414"/>
      <c r="E1" s="414"/>
      <c r="F1" s="414"/>
      <c r="G1" s="414"/>
      <c r="H1" s="414"/>
      <c r="I1" s="414"/>
      <c r="J1" s="414"/>
      <c r="K1" s="414"/>
      <c r="L1" s="414"/>
    </row>
    <row r="2" spans="1:12" ht="14.25">
      <c r="A2" s="414"/>
      <c r="B2" s="414"/>
      <c r="C2" s="414"/>
      <c r="D2" s="414"/>
      <c r="E2" s="414"/>
      <c r="F2" s="414"/>
      <c r="G2" s="414"/>
      <c r="H2" s="414"/>
      <c r="I2" s="414"/>
      <c r="J2" s="414"/>
      <c r="K2" s="414"/>
      <c r="L2" s="414"/>
    </row>
    <row r="3" spans="1:12" ht="14.25">
      <c r="A3" s="414"/>
      <c r="B3" s="414"/>
      <c r="C3" s="414"/>
      <c r="D3" s="414"/>
      <c r="E3" s="414"/>
      <c r="F3" s="414"/>
      <c r="G3" s="414"/>
      <c r="H3" s="414"/>
      <c r="I3" s="414"/>
      <c r="J3" s="414"/>
      <c r="K3" s="414"/>
      <c r="L3" s="414"/>
    </row>
    <row r="4" spans="1:12" ht="14.25">
      <c r="A4" s="414"/>
      <c r="L4" s="414"/>
    </row>
    <row r="5" spans="1:12" ht="15" customHeight="1">
      <c r="A5" s="414"/>
      <c r="L5" s="414"/>
    </row>
    <row r="6" spans="1:12" ht="33" customHeight="1">
      <c r="A6" s="414"/>
      <c r="B6" s="712" t="s">
        <v>637</v>
      </c>
      <c r="C6" s="715"/>
      <c r="D6" s="715"/>
      <c r="E6" s="715"/>
      <c r="F6" s="715"/>
      <c r="G6" s="715"/>
      <c r="H6" s="715"/>
      <c r="I6" s="715"/>
      <c r="J6" s="715"/>
      <c r="K6" s="715"/>
      <c r="L6" s="416"/>
    </row>
    <row r="7" spans="1:12" ht="40.5" customHeight="1">
      <c r="A7" s="414"/>
      <c r="B7" s="716" t="s">
        <v>638</v>
      </c>
      <c r="C7" s="717"/>
      <c r="D7" s="717"/>
      <c r="E7" s="717"/>
      <c r="F7" s="717"/>
      <c r="G7" s="717"/>
      <c r="H7" s="717"/>
      <c r="I7" s="717"/>
      <c r="J7" s="717"/>
      <c r="K7" s="717"/>
      <c r="L7" s="414"/>
    </row>
    <row r="8" spans="1:12" ht="14.25">
      <c r="A8" s="414"/>
      <c r="B8" s="714" t="s">
        <v>639</v>
      </c>
      <c r="C8" s="714"/>
      <c r="D8" s="714"/>
      <c r="E8" s="714"/>
      <c r="F8" s="714"/>
      <c r="G8" s="714"/>
      <c r="H8" s="714"/>
      <c r="I8" s="714"/>
      <c r="J8" s="714"/>
      <c r="K8" s="714"/>
      <c r="L8" s="414"/>
    </row>
    <row r="9" spans="1:12" ht="14.25">
      <c r="A9" s="414"/>
      <c r="L9" s="414"/>
    </row>
    <row r="10" spans="1:12" ht="14.25">
      <c r="A10" s="414"/>
      <c r="B10" s="714" t="s">
        <v>640</v>
      </c>
      <c r="C10" s="714"/>
      <c r="D10" s="714"/>
      <c r="E10" s="714"/>
      <c r="F10" s="714"/>
      <c r="G10" s="714"/>
      <c r="H10" s="714"/>
      <c r="I10" s="714"/>
      <c r="J10" s="714"/>
      <c r="K10" s="714"/>
      <c r="L10" s="414"/>
    </row>
    <row r="11" spans="1:12" ht="14.25">
      <c r="A11" s="414"/>
      <c r="B11" s="555"/>
      <c r="C11" s="555"/>
      <c r="D11" s="555"/>
      <c r="E11" s="555"/>
      <c r="F11" s="555"/>
      <c r="G11" s="555"/>
      <c r="H11" s="555"/>
      <c r="I11" s="555"/>
      <c r="J11" s="555"/>
      <c r="K11" s="555"/>
      <c r="L11" s="414"/>
    </row>
    <row r="12" spans="1:12" ht="32.25" customHeight="1">
      <c r="A12" s="414"/>
      <c r="B12" s="708" t="s">
        <v>641</v>
      </c>
      <c r="C12" s="708"/>
      <c r="D12" s="708"/>
      <c r="E12" s="708"/>
      <c r="F12" s="708"/>
      <c r="G12" s="708"/>
      <c r="H12" s="708"/>
      <c r="I12" s="708"/>
      <c r="J12" s="708"/>
      <c r="K12" s="708"/>
      <c r="L12" s="414"/>
    </row>
    <row r="13" spans="1:12" ht="14.25">
      <c r="A13" s="414"/>
      <c r="L13" s="414"/>
    </row>
    <row r="14" spans="1:12" ht="14.25">
      <c r="A14" s="414"/>
      <c r="B14" s="417" t="s">
        <v>642</v>
      </c>
      <c r="L14" s="414"/>
    </row>
    <row r="15" spans="1:12" ht="14.25">
      <c r="A15" s="414"/>
      <c r="L15" s="414"/>
    </row>
    <row r="16" spans="1:12" ht="14.25">
      <c r="A16" s="414"/>
      <c r="B16" s="415" t="s">
        <v>643</v>
      </c>
      <c r="L16" s="414"/>
    </row>
    <row r="17" spans="1:12" ht="14.25">
      <c r="A17" s="414"/>
      <c r="B17" s="415" t="s">
        <v>644</v>
      </c>
      <c r="L17" s="414"/>
    </row>
    <row r="18" spans="1:12" ht="14.25">
      <c r="A18" s="414"/>
      <c r="L18" s="414"/>
    </row>
    <row r="19" spans="1:12" ht="14.25">
      <c r="A19" s="414"/>
      <c r="B19" s="417" t="s">
        <v>645</v>
      </c>
      <c r="L19" s="414"/>
    </row>
    <row r="20" spans="1:12" ht="14.25">
      <c r="A20" s="414"/>
      <c r="B20" s="417"/>
      <c r="L20" s="414"/>
    </row>
    <row r="21" spans="1:12" ht="14.25">
      <c r="A21" s="414"/>
      <c r="B21" s="415" t="s">
        <v>646</v>
      </c>
      <c r="L21" s="414"/>
    </row>
    <row r="22" spans="1:12" ht="14.25">
      <c r="A22" s="414"/>
      <c r="L22" s="414"/>
    </row>
    <row r="23" spans="1:12" ht="14.25">
      <c r="A23" s="414"/>
      <c r="B23" s="415" t="s">
        <v>647</v>
      </c>
      <c r="E23" s="415" t="s">
        <v>648</v>
      </c>
      <c r="F23" s="705">
        <v>133685008</v>
      </c>
      <c r="G23" s="705"/>
      <c r="L23" s="414"/>
    </row>
    <row r="24" spans="1:12" ht="14.25">
      <c r="A24" s="414"/>
      <c r="L24" s="414"/>
    </row>
    <row r="25" spans="1:12" ht="14.25">
      <c r="A25" s="414"/>
      <c r="C25" s="718">
        <f>F23</f>
        <v>133685008</v>
      </c>
      <c r="D25" s="718"/>
      <c r="E25" s="415" t="s">
        <v>649</v>
      </c>
      <c r="F25" s="418">
        <v>1000</v>
      </c>
      <c r="G25" s="418" t="s">
        <v>648</v>
      </c>
      <c r="H25" s="556">
        <f>F23/F25</f>
        <v>133685.008</v>
      </c>
      <c r="L25" s="414"/>
    </row>
    <row r="26" spans="1:12" ht="15" thickBot="1">
      <c r="A26" s="414"/>
      <c r="L26" s="414"/>
    </row>
    <row r="27" spans="1:12" ht="14.25">
      <c r="A27" s="414"/>
      <c r="B27" s="419" t="s">
        <v>642</v>
      </c>
      <c r="C27" s="420"/>
      <c r="D27" s="420"/>
      <c r="E27" s="420"/>
      <c r="F27" s="420"/>
      <c r="G27" s="420"/>
      <c r="H27" s="420"/>
      <c r="I27" s="420"/>
      <c r="J27" s="420"/>
      <c r="K27" s="421"/>
      <c r="L27" s="414"/>
    </row>
    <row r="28" spans="1:12" ht="14.25">
      <c r="A28" s="414"/>
      <c r="B28" s="422">
        <f>F23</f>
        <v>133685008</v>
      </c>
      <c r="C28" s="423" t="s">
        <v>650</v>
      </c>
      <c r="D28" s="423"/>
      <c r="E28" s="423" t="s">
        <v>649</v>
      </c>
      <c r="F28" s="560">
        <v>1000</v>
      </c>
      <c r="G28" s="560" t="s">
        <v>648</v>
      </c>
      <c r="H28" s="424">
        <f>B28/F28</f>
        <v>133685.008</v>
      </c>
      <c r="I28" s="423" t="s">
        <v>651</v>
      </c>
      <c r="J28" s="423"/>
      <c r="K28" s="425"/>
      <c r="L28" s="414"/>
    </row>
    <row r="29" spans="1:12" ht="15" thickBot="1">
      <c r="A29" s="414"/>
      <c r="B29" s="426"/>
      <c r="C29" s="427"/>
      <c r="D29" s="427"/>
      <c r="E29" s="427"/>
      <c r="F29" s="427"/>
      <c r="G29" s="427"/>
      <c r="H29" s="427"/>
      <c r="I29" s="427"/>
      <c r="J29" s="427"/>
      <c r="K29" s="428"/>
      <c r="L29" s="414"/>
    </row>
    <row r="30" spans="1:12" ht="40.5" customHeight="1">
      <c r="A30" s="414"/>
      <c r="B30" s="710" t="s">
        <v>638</v>
      </c>
      <c r="C30" s="710"/>
      <c r="D30" s="710"/>
      <c r="E30" s="710"/>
      <c r="F30" s="710"/>
      <c r="G30" s="710"/>
      <c r="H30" s="710"/>
      <c r="I30" s="710"/>
      <c r="J30" s="710"/>
      <c r="K30" s="710"/>
      <c r="L30" s="414"/>
    </row>
    <row r="31" spans="1:12" ht="14.25">
      <c r="A31" s="414"/>
      <c r="B31" s="714" t="s">
        <v>652</v>
      </c>
      <c r="C31" s="714"/>
      <c r="D31" s="714"/>
      <c r="E31" s="714"/>
      <c r="F31" s="714"/>
      <c r="G31" s="714"/>
      <c r="H31" s="714"/>
      <c r="I31" s="714"/>
      <c r="J31" s="714"/>
      <c r="K31" s="714"/>
      <c r="L31" s="414"/>
    </row>
    <row r="32" spans="1:12" ht="14.25">
      <c r="A32" s="414"/>
      <c r="L32" s="414"/>
    </row>
    <row r="33" spans="1:12" ht="14.25">
      <c r="A33" s="414"/>
      <c r="B33" s="714" t="s">
        <v>653</v>
      </c>
      <c r="C33" s="714"/>
      <c r="D33" s="714"/>
      <c r="E33" s="714"/>
      <c r="F33" s="714"/>
      <c r="G33" s="714"/>
      <c r="H33" s="714"/>
      <c r="I33" s="714"/>
      <c r="J33" s="714"/>
      <c r="K33" s="714"/>
      <c r="L33" s="414"/>
    </row>
    <row r="34" spans="1:12" ht="14.25">
      <c r="A34" s="414"/>
      <c r="L34" s="414"/>
    </row>
    <row r="35" spans="1:12" ht="89.25" customHeight="1">
      <c r="A35" s="414"/>
      <c r="B35" s="708" t="s">
        <v>654</v>
      </c>
      <c r="C35" s="713"/>
      <c r="D35" s="713"/>
      <c r="E35" s="713"/>
      <c r="F35" s="713"/>
      <c r="G35" s="713"/>
      <c r="H35" s="713"/>
      <c r="I35" s="713"/>
      <c r="J35" s="713"/>
      <c r="K35" s="713"/>
      <c r="L35" s="414"/>
    </row>
    <row r="36" spans="1:12" ht="14.25">
      <c r="A36" s="414"/>
      <c r="L36" s="414"/>
    </row>
    <row r="37" spans="1:12" ht="14.25">
      <c r="A37" s="414"/>
      <c r="B37" s="417" t="s">
        <v>655</v>
      </c>
      <c r="L37" s="414"/>
    </row>
    <row r="38" spans="1:12" ht="14.25">
      <c r="A38" s="414"/>
      <c r="L38" s="414"/>
    </row>
    <row r="39" spans="1:12" ht="14.25">
      <c r="A39" s="414"/>
      <c r="B39" s="415" t="s">
        <v>656</v>
      </c>
      <c r="L39" s="414"/>
    </row>
    <row r="40" spans="1:12" ht="14.25">
      <c r="A40" s="414"/>
      <c r="L40" s="414"/>
    </row>
    <row r="41" spans="1:12" ht="14.25">
      <c r="A41" s="414"/>
      <c r="C41" s="719">
        <v>3120000</v>
      </c>
      <c r="D41" s="719"/>
      <c r="E41" s="415" t="s">
        <v>649</v>
      </c>
      <c r="F41" s="418">
        <v>1000</v>
      </c>
      <c r="G41" s="418" t="s">
        <v>648</v>
      </c>
      <c r="H41" s="429">
        <f>C41/F41</f>
        <v>3120</v>
      </c>
      <c r="L41" s="414"/>
    </row>
    <row r="42" spans="1:12" ht="14.25">
      <c r="A42" s="414"/>
      <c r="L42" s="414"/>
    </row>
    <row r="43" spans="1:12" ht="14.25">
      <c r="A43" s="414"/>
      <c r="B43" s="415" t="s">
        <v>657</v>
      </c>
      <c r="L43" s="414"/>
    </row>
    <row r="44" spans="1:12" ht="14.25">
      <c r="A44" s="414"/>
      <c r="L44" s="414"/>
    </row>
    <row r="45" spans="1:12" ht="14.25">
      <c r="A45" s="414"/>
      <c r="B45" s="415" t="s">
        <v>658</v>
      </c>
      <c r="L45" s="414"/>
    </row>
    <row r="46" spans="1:12" ht="15" thickBot="1">
      <c r="A46" s="414"/>
      <c r="L46" s="414"/>
    </row>
    <row r="47" spans="1:12" ht="14.25">
      <c r="A47" s="414"/>
      <c r="B47" s="430" t="s">
        <v>642</v>
      </c>
      <c r="C47" s="420"/>
      <c r="D47" s="420"/>
      <c r="E47" s="420"/>
      <c r="F47" s="420"/>
      <c r="G47" s="420"/>
      <c r="H47" s="420"/>
      <c r="I47" s="420"/>
      <c r="J47" s="420"/>
      <c r="K47" s="421"/>
      <c r="L47" s="414"/>
    </row>
    <row r="48" spans="1:12" ht="14.25">
      <c r="A48" s="414"/>
      <c r="B48" s="705">
        <v>133685008</v>
      </c>
      <c r="C48" s="705"/>
      <c r="D48" s="423" t="s">
        <v>659</v>
      </c>
      <c r="E48" s="423" t="s">
        <v>649</v>
      </c>
      <c r="F48" s="560">
        <v>1000</v>
      </c>
      <c r="G48" s="560" t="s">
        <v>648</v>
      </c>
      <c r="H48" s="424">
        <f>B48/F48</f>
        <v>133685.008</v>
      </c>
      <c r="I48" s="423" t="s">
        <v>660</v>
      </c>
      <c r="J48" s="423"/>
      <c r="K48" s="425"/>
      <c r="L48" s="414"/>
    </row>
    <row r="49" spans="1:12" ht="14.25">
      <c r="A49" s="414"/>
      <c r="B49" s="431"/>
      <c r="C49" s="423"/>
      <c r="D49" s="423"/>
      <c r="E49" s="423"/>
      <c r="F49" s="423"/>
      <c r="G49" s="423"/>
      <c r="H49" s="423"/>
      <c r="I49" s="423"/>
      <c r="J49" s="423"/>
      <c r="K49" s="425"/>
      <c r="L49" s="414"/>
    </row>
    <row r="50" spans="1:12" ht="14.25">
      <c r="A50" s="414"/>
      <c r="B50" s="432">
        <v>7067793</v>
      </c>
      <c r="C50" s="423" t="s">
        <v>661</v>
      </c>
      <c r="D50" s="423"/>
      <c r="E50" s="423" t="s">
        <v>649</v>
      </c>
      <c r="F50" s="424">
        <f>H48</f>
        <v>133685.008</v>
      </c>
      <c r="G50" s="720" t="s">
        <v>662</v>
      </c>
      <c r="H50" s="721"/>
      <c r="I50" s="560" t="s">
        <v>648</v>
      </c>
      <c r="J50" s="433">
        <f>B50/F50</f>
        <v>52.8690023342034</v>
      </c>
      <c r="K50" s="425"/>
      <c r="L50" s="414"/>
    </row>
    <row r="51" spans="1:15" ht="15" thickBot="1">
      <c r="A51" s="414"/>
      <c r="B51" s="426"/>
      <c r="C51" s="427"/>
      <c r="D51" s="427"/>
      <c r="E51" s="427"/>
      <c r="F51" s="427"/>
      <c r="G51" s="427"/>
      <c r="H51" s="427"/>
      <c r="I51" s="722" t="s">
        <v>663</v>
      </c>
      <c r="J51" s="722"/>
      <c r="K51" s="723"/>
      <c r="L51" s="414"/>
      <c r="O51" s="584"/>
    </row>
    <row r="52" spans="1:12" ht="40.5" customHeight="1">
      <c r="A52" s="414"/>
      <c r="B52" s="710" t="s">
        <v>638</v>
      </c>
      <c r="C52" s="710"/>
      <c r="D52" s="710"/>
      <c r="E52" s="710"/>
      <c r="F52" s="710"/>
      <c r="G52" s="710"/>
      <c r="H52" s="710"/>
      <c r="I52" s="710"/>
      <c r="J52" s="710"/>
      <c r="K52" s="710"/>
      <c r="L52" s="414"/>
    </row>
    <row r="53" spans="1:12" ht="14.25">
      <c r="A53" s="414"/>
      <c r="B53" s="714" t="s">
        <v>664</v>
      </c>
      <c r="C53" s="714"/>
      <c r="D53" s="714"/>
      <c r="E53" s="714"/>
      <c r="F53" s="714"/>
      <c r="G53" s="714"/>
      <c r="H53" s="714"/>
      <c r="I53" s="714"/>
      <c r="J53" s="714"/>
      <c r="K53" s="714"/>
      <c r="L53" s="414"/>
    </row>
    <row r="54" spans="1:12" ht="14.25">
      <c r="A54" s="414"/>
      <c r="B54" s="555"/>
      <c r="C54" s="555"/>
      <c r="D54" s="555"/>
      <c r="E54" s="555"/>
      <c r="F54" s="555"/>
      <c r="G54" s="555"/>
      <c r="H54" s="555"/>
      <c r="I54" s="555"/>
      <c r="J54" s="555"/>
      <c r="K54" s="555"/>
      <c r="L54" s="414"/>
    </row>
    <row r="55" spans="1:12" ht="14.25">
      <c r="A55" s="414"/>
      <c r="B55" s="712" t="s">
        <v>665</v>
      </c>
      <c r="C55" s="712"/>
      <c r="D55" s="712"/>
      <c r="E55" s="712"/>
      <c r="F55" s="712"/>
      <c r="G55" s="712"/>
      <c r="H55" s="712"/>
      <c r="I55" s="712"/>
      <c r="J55" s="712"/>
      <c r="K55" s="712"/>
      <c r="L55" s="414"/>
    </row>
    <row r="56" spans="1:12" ht="15" customHeight="1">
      <c r="A56" s="414"/>
      <c r="L56" s="414"/>
    </row>
    <row r="57" spans="1:24" ht="74.25" customHeight="1">
      <c r="A57" s="414"/>
      <c r="B57" s="708" t="s">
        <v>666</v>
      </c>
      <c r="C57" s="713"/>
      <c r="D57" s="713"/>
      <c r="E57" s="713"/>
      <c r="F57" s="713"/>
      <c r="G57" s="713"/>
      <c r="H57" s="713"/>
      <c r="I57" s="713"/>
      <c r="J57" s="713"/>
      <c r="K57" s="713"/>
      <c r="L57" s="414"/>
      <c r="M57" s="434"/>
      <c r="N57" s="435"/>
      <c r="O57" s="435"/>
      <c r="P57" s="435"/>
      <c r="Q57" s="435"/>
      <c r="R57" s="435"/>
      <c r="S57" s="435"/>
      <c r="T57" s="435"/>
      <c r="U57" s="435"/>
      <c r="V57" s="435"/>
      <c r="W57" s="435"/>
      <c r="X57" s="435"/>
    </row>
    <row r="58" spans="1:24" ht="15" customHeight="1">
      <c r="A58" s="414"/>
      <c r="B58" s="708"/>
      <c r="C58" s="713"/>
      <c r="D58" s="713"/>
      <c r="E58" s="713"/>
      <c r="F58" s="713"/>
      <c r="G58" s="713"/>
      <c r="H58" s="713"/>
      <c r="I58" s="713"/>
      <c r="J58" s="713"/>
      <c r="K58" s="713"/>
      <c r="L58" s="414"/>
      <c r="M58" s="434"/>
      <c r="N58" s="435"/>
      <c r="O58" s="435"/>
      <c r="P58" s="435"/>
      <c r="Q58" s="435"/>
      <c r="R58" s="435"/>
      <c r="S58" s="435"/>
      <c r="T58" s="435"/>
      <c r="U58" s="435"/>
      <c r="V58" s="435"/>
      <c r="W58" s="435"/>
      <c r="X58" s="435"/>
    </row>
    <row r="59" spans="1:24" ht="14.25">
      <c r="A59" s="414"/>
      <c r="B59" s="417" t="s">
        <v>655</v>
      </c>
      <c r="L59" s="414"/>
      <c r="M59" s="435"/>
      <c r="N59" s="435"/>
      <c r="O59" s="435"/>
      <c r="P59" s="435"/>
      <c r="Q59" s="435"/>
      <c r="R59" s="435"/>
      <c r="S59" s="435"/>
      <c r="T59" s="435"/>
      <c r="U59" s="435"/>
      <c r="V59" s="435"/>
      <c r="W59" s="435"/>
      <c r="X59" s="435"/>
    </row>
    <row r="60" spans="1:24" ht="14.25">
      <c r="A60" s="414"/>
      <c r="L60" s="414"/>
      <c r="M60" s="435"/>
      <c r="N60" s="435"/>
      <c r="O60" s="435"/>
      <c r="P60" s="435"/>
      <c r="Q60" s="435"/>
      <c r="R60" s="435"/>
      <c r="S60" s="435"/>
      <c r="T60" s="435"/>
      <c r="U60" s="435"/>
      <c r="V60" s="435"/>
      <c r="W60" s="435"/>
      <c r="X60" s="435"/>
    </row>
    <row r="61" spans="1:24" ht="14.25">
      <c r="A61" s="414"/>
      <c r="B61" s="415" t="s">
        <v>667</v>
      </c>
      <c r="L61" s="414"/>
      <c r="M61" s="435"/>
      <c r="N61" s="435"/>
      <c r="O61" s="435"/>
      <c r="P61" s="435"/>
      <c r="Q61" s="435"/>
      <c r="R61" s="435"/>
      <c r="S61" s="435"/>
      <c r="T61" s="435"/>
      <c r="U61" s="435"/>
      <c r="V61" s="435"/>
      <c r="W61" s="435"/>
      <c r="X61" s="435"/>
    </row>
    <row r="62" spans="1:24" ht="14.25">
      <c r="A62" s="414"/>
      <c r="B62" s="415" t="s">
        <v>668</v>
      </c>
      <c r="L62" s="414"/>
      <c r="M62" s="435"/>
      <c r="N62" s="435"/>
      <c r="O62" s="435"/>
      <c r="P62" s="435"/>
      <c r="Q62" s="435"/>
      <c r="R62" s="435"/>
      <c r="S62" s="435"/>
      <c r="T62" s="435"/>
      <c r="U62" s="435"/>
      <c r="V62" s="435"/>
      <c r="W62" s="435"/>
      <c r="X62" s="435"/>
    </row>
    <row r="63" spans="1:24" ht="14.25">
      <c r="A63" s="414"/>
      <c r="B63" s="415" t="s">
        <v>669</v>
      </c>
      <c r="L63" s="414"/>
      <c r="M63" s="435"/>
      <c r="N63" s="435"/>
      <c r="O63" s="435"/>
      <c r="P63" s="435"/>
      <c r="Q63" s="435"/>
      <c r="R63" s="435"/>
      <c r="S63" s="435"/>
      <c r="T63" s="435"/>
      <c r="U63" s="435"/>
      <c r="V63" s="435"/>
      <c r="W63" s="435"/>
      <c r="X63" s="435"/>
    </row>
    <row r="64" spans="1:24" ht="14.25">
      <c r="A64" s="414"/>
      <c r="L64" s="414"/>
      <c r="M64" s="435"/>
      <c r="N64" s="435"/>
      <c r="O64" s="435"/>
      <c r="P64" s="435"/>
      <c r="Q64" s="435"/>
      <c r="R64" s="435"/>
      <c r="S64" s="435"/>
      <c r="T64" s="435"/>
      <c r="U64" s="435"/>
      <c r="V64" s="435"/>
      <c r="W64" s="435"/>
      <c r="X64" s="435"/>
    </row>
    <row r="65" spans="1:24" ht="14.25">
      <c r="A65" s="414"/>
      <c r="B65" s="415" t="s">
        <v>670</v>
      </c>
      <c r="L65" s="414"/>
      <c r="M65" s="435"/>
      <c r="N65" s="435"/>
      <c r="O65" s="435"/>
      <c r="P65" s="435"/>
      <c r="Q65" s="435"/>
      <c r="R65" s="435"/>
      <c r="S65" s="435"/>
      <c r="T65" s="435"/>
      <c r="U65" s="435"/>
      <c r="V65" s="435"/>
      <c r="W65" s="435"/>
      <c r="X65" s="435"/>
    </row>
    <row r="66" spans="1:24" ht="14.25">
      <c r="A66" s="414"/>
      <c r="B66" s="415" t="s">
        <v>671</v>
      </c>
      <c r="L66" s="414"/>
      <c r="M66" s="435"/>
      <c r="N66" s="435"/>
      <c r="O66" s="435"/>
      <c r="P66" s="435"/>
      <c r="Q66" s="435"/>
      <c r="R66" s="435"/>
      <c r="S66" s="435"/>
      <c r="T66" s="435"/>
      <c r="U66" s="435"/>
      <c r="V66" s="435"/>
      <c r="W66" s="435"/>
      <c r="X66" s="435"/>
    </row>
    <row r="67" spans="1:24" ht="14.25">
      <c r="A67" s="414"/>
      <c r="L67" s="414"/>
      <c r="M67" s="435"/>
      <c r="N67" s="435"/>
      <c r="O67" s="435"/>
      <c r="P67" s="435"/>
      <c r="Q67" s="435"/>
      <c r="R67" s="435"/>
      <c r="S67" s="435"/>
      <c r="T67" s="435"/>
      <c r="U67" s="435"/>
      <c r="V67" s="435"/>
      <c r="W67" s="435"/>
      <c r="X67" s="435"/>
    </row>
    <row r="68" spans="1:24" ht="14.25">
      <c r="A68" s="414"/>
      <c r="B68" s="415" t="s">
        <v>672</v>
      </c>
      <c r="L68" s="414"/>
      <c r="M68" s="436"/>
      <c r="N68" s="437"/>
      <c r="O68" s="437"/>
      <c r="P68" s="437"/>
      <c r="Q68" s="437"/>
      <c r="R68" s="437"/>
      <c r="S68" s="437"/>
      <c r="T68" s="437"/>
      <c r="U68" s="437"/>
      <c r="V68" s="437"/>
      <c r="W68" s="437"/>
      <c r="X68" s="435"/>
    </row>
    <row r="69" spans="1:24" ht="14.25">
      <c r="A69" s="414"/>
      <c r="B69" s="415" t="s">
        <v>673</v>
      </c>
      <c r="L69" s="414"/>
      <c r="M69" s="435"/>
      <c r="N69" s="435"/>
      <c r="O69" s="435"/>
      <c r="P69" s="435"/>
      <c r="Q69" s="435"/>
      <c r="R69" s="435"/>
      <c r="S69" s="435"/>
      <c r="T69" s="435"/>
      <c r="U69" s="435"/>
      <c r="V69" s="435"/>
      <c r="W69" s="435"/>
      <c r="X69" s="435"/>
    </row>
    <row r="70" spans="1:24" ht="14.25">
      <c r="A70" s="414"/>
      <c r="B70" s="415" t="s">
        <v>674</v>
      </c>
      <c r="L70" s="414"/>
      <c r="M70" s="435"/>
      <c r="N70" s="435"/>
      <c r="O70" s="435"/>
      <c r="P70" s="435"/>
      <c r="Q70" s="435"/>
      <c r="R70" s="435"/>
      <c r="S70" s="435"/>
      <c r="T70" s="435"/>
      <c r="U70" s="435"/>
      <c r="V70" s="435"/>
      <c r="W70" s="435"/>
      <c r="X70" s="435"/>
    </row>
    <row r="71" spans="1:12" ht="15" thickBot="1">
      <c r="A71" s="414"/>
      <c r="B71" s="423"/>
      <c r="C71" s="423"/>
      <c r="D71" s="423"/>
      <c r="E71" s="423"/>
      <c r="F71" s="423"/>
      <c r="G71" s="423"/>
      <c r="H71" s="423"/>
      <c r="I71" s="423"/>
      <c r="J71" s="423"/>
      <c r="K71" s="423"/>
      <c r="L71" s="414"/>
    </row>
    <row r="72" spans="1:12" ht="14.25">
      <c r="A72" s="414"/>
      <c r="B72" s="419" t="s">
        <v>642</v>
      </c>
      <c r="C72" s="420"/>
      <c r="D72" s="420"/>
      <c r="E72" s="420"/>
      <c r="F72" s="420"/>
      <c r="G72" s="420"/>
      <c r="H72" s="420"/>
      <c r="I72" s="420"/>
      <c r="J72" s="420"/>
      <c r="K72" s="421"/>
      <c r="L72" s="438"/>
    </row>
    <row r="73" spans="1:12" ht="14.25">
      <c r="A73" s="414"/>
      <c r="B73" s="431"/>
      <c r="C73" s="423" t="s">
        <v>650</v>
      </c>
      <c r="D73" s="423"/>
      <c r="E73" s="423"/>
      <c r="F73" s="423"/>
      <c r="G73" s="423"/>
      <c r="H73" s="423"/>
      <c r="I73" s="423"/>
      <c r="J73" s="423"/>
      <c r="K73" s="425"/>
      <c r="L73" s="438"/>
    </row>
    <row r="74" spans="1:12" ht="14.25">
      <c r="A74" s="414"/>
      <c r="B74" s="431" t="s">
        <v>675</v>
      </c>
      <c r="C74" s="705">
        <v>133685008</v>
      </c>
      <c r="D74" s="705"/>
      <c r="E74" s="560" t="s">
        <v>649</v>
      </c>
      <c r="F74" s="560">
        <v>1000</v>
      </c>
      <c r="G74" s="560" t="s">
        <v>648</v>
      </c>
      <c r="H74" s="561">
        <f>C74/F74</f>
        <v>133685.008</v>
      </c>
      <c r="I74" s="423" t="s">
        <v>676</v>
      </c>
      <c r="J74" s="423"/>
      <c r="K74" s="425"/>
      <c r="L74" s="438"/>
    </row>
    <row r="75" spans="1:12" ht="14.25">
      <c r="A75" s="414"/>
      <c r="B75" s="431"/>
      <c r="C75" s="423"/>
      <c r="D75" s="423"/>
      <c r="E75" s="560"/>
      <c r="F75" s="423"/>
      <c r="G75" s="423"/>
      <c r="H75" s="423"/>
      <c r="I75" s="423"/>
      <c r="J75" s="423"/>
      <c r="K75" s="425"/>
      <c r="L75" s="438"/>
    </row>
    <row r="76" spans="1:12" ht="14.25">
      <c r="A76" s="414"/>
      <c r="B76" s="431"/>
      <c r="C76" s="423" t="s">
        <v>677</v>
      </c>
      <c r="D76" s="423"/>
      <c r="E76" s="560"/>
      <c r="F76" s="423" t="s">
        <v>676</v>
      </c>
      <c r="G76" s="423"/>
      <c r="H76" s="423"/>
      <c r="I76" s="423"/>
      <c r="J76" s="423"/>
      <c r="K76" s="425"/>
      <c r="L76" s="438"/>
    </row>
    <row r="77" spans="1:12" ht="14.25">
      <c r="A77" s="414"/>
      <c r="B77" s="431" t="s">
        <v>680</v>
      </c>
      <c r="C77" s="705">
        <v>5000</v>
      </c>
      <c r="D77" s="705"/>
      <c r="E77" s="560" t="s">
        <v>649</v>
      </c>
      <c r="F77" s="561">
        <f>H74</f>
        <v>133685.008</v>
      </c>
      <c r="G77" s="560" t="s">
        <v>648</v>
      </c>
      <c r="H77" s="433">
        <f>C77/F77</f>
        <v>0.03740135169083432</v>
      </c>
      <c r="I77" s="423" t="s">
        <v>678</v>
      </c>
      <c r="J77" s="423"/>
      <c r="K77" s="425"/>
      <c r="L77" s="438"/>
    </row>
    <row r="78" spans="1:12" ht="14.25">
      <c r="A78" s="414"/>
      <c r="B78" s="431"/>
      <c r="C78" s="423"/>
      <c r="D78" s="423"/>
      <c r="E78" s="560"/>
      <c r="F78" s="423"/>
      <c r="G78" s="423"/>
      <c r="H78" s="423"/>
      <c r="I78" s="423"/>
      <c r="J78" s="423"/>
      <c r="K78" s="425"/>
      <c r="L78" s="438"/>
    </row>
    <row r="79" spans="1:12" ht="14.25">
      <c r="A79" s="414"/>
      <c r="B79" s="439"/>
      <c r="C79" s="440" t="s">
        <v>679</v>
      </c>
      <c r="D79" s="440"/>
      <c r="E79" s="562"/>
      <c r="F79" s="440"/>
      <c r="G79" s="440"/>
      <c r="H79" s="440"/>
      <c r="I79" s="440"/>
      <c r="J79" s="440"/>
      <c r="K79" s="441"/>
      <c r="L79" s="438"/>
    </row>
    <row r="80" spans="1:12" ht="14.25">
      <c r="A80" s="414"/>
      <c r="B80" s="431" t="s">
        <v>765</v>
      </c>
      <c r="C80" s="705">
        <v>100000</v>
      </c>
      <c r="D80" s="705"/>
      <c r="E80" s="560" t="s">
        <v>94</v>
      </c>
      <c r="F80" s="560">
        <v>0.115</v>
      </c>
      <c r="G80" s="560" t="s">
        <v>648</v>
      </c>
      <c r="H80" s="561">
        <f>C80*F80</f>
        <v>11500</v>
      </c>
      <c r="I80" s="423" t="s">
        <v>681</v>
      </c>
      <c r="J80" s="423"/>
      <c r="K80" s="425"/>
      <c r="L80" s="438"/>
    </row>
    <row r="81" spans="1:12" ht="14.25">
      <c r="A81" s="414"/>
      <c r="B81" s="431"/>
      <c r="C81" s="423"/>
      <c r="D81" s="423"/>
      <c r="E81" s="560"/>
      <c r="F81" s="423"/>
      <c r="G81" s="423"/>
      <c r="H81" s="423"/>
      <c r="I81" s="423"/>
      <c r="J81" s="423"/>
      <c r="K81" s="425"/>
      <c r="L81" s="438"/>
    </row>
    <row r="82" spans="1:12" ht="14.25">
      <c r="A82" s="414"/>
      <c r="B82" s="439"/>
      <c r="C82" s="440" t="s">
        <v>682</v>
      </c>
      <c r="D82" s="440"/>
      <c r="E82" s="562"/>
      <c r="F82" s="440" t="s">
        <v>678</v>
      </c>
      <c r="G82" s="440"/>
      <c r="H82" s="440"/>
      <c r="I82" s="440"/>
      <c r="J82" s="440" t="s">
        <v>683</v>
      </c>
      <c r="K82" s="441"/>
      <c r="L82" s="438"/>
    </row>
    <row r="83" spans="1:12" ht="14.25">
      <c r="A83" s="414"/>
      <c r="B83" s="431" t="s">
        <v>766</v>
      </c>
      <c r="C83" s="709">
        <f>H80</f>
        <v>11500</v>
      </c>
      <c r="D83" s="709"/>
      <c r="E83" s="560" t="s">
        <v>94</v>
      </c>
      <c r="F83" s="433">
        <f>H77</f>
        <v>0.03740135169083432</v>
      </c>
      <c r="G83" s="560" t="s">
        <v>649</v>
      </c>
      <c r="H83" s="560">
        <v>1000</v>
      </c>
      <c r="I83" s="560" t="s">
        <v>648</v>
      </c>
      <c r="J83" s="442">
        <f>C83*F83/H83</f>
        <v>0.43011554444459466</v>
      </c>
      <c r="K83" s="425"/>
      <c r="L83" s="438"/>
    </row>
    <row r="84" spans="1:12" ht="15" thickBot="1">
      <c r="A84" s="414"/>
      <c r="B84" s="426"/>
      <c r="C84" s="443"/>
      <c r="D84" s="443"/>
      <c r="E84" s="444"/>
      <c r="F84" s="445"/>
      <c r="G84" s="444"/>
      <c r="H84" s="444"/>
      <c r="I84" s="444"/>
      <c r="J84" s="446"/>
      <c r="K84" s="428"/>
      <c r="L84" s="438"/>
    </row>
    <row r="85" spans="1:12" ht="40.5" customHeight="1">
      <c r="A85" s="414"/>
      <c r="B85" s="710" t="s">
        <v>638</v>
      </c>
      <c r="C85" s="710"/>
      <c r="D85" s="710"/>
      <c r="E85" s="710"/>
      <c r="F85" s="710"/>
      <c r="G85" s="710"/>
      <c r="H85" s="710"/>
      <c r="I85" s="710"/>
      <c r="J85" s="710"/>
      <c r="K85" s="710"/>
      <c r="L85" s="414"/>
    </row>
    <row r="86" spans="1:12" ht="14.25">
      <c r="A86" s="414"/>
      <c r="B86" s="712" t="s">
        <v>684</v>
      </c>
      <c r="C86" s="712"/>
      <c r="D86" s="712"/>
      <c r="E86" s="712"/>
      <c r="F86" s="712"/>
      <c r="G86" s="712"/>
      <c r="H86" s="712"/>
      <c r="I86" s="712"/>
      <c r="J86" s="712"/>
      <c r="K86" s="712"/>
      <c r="L86" s="414"/>
    </row>
    <row r="87" spans="1:12" ht="14.25">
      <c r="A87" s="414"/>
      <c r="B87" s="447"/>
      <c r="C87" s="447"/>
      <c r="D87" s="447"/>
      <c r="E87" s="447"/>
      <c r="F87" s="447"/>
      <c r="G87" s="447"/>
      <c r="H87" s="447"/>
      <c r="I87" s="447"/>
      <c r="J87" s="447"/>
      <c r="K87" s="447"/>
      <c r="L87" s="414"/>
    </row>
    <row r="88" spans="1:12" ht="14.25">
      <c r="A88" s="414"/>
      <c r="B88" s="712" t="s">
        <v>685</v>
      </c>
      <c r="C88" s="712"/>
      <c r="D88" s="712"/>
      <c r="E88" s="712"/>
      <c r="F88" s="712"/>
      <c r="G88" s="712"/>
      <c r="H88" s="712"/>
      <c r="I88" s="712"/>
      <c r="J88" s="712"/>
      <c r="K88" s="712"/>
      <c r="L88" s="414"/>
    </row>
    <row r="89" spans="1:12" ht="14.25">
      <c r="A89" s="414"/>
      <c r="B89" s="554"/>
      <c r="C89" s="554"/>
      <c r="D89" s="554"/>
      <c r="E89" s="554"/>
      <c r="F89" s="554"/>
      <c r="G89" s="554"/>
      <c r="H89" s="554"/>
      <c r="I89" s="554"/>
      <c r="J89" s="554"/>
      <c r="K89" s="554"/>
      <c r="L89" s="414"/>
    </row>
    <row r="90" spans="1:12" ht="45" customHeight="1">
      <c r="A90" s="414"/>
      <c r="B90" s="708" t="s">
        <v>686</v>
      </c>
      <c r="C90" s="708"/>
      <c r="D90" s="708"/>
      <c r="E90" s="708"/>
      <c r="F90" s="708"/>
      <c r="G90" s="708"/>
      <c r="H90" s="708"/>
      <c r="I90" s="708"/>
      <c r="J90" s="708"/>
      <c r="K90" s="708"/>
      <c r="L90" s="414"/>
    </row>
    <row r="91" spans="1:12" ht="15" customHeight="1" thickBot="1">
      <c r="A91" s="414"/>
      <c r="L91" s="414"/>
    </row>
    <row r="92" spans="1:12" ht="15" customHeight="1">
      <c r="A92" s="414"/>
      <c r="B92" s="448" t="s">
        <v>642</v>
      </c>
      <c r="C92" s="449"/>
      <c r="D92" s="449"/>
      <c r="E92" s="449"/>
      <c r="F92" s="449"/>
      <c r="G92" s="449"/>
      <c r="H92" s="449"/>
      <c r="I92" s="449"/>
      <c r="J92" s="449"/>
      <c r="K92" s="450"/>
      <c r="L92" s="414"/>
    </row>
    <row r="93" spans="1:12" ht="15" customHeight="1">
      <c r="A93" s="414"/>
      <c r="B93" s="451"/>
      <c r="C93" s="558" t="s">
        <v>650</v>
      </c>
      <c r="D93" s="558"/>
      <c r="E93" s="558"/>
      <c r="F93" s="558"/>
      <c r="G93" s="558"/>
      <c r="H93" s="558"/>
      <c r="I93" s="558"/>
      <c r="J93" s="558"/>
      <c r="K93" s="452"/>
      <c r="L93" s="414"/>
    </row>
    <row r="94" spans="1:12" ht="15" customHeight="1">
      <c r="A94" s="414"/>
      <c r="B94" s="451" t="s">
        <v>675</v>
      </c>
      <c r="C94" s="705">
        <v>133685008</v>
      </c>
      <c r="D94" s="705"/>
      <c r="E94" s="560" t="s">
        <v>649</v>
      </c>
      <c r="F94" s="560">
        <v>1000</v>
      </c>
      <c r="G94" s="560" t="s">
        <v>648</v>
      </c>
      <c r="H94" s="561">
        <f>C94/F94</f>
        <v>133685.008</v>
      </c>
      <c r="I94" s="558" t="s">
        <v>676</v>
      </c>
      <c r="J94" s="558"/>
      <c r="K94" s="452"/>
      <c r="L94" s="414"/>
    </row>
    <row r="95" spans="1:12" ht="15" customHeight="1">
      <c r="A95" s="414"/>
      <c r="B95" s="451"/>
      <c r="C95" s="558"/>
      <c r="D95" s="558"/>
      <c r="E95" s="560"/>
      <c r="F95" s="558"/>
      <c r="G95" s="558"/>
      <c r="H95" s="558"/>
      <c r="I95" s="558"/>
      <c r="J95" s="558"/>
      <c r="K95" s="452"/>
      <c r="L95" s="414"/>
    </row>
    <row r="96" spans="1:12" ht="15" customHeight="1">
      <c r="A96" s="414"/>
      <c r="B96" s="451"/>
      <c r="C96" s="558" t="s">
        <v>677</v>
      </c>
      <c r="D96" s="558"/>
      <c r="E96" s="560"/>
      <c r="F96" s="558" t="s">
        <v>676</v>
      </c>
      <c r="G96" s="558"/>
      <c r="H96" s="558"/>
      <c r="I96" s="558"/>
      <c r="J96" s="558"/>
      <c r="K96" s="452"/>
      <c r="L96" s="414"/>
    </row>
    <row r="97" spans="1:12" ht="15" customHeight="1">
      <c r="A97" s="414"/>
      <c r="B97" s="451" t="s">
        <v>680</v>
      </c>
      <c r="C97" s="705">
        <v>50000</v>
      </c>
      <c r="D97" s="705"/>
      <c r="E97" s="560" t="s">
        <v>649</v>
      </c>
      <c r="F97" s="561">
        <f>H94</f>
        <v>133685.008</v>
      </c>
      <c r="G97" s="560" t="s">
        <v>648</v>
      </c>
      <c r="H97" s="433">
        <f>C97/F97</f>
        <v>0.3740135169083432</v>
      </c>
      <c r="I97" s="558" t="s">
        <v>678</v>
      </c>
      <c r="J97" s="558"/>
      <c r="K97" s="452"/>
      <c r="L97" s="414"/>
    </row>
    <row r="98" spans="1:12" ht="15" customHeight="1">
      <c r="A98" s="414"/>
      <c r="B98" s="451"/>
      <c r="C98" s="558"/>
      <c r="D98" s="558"/>
      <c r="E98" s="560"/>
      <c r="F98" s="558"/>
      <c r="G98" s="558"/>
      <c r="H98" s="558"/>
      <c r="I98" s="558"/>
      <c r="J98" s="558"/>
      <c r="K98" s="452"/>
      <c r="L98" s="414"/>
    </row>
    <row r="99" spans="1:12" ht="15" customHeight="1">
      <c r="A99" s="414"/>
      <c r="B99" s="453"/>
      <c r="C99" s="454" t="s">
        <v>687</v>
      </c>
      <c r="D99" s="454"/>
      <c r="E99" s="562"/>
      <c r="F99" s="454"/>
      <c r="G99" s="454"/>
      <c r="H99" s="454"/>
      <c r="I99" s="454"/>
      <c r="J99" s="454"/>
      <c r="K99" s="455"/>
      <c r="L99" s="414"/>
    </row>
    <row r="100" spans="1:12" ht="15" customHeight="1">
      <c r="A100" s="414"/>
      <c r="B100" s="451" t="s">
        <v>765</v>
      </c>
      <c r="C100" s="705">
        <v>2500000</v>
      </c>
      <c r="D100" s="705"/>
      <c r="E100" s="560" t="s">
        <v>94</v>
      </c>
      <c r="F100" s="456">
        <v>0.3</v>
      </c>
      <c r="G100" s="560" t="s">
        <v>648</v>
      </c>
      <c r="H100" s="561">
        <f>C100*F100</f>
        <v>750000</v>
      </c>
      <c r="I100" s="558" t="s">
        <v>681</v>
      </c>
      <c r="J100" s="558"/>
      <c r="K100" s="452"/>
      <c r="L100" s="414"/>
    </row>
    <row r="101" spans="1:12" ht="15" customHeight="1">
      <c r="A101" s="414"/>
      <c r="B101" s="451"/>
      <c r="C101" s="558"/>
      <c r="D101" s="558"/>
      <c r="E101" s="560"/>
      <c r="F101" s="558"/>
      <c r="G101" s="558"/>
      <c r="H101" s="558"/>
      <c r="I101" s="558"/>
      <c r="J101" s="558"/>
      <c r="K101" s="452"/>
      <c r="L101" s="414"/>
    </row>
    <row r="102" spans="1:12" ht="15" customHeight="1">
      <c r="A102" s="414"/>
      <c r="B102" s="453"/>
      <c r="C102" s="454" t="s">
        <v>682</v>
      </c>
      <c r="D102" s="454"/>
      <c r="E102" s="562"/>
      <c r="F102" s="454" t="s">
        <v>678</v>
      </c>
      <c r="G102" s="454"/>
      <c r="H102" s="454"/>
      <c r="I102" s="454"/>
      <c r="J102" s="454" t="s">
        <v>683</v>
      </c>
      <c r="K102" s="455"/>
      <c r="L102" s="414"/>
    </row>
    <row r="103" spans="1:12" ht="15" customHeight="1">
      <c r="A103" s="414"/>
      <c r="B103" s="451" t="s">
        <v>766</v>
      </c>
      <c r="C103" s="709">
        <f>H100</f>
        <v>750000</v>
      </c>
      <c r="D103" s="709"/>
      <c r="E103" s="560" t="s">
        <v>94</v>
      </c>
      <c r="F103" s="433">
        <f>H97</f>
        <v>0.3740135169083432</v>
      </c>
      <c r="G103" s="560" t="s">
        <v>649</v>
      </c>
      <c r="H103" s="560">
        <v>1000</v>
      </c>
      <c r="I103" s="560" t="s">
        <v>648</v>
      </c>
      <c r="J103" s="442">
        <f>C103*F103/H103</f>
        <v>280.51013768125745</v>
      </c>
      <c r="K103" s="452"/>
      <c r="L103" s="414"/>
    </row>
    <row r="104" spans="1:12" ht="15" customHeight="1" thickBot="1">
      <c r="A104" s="414"/>
      <c r="B104" s="457"/>
      <c r="C104" s="443"/>
      <c r="D104" s="443"/>
      <c r="E104" s="444"/>
      <c r="F104" s="445"/>
      <c r="G104" s="444"/>
      <c r="H104" s="444"/>
      <c r="I104" s="444"/>
      <c r="J104" s="446"/>
      <c r="K104" s="559"/>
      <c r="L104" s="414"/>
    </row>
    <row r="105" spans="1:12" ht="40.5" customHeight="1">
      <c r="A105" s="414"/>
      <c r="B105" s="710" t="s">
        <v>638</v>
      </c>
      <c r="C105" s="711"/>
      <c r="D105" s="711"/>
      <c r="E105" s="711"/>
      <c r="F105" s="711"/>
      <c r="G105" s="711"/>
      <c r="H105" s="711"/>
      <c r="I105" s="711"/>
      <c r="J105" s="711"/>
      <c r="K105" s="711"/>
      <c r="L105" s="414"/>
    </row>
    <row r="106" spans="1:12" ht="15" customHeight="1">
      <c r="A106" s="414"/>
      <c r="B106" s="724" t="s">
        <v>688</v>
      </c>
      <c r="C106" s="715"/>
      <c r="D106" s="715"/>
      <c r="E106" s="715"/>
      <c r="F106" s="715"/>
      <c r="G106" s="715"/>
      <c r="H106" s="715"/>
      <c r="I106" s="715"/>
      <c r="J106" s="715"/>
      <c r="K106" s="715"/>
      <c r="L106" s="414"/>
    </row>
    <row r="107" spans="1:12" ht="15" customHeight="1">
      <c r="A107" s="414"/>
      <c r="B107" s="558"/>
      <c r="C107" s="458"/>
      <c r="D107" s="458"/>
      <c r="E107" s="560"/>
      <c r="F107" s="433"/>
      <c r="G107" s="560"/>
      <c r="H107" s="560"/>
      <c r="I107" s="560"/>
      <c r="J107" s="442"/>
      <c r="K107" s="558"/>
      <c r="L107" s="414"/>
    </row>
    <row r="108" spans="1:12" ht="15" customHeight="1">
      <c r="A108" s="414"/>
      <c r="B108" s="724" t="s">
        <v>689</v>
      </c>
      <c r="C108" s="725"/>
      <c r="D108" s="725"/>
      <c r="E108" s="725"/>
      <c r="F108" s="725"/>
      <c r="G108" s="725"/>
      <c r="H108" s="725"/>
      <c r="I108" s="725"/>
      <c r="J108" s="725"/>
      <c r="K108" s="725"/>
      <c r="L108" s="414"/>
    </row>
    <row r="109" spans="1:12" ht="15" customHeight="1">
      <c r="A109" s="414"/>
      <c r="B109" s="558"/>
      <c r="C109" s="458"/>
      <c r="D109" s="458"/>
      <c r="E109" s="560"/>
      <c r="F109" s="433"/>
      <c r="G109" s="560"/>
      <c r="H109" s="560"/>
      <c r="I109" s="560"/>
      <c r="J109" s="442"/>
      <c r="K109" s="558"/>
      <c r="L109" s="414"/>
    </row>
    <row r="110" spans="1:12" ht="59.25" customHeight="1">
      <c r="A110" s="414"/>
      <c r="B110" s="726" t="s">
        <v>690</v>
      </c>
      <c r="C110" s="713"/>
      <c r="D110" s="713"/>
      <c r="E110" s="713"/>
      <c r="F110" s="713"/>
      <c r="G110" s="713"/>
      <c r="H110" s="713"/>
      <c r="I110" s="713"/>
      <c r="J110" s="713"/>
      <c r="K110" s="713"/>
      <c r="L110" s="414"/>
    </row>
    <row r="111" spans="1:12" ht="15" thickBot="1">
      <c r="A111" s="414"/>
      <c r="B111" s="555"/>
      <c r="C111" s="555"/>
      <c r="D111" s="555"/>
      <c r="E111" s="555"/>
      <c r="F111" s="555"/>
      <c r="G111" s="555"/>
      <c r="H111" s="555"/>
      <c r="I111" s="555"/>
      <c r="J111" s="555"/>
      <c r="K111" s="555"/>
      <c r="L111" s="459"/>
    </row>
    <row r="112" spans="1:12" ht="14.25">
      <c r="A112" s="414"/>
      <c r="B112" s="419" t="s">
        <v>642</v>
      </c>
      <c r="C112" s="420"/>
      <c r="D112" s="420"/>
      <c r="E112" s="420"/>
      <c r="F112" s="420"/>
      <c r="G112" s="420"/>
      <c r="H112" s="420"/>
      <c r="I112" s="420"/>
      <c r="J112" s="420"/>
      <c r="K112" s="421"/>
      <c r="L112" s="414"/>
    </row>
    <row r="113" spans="1:12" ht="14.25">
      <c r="A113" s="414"/>
      <c r="B113" s="431"/>
      <c r="C113" s="423" t="s">
        <v>650</v>
      </c>
      <c r="D113" s="423"/>
      <c r="E113" s="423"/>
      <c r="F113" s="423"/>
      <c r="G113" s="423"/>
      <c r="H113" s="423"/>
      <c r="I113" s="423"/>
      <c r="J113" s="423"/>
      <c r="K113" s="425"/>
      <c r="L113" s="414"/>
    </row>
    <row r="114" spans="1:12" ht="14.25">
      <c r="A114" s="414"/>
      <c r="B114" s="431" t="s">
        <v>675</v>
      </c>
      <c r="C114" s="705">
        <v>133685008</v>
      </c>
      <c r="D114" s="705"/>
      <c r="E114" s="560" t="s">
        <v>649</v>
      </c>
      <c r="F114" s="560">
        <v>1000</v>
      </c>
      <c r="G114" s="560" t="s">
        <v>648</v>
      </c>
      <c r="H114" s="561">
        <f>C114/F114</f>
        <v>133685.008</v>
      </c>
      <c r="I114" s="423" t="s">
        <v>676</v>
      </c>
      <c r="J114" s="423"/>
      <c r="K114" s="425"/>
      <c r="L114" s="414"/>
    </row>
    <row r="115" spans="1:12" ht="14.25">
      <c r="A115" s="414"/>
      <c r="B115" s="431"/>
      <c r="C115" s="423"/>
      <c r="D115" s="423"/>
      <c r="E115" s="560"/>
      <c r="F115" s="423"/>
      <c r="G115" s="423"/>
      <c r="H115" s="423"/>
      <c r="I115" s="423"/>
      <c r="J115" s="423"/>
      <c r="K115" s="425"/>
      <c r="L115" s="414"/>
    </row>
    <row r="116" spans="1:12" ht="14.25">
      <c r="A116" s="414"/>
      <c r="B116" s="431"/>
      <c r="C116" s="423" t="s">
        <v>677</v>
      </c>
      <c r="D116" s="423"/>
      <c r="E116" s="560"/>
      <c r="F116" s="423" t="s">
        <v>676</v>
      </c>
      <c r="G116" s="423"/>
      <c r="H116" s="423"/>
      <c r="I116" s="423"/>
      <c r="J116" s="423"/>
      <c r="K116" s="425"/>
      <c r="L116" s="414"/>
    </row>
    <row r="117" spans="1:12" ht="14.25">
      <c r="A117" s="414"/>
      <c r="B117" s="431" t="s">
        <v>680</v>
      </c>
      <c r="C117" s="705">
        <v>50000</v>
      </c>
      <c r="D117" s="705"/>
      <c r="E117" s="560" t="s">
        <v>649</v>
      </c>
      <c r="F117" s="561">
        <f>H114</f>
        <v>133685.008</v>
      </c>
      <c r="G117" s="560" t="s">
        <v>648</v>
      </c>
      <c r="H117" s="433">
        <f>C117/F117</f>
        <v>0.3740135169083432</v>
      </c>
      <c r="I117" s="423" t="s">
        <v>678</v>
      </c>
      <c r="J117" s="423"/>
      <c r="K117" s="425"/>
      <c r="L117" s="414"/>
    </row>
    <row r="118" spans="1:12" ht="14.25">
      <c r="A118" s="414"/>
      <c r="B118" s="431"/>
      <c r="C118" s="423"/>
      <c r="D118" s="423"/>
      <c r="E118" s="560"/>
      <c r="F118" s="423"/>
      <c r="G118" s="423"/>
      <c r="H118" s="423"/>
      <c r="I118" s="423"/>
      <c r="J118" s="423"/>
      <c r="K118" s="425"/>
      <c r="L118" s="414"/>
    </row>
    <row r="119" spans="1:12" ht="14.25">
      <c r="A119" s="414"/>
      <c r="B119" s="439"/>
      <c r="C119" s="440" t="s">
        <v>687</v>
      </c>
      <c r="D119" s="440"/>
      <c r="E119" s="562"/>
      <c r="F119" s="440"/>
      <c r="G119" s="440"/>
      <c r="H119" s="440"/>
      <c r="I119" s="440"/>
      <c r="J119" s="440"/>
      <c r="K119" s="441"/>
      <c r="L119" s="414"/>
    </row>
    <row r="120" spans="1:12" ht="14.25">
      <c r="A120" s="414"/>
      <c r="B120" s="431" t="s">
        <v>765</v>
      </c>
      <c r="C120" s="705">
        <v>2500000</v>
      </c>
      <c r="D120" s="705"/>
      <c r="E120" s="560" t="s">
        <v>94</v>
      </c>
      <c r="F120" s="456">
        <v>0.25</v>
      </c>
      <c r="G120" s="560" t="s">
        <v>648</v>
      </c>
      <c r="H120" s="561">
        <f>C120*F120</f>
        <v>625000</v>
      </c>
      <c r="I120" s="423" t="s">
        <v>681</v>
      </c>
      <c r="J120" s="423"/>
      <c r="K120" s="425"/>
      <c r="L120" s="414"/>
    </row>
    <row r="121" spans="1:12" ht="14.25">
      <c r="A121" s="414"/>
      <c r="B121" s="431"/>
      <c r="C121" s="423"/>
      <c r="D121" s="423"/>
      <c r="E121" s="560"/>
      <c r="F121" s="423"/>
      <c r="G121" s="423"/>
      <c r="H121" s="423"/>
      <c r="I121" s="423"/>
      <c r="J121" s="423"/>
      <c r="K121" s="425"/>
      <c r="L121" s="414"/>
    </row>
    <row r="122" spans="1:12" ht="14.25">
      <c r="A122" s="414"/>
      <c r="B122" s="439"/>
      <c r="C122" s="440" t="s">
        <v>682</v>
      </c>
      <c r="D122" s="440"/>
      <c r="E122" s="562"/>
      <c r="F122" s="440" t="s">
        <v>678</v>
      </c>
      <c r="G122" s="440"/>
      <c r="H122" s="440"/>
      <c r="I122" s="440"/>
      <c r="J122" s="440" t="s">
        <v>683</v>
      </c>
      <c r="K122" s="441"/>
      <c r="L122" s="414"/>
    </row>
    <row r="123" spans="1:12" ht="14.25">
      <c r="A123" s="414"/>
      <c r="B123" s="431" t="s">
        <v>766</v>
      </c>
      <c r="C123" s="709">
        <f>H120</f>
        <v>625000</v>
      </c>
      <c r="D123" s="709"/>
      <c r="E123" s="560" t="s">
        <v>94</v>
      </c>
      <c r="F123" s="433">
        <f>H117</f>
        <v>0.3740135169083432</v>
      </c>
      <c r="G123" s="560" t="s">
        <v>649</v>
      </c>
      <c r="H123" s="560">
        <v>1000</v>
      </c>
      <c r="I123" s="560" t="s">
        <v>648</v>
      </c>
      <c r="J123" s="442">
        <f>C123*F123/H123</f>
        <v>233.7584480677145</v>
      </c>
      <c r="K123" s="425"/>
      <c r="L123" s="414"/>
    </row>
    <row r="124" spans="1:12" ht="15" thickBot="1">
      <c r="A124" s="414"/>
      <c r="B124" s="426"/>
      <c r="C124" s="443"/>
      <c r="D124" s="443"/>
      <c r="E124" s="444"/>
      <c r="F124" s="445"/>
      <c r="G124" s="444"/>
      <c r="H124" s="444"/>
      <c r="I124" s="444"/>
      <c r="J124" s="446"/>
      <c r="K124" s="428"/>
      <c r="L124" s="414"/>
    </row>
    <row r="125" spans="1:12" ht="40.5" customHeight="1">
      <c r="A125" s="414"/>
      <c r="B125" s="710" t="s">
        <v>638</v>
      </c>
      <c r="C125" s="710"/>
      <c r="D125" s="710"/>
      <c r="E125" s="710"/>
      <c r="F125" s="710"/>
      <c r="G125" s="710"/>
      <c r="H125" s="710"/>
      <c r="I125" s="710"/>
      <c r="J125" s="710"/>
      <c r="K125" s="710"/>
      <c r="L125" s="459"/>
    </row>
    <row r="126" spans="1:12" ht="14.25">
      <c r="A126" s="414"/>
      <c r="B126" s="712" t="s">
        <v>691</v>
      </c>
      <c r="C126" s="712"/>
      <c r="D126" s="712"/>
      <c r="E126" s="712"/>
      <c r="F126" s="712"/>
      <c r="G126" s="712"/>
      <c r="H126" s="712"/>
      <c r="I126" s="712"/>
      <c r="J126" s="712"/>
      <c r="K126" s="712"/>
      <c r="L126" s="459"/>
    </row>
    <row r="127" spans="1:12" ht="14.25">
      <c r="A127" s="414"/>
      <c r="B127" s="555"/>
      <c r="C127" s="555"/>
      <c r="D127" s="555"/>
      <c r="E127" s="555"/>
      <c r="F127" s="555"/>
      <c r="G127" s="555"/>
      <c r="H127" s="555"/>
      <c r="I127" s="555"/>
      <c r="J127" s="555"/>
      <c r="K127" s="555"/>
      <c r="L127" s="459"/>
    </row>
    <row r="128" spans="1:12" ht="14.25">
      <c r="A128" s="414"/>
      <c r="B128" s="712" t="s">
        <v>692</v>
      </c>
      <c r="C128" s="712"/>
      <c r="D128" s="712"/>
      <c r="E128" s="712"/>
      <c r="F128" s="712"/>
      <c r="G128" s="712"/>
      <c r="H128" s="712"/>
      <c r="I128" s="712"/>
      <c r="J128" s="712"/>
      <c r="K128" s="712"/>
      <c r="L128" s="459"/>
    </row>
    <row r="129" spans="1:12" ht="14.25">
      <c r="A129" s="414"/>
      <c r="B129" s="554"/>
      <c r="C129" s="554"/>
      <c r="D129" s="554"/>
      <c r="E129" s="554"/>
      <c r="F129" s="554"/>
      <c r="G129" s="554"/>
      <c r="H129" s="554"/>
      <c r="I129" s="554"/>
      <c r="J129" s="554"/>
      <c r="K129" s="554"/>
      <c r="L129" s="459"/>
    </row>
    <row r="130" spans="1:12" ht="74.25" customHeight="1">
      <c r="A130" s="414"/>
      <c r="B130" s="708" t="s">
        <v>767</v>
      </c>
      <c r="C130" s="708"/>
      <c r="D130" s="708"/>
      <c r="E130" s="708"/>
      <c r="F130" s="708"/>
      <c r="G130" s="708"/>
      <c r="H130" s="708"/>
      <c r="I130" s="708"/>
      <c r="J130" s="708"/>
      <c r="K130" s="708"/>
      <c r="L130" s="459"/>
    </row>
    <row r="131" spans="1:12" ht="15" thickBot="1">
      <c r="A131" s="414"/>
      <c r="L131" s="414"/>
    </row>
    <row r="132" spans="1:12" ht="14.25">
      <c r="A132" s="414"/>
      <c r="B132" s="419" t="s">
        <v>642</v>
      </c>
      <c r="C132" s="420"/>
      <c r="D132" s="420"/>
      <c r="E132" s="420"/>
      <c r="F132" s="420"/>
      <c r="G132" s="420"/>
      <c r="H132" s="420"/>
      <c r="I132" s="420"/>
      <c r="J132" s="420"/>
      <c r="K132" s="421"/>
      <c r="L132" s="414"/>
    </row>
    <row r="133" spans="1:12" ht="14.25">
      <c r="A133" s="414"/>
      <c r="B133" s="431"/>
      <c r="C133" s="727" t="s">
        <v>693</v>
      </c>
      <c r="D133" s="727"/>
      <c r="E133" s="423"/>
      <c r="F133" s="560" t="s">
        <v>694</v>
      </c>
      <c r="G133" s="423"/>
      <c r="H133" s="727" t="s">
        <v>681</v>
      </c>
      <c r="I133" s="727"/>
      <c r="J133" s="423"/>
      <c r="K133" s="425"/>
      <c r="L133" s="414"/>
    </row>
    <row r="134" spans="1:12" ht="14.25">
      <c r="A134" s="414"/>
      <c r="B134" s="431" t="s">
        <v>675</v>
      </c>
      <c r="C134" s="705">
        <v>100000</v>
      </c>
      <c r="D134" s="705"/>
      <c r="E134" s="560" t="s">
        <v>94</v>
      </c>
      <c r="F134" s="560">
        <v>0.115</v>
      </c>
      <c r="G134" s="560" t="s">
        <v>648</v>
      </c>
      <c r="H134" s="706">
        <f>C134*F134</f>
        <v>11500</v>
      </c>
      <c r="I134" s="706"/>
      <c r="J134" s="423"/>
      <c r="K134" s="425"/>
      <c r="L134" s="414"/>
    </row>
    <row r="135" spans="1:12" ht="14.25">
      <c r="A135" s="414"/>
      <c r="B135" s="431"/>
      <c r="C135" s="423"/>
      <c r="D135" s="423"/>
      <c r="E135" s="423"/>
      <c r="F135" s="423"/>
      <c r="G135" s="423"/>
      <c r="H135" s="423"/>
      <c r="I135" s="423"/>
      <c r="J135" s="423"/>
      <c r="K135" s="425"/>
      <c r="L135" s="414"/>
    </row>
    <row r="136" spans="1:12" ht="14.25">
      <c r="A136" s="414"/>
      <c r="B136" s="439"/>
      <c r="C136" s="707" t="s">
        <v>681</v>
      </c>
      <c r="D136" s="707"/>
      <c r="E136" s="440"/>
      <c r="F136" s="562" t="s">
        <v>695</v>
      </c>
      <c r="G136" s="562"/>
      <c r="H136" s="440"/>
      <c r="I136" s="440"/>
      <c r="J136" s="440" t="s">
        <v>696</v>
      </c>
      <c r="K136" s="441"/>
      <c r="L136" s="414"/>
    </row>
    <row r="137" spans="1:12" ht="14.25">
      <c r="A137" s="414"/>
      <c r="B137" s="431" t="s">
        <v>680</v>
      </c>
      <c r="C137" s="706">
        <f>H134</f>
        <v>11500</v>
      </c>
      <c r="D137" s="706"/>
      <c r="E137" s="560" t="s">
        <v>94</v>
      </c>
      <c r="F137" s="460">
        <v>52.869</v>
      </c>
      <c r="G137" s="560" t="s">
        <v>649</v>
      </c>
      <c r="H137" s="560">
        <v>1000</v>
      </c>
      <c r="I137" s="560" t="s">
        <v>648</v>
      </c>
      <c r="J137" s="461">
        <f>C137*F137/H137</f>
        <v>607.9935</v>
      </c>
      <c r="K137" s="425"/>
      <c r="L137" s="414"/>
    </row>
    <row r="138" spans="1:12" ht="15" thickBot="1">
      <c r="A138" s="414"/>
      <c r="B138" s="426"/>
      <c r="C138" s="585"/>
      <c r="D138" s="585"/>
      <c r="E138" s="444"/>
      <c r="F138" s="586"/>
      <c r="G138" s="444"/>
      <c r="H138" s="444"/>
      <c r="I138" s="444"/>
      <c r="J138" s="587"/>
      <c r="K138" s="428"/>
      <c r="L138" s="414"/>
    </row>
    <row r="139" spans="1:12" ht="40.5" customHeight="1">
      <c r="A139" s="414"/>
      <c r="B139" s="572" t="s">
        <v>638</v>
      </c>
      <c r="C139" s="573"/>
      <c r="D139" s="573"/>
      <c r="E139" s="574"/>
      <c r="F139" s="575"/>
      <c r="G139" s="574"/>
      <c r="H139" s="574"/>
      <c r="I139" s="574"/>
      <c r="J139" s="576"/>
      <c r="K139" s="577"/>
      <c r="L139" s="414"/>
    </row>
    <row r="140" spans="1:12" ht="14.25">
      <c r="A140" s="414"/>
      <c r="B140" s="578" t="s">
        <v>768</v>
      </c>
      <c r="C140" s="579"/>
      <c r="D140" s="579"/>
      <c r="E140" s="580"/>
      <c r="F140" s="581"/>
      <c r="G140" s="580"/>
      <c r="H140" s="580"/>
      <c r="I140" s="580"/>
      <c r="J140" s="582"/>
      <c r="K140" s="583"/>
      <c r="L140" s="414"/>
    </row>
    <row r="141" spans="1:12" ht="14.25">
      <c r="A141" s="414"/>
      <c r="B141" s="431"/>
      <c r="C141" s="561"/>
      <c r="D141" s="561"/>
      <c r="E141" s="560"/>
      <c r="F141" s="588"/>
      <c r="G141" s="560"/>
      <c r="H141" s="560"/>
      <c r="I141" s="560"/>
      <c r="J141" s="461"/>
      <c r="K141" s="425"/>
      <c r="L141" s="414"/>
    </row>
    <row r="142" spans="1:12" ht="14.25">
      <c r="A142" s="414"/>
      <c r="B142" s="578" t="s">
        <v>769</v>
      </c>
      <c r="C142" s="579"/>
      <c r="D142" s="579"/>
      <c r="E142" s="580"/>
      <c r="F142" s="581"/>
      <c r="G142" s="580"/>
      <c r="H142" s="580"/>
      <c r="I142" s="580"/>
      <c r="J142" s="582"/>
      <c r="K142" s="583"/>
      <c r="L142" s="414"/>
    </row>
    <row r="143" spans="1:12" ht="14.25">
      <c r="A143" s="414"/>
      <c r="B143" s="431"/>
      <c r="C143" s="561"/>
      <c r="D143" s="561"/>
      <c r="E143" s="560"/>
      <c r="F143" s="588"/>
      <c r="G143" s="560"/>
      <c r="H143" s="560"/>
      <c r="I143" s="560"/>
      <c r="J143" s="461"/>
      <c r="K143" s="425"/>
      <c r="L143" s="414"/>
    </row>
    <row r="144" spans="1:12" ht="76.5" customHeight="1">
      <c r="A144" s="414"/>
      <c r="B144" s="728" t="s">
        <v>770</v>
      </c>
      <c r="C144" s="729"/>
      <c r="D144" s="729"/>
      <c r="E144" s="729"/>
      <c r="F144" s="729"/>
      <c r="G144" s="729"/>
      <c r="H144" s="729"/>
      <c r="I144" s="729"/>
      <c r="J144" s="729"/>
      <c r="K144" s="730"/>
      <c r="L144" s="414"/>
    </row>
    <row r="145" spans="1:12" ht="15" thickBot="1">
      <c r="A145" s="414"/>
      <c r="B145" s="431"/>
      <c r="C145" s="561"/>
      <c r="D145" s="561"/>
      <c r="E145" s="560"/>
      <c r="F145" s="588"/>
      <c r="G145" s="560"/>
      <c r="H145" s="560"/>
      <c r="I145" s="560"/>
      <c r="J145" s="461"/>
      <c r="K145" s="425"/>
      <c r="L145" s="414"/>
    </row>
    <row r="146" spans="1:12" ht="14.25">
      <c r="A146" s="414"/>
      <c r="B146" s="419" t="s">
        <v>642</v>
      </c>
      <c r="C146" s="589"/>
      <c r="D146" s="589"/>
      <c r="E146" s="590"/>
      <c r="F146" s="591"/>
      <c r="G146" s="590"/>
      <c r="H146" s="590"/>
      <c r="I146" s="590"/>
      <c r="J146" s="592"/>
      <c r="K146" s="421"/>
      <c r="L146" s="414"/>
    </row>
    <row r="147" spans="1:12" ht="14.25">
      <c r="A147" s="414"/>
      <c r="B147" s="431"/>
      <c r="C147" s="706" t="s">
        <v>771</v>
      </c>
      <c r="D147" s="706"/>
      <c r="E147" s="560"/>
      <c r="F147" s="588" t="s">
        <v>772</v>
      </c>
      <c r="G147" s="560"/>
      <c r="H147" s="560"/>
      <c r="I147" s="560"/>
      <c r="J147" s="731" t="s">
        <v>773</v>
      </c>
      <c r="K147" s="732"/>
      <c r="L147" s="414"/>
    </row>
    <row r="148" spans="1:12" ht="14.25">
      <c r="A148" s="414"/>
      <c r="B148" s="431"/>
      <c r="C148" s="733">
        <v>52.869</v>
      </c>
      <c r="D148" s="733"/>
      <c r="E148" s="560" t="s">
        <v>94</v>
      </c>
      <c r="F148" s="557">
        <v>133685008</v>
      </c>
      <c r="G148" s="593" t="s">
        <v>649</v>
      </c>
      <c r="H148" s="560">
        <v>1000</v>
      </c>
      <c r="I148" s="560" t="s">
        <v>648</v>
      </c>
      <c r="J148" s="706">
        <f>C148*(F148/1000)</f>
        <v>7067792.687952</v>
      </c>
      <c r="K148" s="734"/>
      <c r="L148" s="414"/>
    </row>
    <row r="149" spans="1:12" ht="15" thickBot="1">
      <c r="A149" s="414"/>
      <c r="B149" s="426"/>
      <c r="C149" s="585"/>
      <c r="D149" s="585"/>
      <c r="E149" s="444"/>
      <c r="F149" s="586"/>
      <c r="G149" s="444"/>
      <c r="H149" s="444"/>
      <c r="I149" s="444"/>
      <c r="J149" s="587"/>
      <c r="K149" s="428"/>
      <c r="L149" s="414"/>
    </row>
    <row r="150" spans="1:12" ht="15" thickBot="1">
      <c r="A150" s="414"/>
      <c r="B150" s="426"/>
      <c r="C150" s="427"/>
      <c r="D150" s="427"/>
      <c r="E150" s="427"/>
      <c r="F150" s="427"/>
      <c r="G150" s="427"/>
      <c r="H150" s="427"/>
      <c r="I150" s="427"/>
      <c r="J150" s="427"/>
      <c r="K150" s="428"/>
      <c r="L150" s="414"/>
    </row>
    <row r="151" spans="1:12" ht="14.25">
      <c r="A151" s="414"/>
      <c r="B151" s="414"/>
      <c r="C151" s="414"/>
      <c r="D151" s="414"/>
      <c r="E151" s="414"/>
      <c r="F151" s="414"/>
      <c r="G151" s="414"/>
      <c r="H151" s="414"/>
      <c r="I151" s="414"/>
      <c r="J151" s="414"/>
      <c r="K151" s="414"/>
      <c r="L151" s="414"/>
    </row>
    <row r="152" spans="1:12" ht="14.25">
      <c r="A152" s="414"/>
      <c r="B152" s="414"/>
      <c r="C152" s="414"/>
      <c r="D152" s="414"/>
      <c r="E152" s="414"/>
      <c r="F152" s="414"/>
      <c r="G152" s="414"/>
      <c r="H152" s="414"/>
      <c r="I152" s="414"/>
      <c r="J152" s="414"/>
      <c r="K152" s="414"/>
      <c r="L152" s="414"/>
    </row>
    <row r="153" spans="1:12" ht="14.25">
      <c r="A153" s="414"/>
      <c r="B153" s="414"/>
      <c r="C153" s="414"/>
      <c r="D153" s="414"/>
      <c r="E153" s="414"/>
      <c r="F153" s="414"/>
      <c r="G153" s="414"/>
      <c r="H153" s="414"/>
      <c r="I153" s="414"/>
      <c r="J153" s="414"/>
      <c r="K153" s="414"/>
      <c r="L153" s="414"/>
    </row>
    <row r="154" spans="1:12" ht="14.25">
      <c r="A154" s="462"/>
      <c r="B154" s="462"/>
      <c r="C154" s="462"/>
      <c r="D154" s="462"/>
      <c r="E154" s="462"/>
      <c r="F154" s="462"/>
      <c r="G154" s="462"/>
      <c r="H154" s="462"/>
      <c r="I154" s="462"/>
      <c r="J154" s="462"/>
      <c r="K154" s="462"/>
      <c r="L154" s="462"/>
    </row>
    <row r="155" spans="1:12" ht="14.25">
      <c r="A155" s="462"/>
      <c r="B155" s="462"/>
      <c r="C155" s="462"/>
      <c r="D155" s="462"/>
      <c r="E155" s="462"/>
      <c r="F155" s="462"/>
      <c r="G155" s="462"/>
      <c r="H155" s="462"/>
      <c r="I155" s="462"/>
      <c r="J155" s="462"/>
      <c r="K155" s="462"/>
      <c r="L155" s="462"/>
    </row>
    <row r="156" spans="1:12" ht="14.25">
      <c r="A156" s="462"/>
      <c r="B156" s="462"/>
      <c r="C156" s="462"/>
      <c r="D156" s="462"/>
      <c r="E156" s="462"/>
      <c r="F156" s="462"/>
      <c r="G156" s="462"/>
      <c r="H156" s="462"/>
      <c r="I156" s="462"/>
      <c r="J156" s="462"/>
      <c r="K156" s="462"/>
      <c r="L156" s="462"/>
    </row>
    <row r="157" spans="1:12" ht="14.25">
      <c r="A157" s="462"/>
      <c r="B157" s="462"/>
      <c r="C157" s="462"/>
      <c r="D157" s="462"/>
      <c r="E157" s="462"/>
      <c r="F157" s="462"/>
      <c r="G157" s="462"/>
      <c r="H157" s="462"/>
      <c r="I157" s="462"/>
      <c r="J157" s="462"/>
      <c r="K157" s="462"/>
      <c r="L157" s="462"/>
    </row>
    <row r="158" spans="1:12" ht="14.25">
      <c r="A158" s="462"/>
      <c r="B158" s="462"/>
      <c r="C158" s="462"/>
      <c r="D158" s="462"/>
      <c r="E158" s="462"/>
      <c r="F158" s="462"/>
      <c r="G158" s="462"/>
      <c r="H158" s="462"/>
      <c r="I158" s="462"/>
      <c r="J158" s="462"/>
      <c r="K158" s="462"/>
      <c r="L158" s="462"/>
    </row>
    <row r="159" spans="1:12" ht="14.25">
      <c r="A159" s="462"/>
      <c r="B159" s="462"/>
      <c r="C159" s="462"/>
      <c r="D159" s="462"/>
      <c r="E159" s="462"/>
      <c r="F159" s="462"/>
      <c r="G159" s="462"/>
      <c r="H159" s="462"/>
      <c r="I159" s="462"/>
      <c r="J159" s="462"/>
      <c r="K159" s="462"/>
      <c r="L159" s="462"/>
    </row>
    <row r="160" spans="1:12" ht="14.25">
      <c r="A160" s="462"/>
      <c r="B160" s="462"/>
      <c r="C160" s="462"/>
      <c r="D160" s="462"/>
      <c r="E160" s="462"/>
      <c r="F160" s="462"/>
      <c r="G160" s="462"/>
      <c r="H160" s="462"/>
      <c r="I160" s="462"/>
      <c r="J160" s="462"/>
      <c r="K160" s="462"/>
      <c r="L160" s="462"/>
    </row>
    <row r="161" spans="1:12" ht="14.25">
      <c r="A161" s="462"/>
      <c r="B161" s="462"/>
      <c r="C161" s="462"/>
      <c r="D161" s="462"/>
      <c r="E161" s="462"/>
      <c r="F161" s="462"/>
      <c r="G161" s="462"/>
      <c r="H161" s="462"/>
      <c r="I161" s="462"/>
      <c r="J161" s="462"/>
      <c r="K161" s="462"/>
      <c r="L161" s="462"/>
    </row>
    <row r="162" spans="1:12" ht="14.25">
      <c r="A162" s="462"/>
      <c r="B162" s="462"/>
      <c r="C162" s="462"/>
      <c r="D162" s="462"/>
      <c r="E162" s="462"/>
      <c r="F162" s="462"/>
      <c r="G162" s="462"/>
      <c r="H162" s="462"/>
      <c r="I162" s="462"/>
      <c r="J162" s="462"/>
      <c r="K162" s="462"/>
      <c r="L162" s="462"/>
    </row>
    <row r="163" spans="1:12" ht="14.25">
      <c r="A163" s="462"/>
      <c r="B163" s="462"/>
      <c r="C163" s="462"/>
      <c r="D163" s="462"/>
      <c r="E163" s="462"/>
      <c r="F163" s="462"/>
      <c r="G163" s="462"/>
      <c r="H163" s="462"/>
      <c r="I163" s="462"/>
      <c r="J163" s="462"/>
      <c r="K163" s="462"/>
      <c r="L163" s="462"/>
    </row>
    <row r="164" spans="1:12" ht="14.25">
      <c r="A164" s="462"/>
      <c r="B164" s="462"/>
      <c r="C164" s="462"/>
      <c r="D164" s="462"/>
      <c r="E164" s="462"/>
      <c r="F164" s="462"/>
      <c r="G164" s="462"/>
      <c r="H164" s="462"/>
      <c r="I164" s="462"/>
      <c r="J164" s="462"/>
      <c r="K164" s="462"/>
      <c r="L164" s="462"/>
    </row>
    <row r="165" spans="1:12" ht="14.25">
      <c r="A165" s="462"/>
      <c r="B165" s="462"/>
      <c r="C165" s="462"/>
      <c r="D165" s="462"/>
      <c r="E165" s="462"/>
      <c r="F165" s="462"/>
      <c r="G165" s="462"/>
      <c r="H165" s="462"/>
      <c r="I165" s="462"/>
      <c r="J165" s="462"/>
      <c r="K165" s="462"/>
      <c r="L165" s="462"/>
    </row>
    <row r="166" spans="1:12" ht="14.25">
      <c r="A166" s="462"/>
      <c r="B166" s="462"/>
      <c r="C166" s="462"/>
      <c r="D166" s="462"/>
      <c r="E166" s="462"/>
      <c r="F166" s="462"/>
      <c r="G166" s="462"/>
      <c r="H166" s="462"/>
      <c r="I166" s="462"/>
      <c r="J166" s="462"/>
      <c r="K166" s="462"/>
      <c r="L166" s="462"/>
    </row>
    <row r="167" spans="1:12" ht="14.25">
      <c r="A167" s="462"/>
      <c r="B167" s="462"/>
      <c r="C167" s="462"/>
      <c r="D167" s="462"/>
      <c r="E167" s="462"/>
      <c r="F167" s="462"/>
      <c r="G167" s="462"/>
      <c r="H167" s="462"/>
      <c r="I167" s="462"/>
      <c r="J167" s="462"/>
      <c r="K167" s="462"/>
      <c r="L167" s="462"/>
    </row>
    <row r="168" spans="1:12" ht="14.25">
      <c r="A168" s="462"/>
      <c r="B168" s="462"/>
      <c r="C168" s="462"/>
      <c r="D168" s="462"/>
      <c r="E168" s="462"/>
      <c r="F168" s="462"/>
      <c r="G168" s="462"/>
      <c r="H168" s="462"/>
      <c r="I168" s="462"/>
      <c r="J168" s="462"/>
      <c r="K168" s="462"/>
      <c r="L168" s="462"/>
    </row>
    <row r="169" spans="1:12" ht="14.25">
      <c r="A169" s="462"/>
      <c r="B169" s="462"/>
      <c r="C169" s="462"/>
      <c r="D169" s="462"/>
      <c r="E169" s="462"/>
      <c r="F169" s="462"/>
      <c r="G169" s="462"/>
      <c r="H169" s="462"/>
      <c r="I169" s="462"/>
      <c r="J169" s="462"/>
      <c r="K169" s="462"/>
      <c r="L169" s="462"/>
    </row>
    <row r="170" spans="1:12" ht="14.25">
      <c r="A170" s="462"/>
      <c r="B170" s="462"/>
      <c r="C170" s="462"/>
      <c r="D170" s="462"/>
      <c r="E170" s="462"/>
      <c r="F170" s="462"/>
      <c r="G170" s="462"/>
      <c r="H170" s="462"/>
      <c r="I170" s="462"/>
      <c r="J170" s="462"/>
      <c r="K170" s="462"/>
      <c r="L170" s="462"/>
    </row>
    <row r="171" spans="1:12" ht="14.25">
      <c r="A171" s="462"/>
      <c r="B171" s="462"/>
      <c r="C171" s="462"/>
      <c r="D171" s="462"/>
      <c r="E171" s="462"/>
      <c r="F171" s="462"/>
      <c r="G171" s="462"/>
      <c r="H171" s="462"/>
      <c r="I171" s="462"/>
      <c r="J171" s="462"/>
      <c r="K171" s="462"/>
      <c r="L171" s="462"/>
    </row>
    <row r="172" spans="1:12" ht="14.25">
      <c r="A172" s="462"/>
      <c r="B172" s="462"/>
      <c r="C172" s="462"/>
      <c r="D172" s="462"/>
      <c r="E172" s="462"/>
      <c r="F172" s="462"/>
      <c r="G172" s="462"/>
      <c r="H172" s="462"/>
      <c r="I172" s="462"/>
      <c r="J172" s="462"/>
      <c r="K172" s="462"/>
      <c r="L172" s="462"/>
    </row>
    <row r="173" spans="1:12" ht="14.25">
      <c r="A173" s="462"/>
      <c r="B173" s="462"/>
      <c r="C173" s="462"/>
      <c r="D173" s="462"/>
      <c r="E173" s="462"/>
      <c r="F173" s="462"/>
      <c r="G173" s="462"/>
      <c r="H173" s="462"/>
      <c r="I173" s="462"/>
      <c r="J173" s="462"/>
      <c r="K173" s="462"/>
      <c r="L173" s="462"/>
    </row>
    <row r="174" spans="1:12" ht="14.25">
      <c r="A174" s="462"/>
      <c r="B174" s="462"/>
      <c r="C174" s="462"/>
      <c r="D174" s="462"/>
      <c r="E174" s="462"/>
      <c r="F174" s="462"/>
      <c r="G174" s="462"/>
      <c r="H174" s="462"/>
      <c r="I174" s="462"/>
      <c r="J174" s="462"/>
      <c r="K174" s="462"/>
      <c r="L174" s="462"/>
    </row>
    <row r="175" spans="1:12" ht="14.25">
      <c r="A175" s="462"/>
      <c r="B175" s="462"/>
      <c r="C175" s="462"/>
      <c r="D175" s="462"/>
      <c r="E175" s="462"/>
      <c r="F175" s="462"/>
      <c r="G175" s="462"/>
      <c r="H175" s="462"/>
      <c r="I175" s="462"/>
      <c r="J175" s="462"/>
      <c r="K175" s="462"/>
      <c r="L175" s="462"/>
    </row>
    <row r="176" spans="1:12" ht="14.25">
      <c r="A176" s="462"/>
      <c r="B176" s="462"/>
      <c r="C176" s="462"/>
      <c r="D176" s="462"/>
      <c r="E176" s="462"/>
      <c r="F176" s="462"/>
      <c r="G176" s="462"/>
      <c r="H176" s="462"/>
      <c r="I176" s="462"/>
      <c r="J176" s="462"/>
      <c r="K176" s="462"/>
      <c r="L176" s="462"/>
    </row>
    <row r="177" spans="1:12" ht="14.25">
      <c r="A177" s="462"/>
      <c r="B177" s="462"/>
      <c r="C177" s="462"/>
      <c r="D177" s="462"/>
      <c r="E177" s="462"/>
      <c r="F177" s="462"/>
      <c r="G177" s="462"/>
      <c r="H177" s="462"/>
      <c r="I177" s="462"/>
      <c r="J177" s="462"/>
      <c r="K177" s="462"/>
      <c r="L177" s="462"/>
    </row>
    <row r="178" spans="1:12" ht="14.25">
      <c r="A178" s="462"/>
      <c r="B178" s="462"/>
      <c r="C178" s="462"/>
      <c r="D178" s="462"/>
      <c r="E178" s="462"/>
      <c r="F178" s="462"/>
      <c r="G178" s="462"/>
      <c r="H178" s="462"/>
      <c r="I178" s="462"/>
      <c r="J178" s="462"/>
      <c r="K178" s="462"/>
      <c r="L178" s="462"/>
    </row>
    <row r="179" spans="1:12" ht="14.25">
      <c r="A179" s="462"/>
      <c r="B179" s="462"/>
      <c r="C179" s="462"/>
      <c r="D179" s="462"/>
      <c r="E179" s="462"/>
      <c r="F179" s="462"/>
      <c r="G179" s="462"/>
      <c r="H179" s="462"/>
      <c r="I179" s="462"/>
      <c r="J179" s="462"/>
      <c r="K179" s="462"/>
      <c r="L179" s="462"/>
    </row>
    <row r="180" spans="1:12" ht="14.25">
      <c r="A180" s="462"/>
      <c r="B180" s="462"/>
      <c r="C180" s="462"/>
      <c r="D180" s="462"/>
      <c r="E180" s="462"/>
      <c r="F180" s="462"/>
      <c r="G180" s="462"/>
      <c r="H180" s="462"/>
      <c r="I180" s="462"/>
      <c r="J180" s="462"/>
      <c r="K180" s="462"/>
      <c r="L180" s="462"/>
    </row>
    <row r="181" spans="1:12" ht="14.25">
      <c r="A181" s="462"/>
      <c r="B181" s="462"/>
      <c r="C181" s="462"/>
      <c r="D181" s="462"/>
      <c r="E181" s="462"/>
      <c r="F181" s="462"/>
      <c r="G181" s="462"/>
      <c r="H181" s="462"/>
      <c r="I181" s="462"/>
      <c r="J181" s="462"/>
      <c r="K181" s="462"/>
      <c r="L181" s="462"/>
    </row>
    <row r="182" spans="1:12" ht="14.25">
      <c r="A182" s="462"/>
      <c r="B182" s="462"/>
      <c r="C182" s="462"/>
      <c r="D182" s="462"/>
      <c r="E182" s="462"/>
      <c r="F182" s="462"/>
      <c r="G182" s="462"/>
      <c r="H182" s="462"/>
      <c r="I182" s="462"/>
      <c r="J182" s="462"/>
      <c r="K182" s="462"/>
      <c r="L182" s="462"/>
    </row>
    <row r="183" spans="1:12" ht="14.25">
      <c r="A183" s="462"/>
      <c r="B183" s="462"/>
      <c r="C183" s="462"/>
      <c r="D183" s="462"/>
      <c r="E183" s="462"/>
      <c r="F183" s="462"/>
      <c r="G183" s="462"/>
      <c r="H183" s="462"/>
      <c r="I183" s="462"/>
      <c r="J183" s="462"/>
      <c r="K183" s="462"/>
      <c r="L183" s="462"/>
    </row>
    <row r="184" spans="1:12" ht="14.25">
      <c r="A184" s="462"/>
      <c r="B184" s="462"/>
      <c r="C184" s="462"/>
      <c r="D184" s="462"/>
      <c r="E184" s="462"/>
      <c r="F184" s="462"/>
      <c r="G184" s="462"/>
      <c r="H184" s="462"/>
      <c r="I184" s="462"/>
      <c r="J184" s="462"/>
      <c r="K184" s="462"/>
      <c r="L184" s="462"/>
    </row>
    <row r="185" spans="1:12" ht="14.25">
      <c r="A185" s="462"/>
      <c r="B185" s="462"/>
      <c r="C185" s="462"/>
      <c r="D185" s="462"/>
      <c r="E185" s="462"/>
      <c r="F185" s="462"/>
      <c r="G185" s="462"/>
      <c r="H185" s="462"/>
      <c r="I185" s="462"/>
      <c r="J185" s="462"/>
      <c r="K185" s="462"/>
      <c r="L185" s="462"/>
    </row>
    <row r="186" spans="1:12" ht="14.25">
      <c r="A186" s="462"/>
      <c r="B186" s="462"/>
      <c r="C186" s="462"/>
      <c r="D186" s="462"/>
      <c r="E186" s="462"/>
      <c r="F186" s="462"/>
      <c r="G186" s="462"/>
      <c r="H186" s="462"/>
      <c r="I186" s="462"/>
      <c r="J186" s="462"/>
      <c r="K186" s="462"/>
      <c r="L186" s="462"/>
    </row>
    <row r="187" spans="1:12" ht="14.25">
      <c r="A187" s="462"/>
      <c r="B187" s="462"/>
      <c r="C187" s="462"/>
      <c r="D187" s="462"/>
      <c r="E187" s="462"/>
      <c r="F187" s="462"/>
      <c r="G187" s="462"/>
      <c r="H187" s="462"/>
      <c r="I187" s="462"/>
      <c r="J187" s="462"/>
      <c r="K187" s="462"/>
      <c r="L187" s="462"/>
    </row>
    <row r="188" spans="1:12" ht="14.25">
      <c r="A188" s="462"/>
      <c r="B188" s="462"/>
      <c r="C188" s="462"/>
      <c r="D188" s="462"/>
      <c r="E188" s="462"/>
      <c r="F188" s="462"/>
      <c r="G188" s="462"/>
      <c r="H188" s="462"/>
      <c r="I188" s="462"/>
      <c r="J188" s="462"/>
      <c r="K188" s="462"/>
      <c r="L188" s="462"/>
    </row>
    <row r="189" spans="1:12" ht="14.25">
      <c r="A189" s="462"/>
      <c r="B189" s="462"/>
      <c r="C189" s="462"/>
      <c r="D189" s="462"/>
      <c r="E189" s="462"/>
      <c r="F189" s="462"/>
      <c r="G189" s="462"/>
      <c r="H189" s="462"/>
      <c r="I189" s="462"/>
      <c r="J189" s="462"/>
      <c r="K189" s="462"/>
      <c r="L189" s="462"/>
    </row>
    <row r="190" spans="1:12" ht="14.25">
      <c r="A190" s="462"/>
      <c r="B190" s="462"/>
      <c r="C190" s="462"/>
      <c r="D190" s="462"/>
      <c r="E190" s="462"/>
      <c r="F190" s="462"/>
      <c r="G190" s="462"/>
      <c r="H190" s="462"/>
      <c r="I190" s="462"/>
      <c r="J190" s="462"/>
      <c r="K190" s="462"/>
      <c r="L190" s="462"/>
    </row>
    <row r="191" spans="1:12" ht="14.25">
      <c r="A191" s="462"/>
      <c r="B191" s="462"/>
      <c r="C191" s="462"/>
      <c r="D191" s="462"/>
      <c r="E191" s="462"/>
      <c r="F191" s="462"/>
      <c r="G191" s="462"/>
      <c r="H191" s="462"/>
      <c r="I191" s="462"/>
      <c r="J191" s="462"/>
      <c r="K191" s="462"/>
      <c r="L191" s="462"/>
    </row>
    <row r="192" spans="1:12" ht="14.25">
      <c r="A192" s="462"/>
      <c r="B192" s="462"/>
      <c r="C192" s="462"/>
      <c r="D192" s="462"/>
      <c r="E192" s="462"/>
      <c r="F192" s="462"/>
      <c r="G192" s="462"/>
      <c r="H192" s="462"/>
      <c r="I192" s="462"/>
      <c r="J192" s="462"/>
      <c r="K192" s="462"/>
      <c r="L192" s="462"/>
    </row>
    <row r="193" spans="1:12" ht="14.25">
      <c r="A193" s="462"/>
      <c r="B193" s="462"/>
      <c r="C193" s="462"/>
      <c r="D193" s="462"/>
      <c r="E193" s="462"/>
      <c r="F193" s="462"/>
      <c r="G193" s="462"/>
      <c r="H193" s="462"/>
      <c r="I193" s="462"/>
      <c r="J193" s="462"/>
      <c r="K193" s="462"/>
      <c r="L193" s="462"/>
    </row>
    <row r="194" spans="1:12" ht="14.25">
      <c r="A194" s="462"/>
      <c r="B194" s="462"/>
      <c r="C194" s="462"/>
      <c r="D194" s="462"/>
      <c r="E194" s="462"/>
      <c r="F194" s="462"/>
      <c r="G194" s="462"/>
      <c r="H194" s="462"/>
      <c r="I194" s="462"/>
      <c r="J194" s="462"/>
      <c r="K194" s="462"/>
      <c r="L194" s="462"/>
    </row>
    <row r="195" spans="1:12" ht="14.25">
      <c r="A195" s="462"/>
      <c r="B195" s="462"/>
      <c r="C195" s="462"/>
      <c r="D195" s="462"/>
      <c r="E195" s="462"/>
      <c r="F195" s="462"/>
      <c r="G195" s="462"/>
      <c r="H195" s="462"/>
      <c r="I195" s="462"/>
      <c r="J195" s="462"/>
      <c r="K195" s="462"/>
      <c r="L195" s="462"/>
    </row>
    <row r="196" spans="1:12" ht="14.25">
      <c r="A196" s="462"/>
      <c r="B196" s="462"/>
      <c r="C196" s="462"/>
      <c r="D196" s="462"/>
      <c r="E196" s="462"/>
      <c r="F196" s="462"/>
      <c r="G196" s="462"/>
      <c r="H196" s="462"/>
      <c r="I196" s="462"/>
      <c r="J196" s="462"/>
      <c r="K196" s="462"/>
      <c r="L196" s="462"/>
    </row>
    <row r="197" spans="1:12" ht="14.25">
      <c r="A197" s="462"/>
      <c r="B197" s="462"/>
      <c r="C197" s="462"/>
      <c r="D197" s="462"/>
      <c r="E197" s="462"/>
      <c r="F197" s="462"/>
      <c r="G197" s="462"/>
      <c r="H197" s="462"/>
      <c r="I197" s="462"/>
      <c r="J197" s="462"/>
      <c r="K197" s="462"/>
      <c r="L197" s="462"/>
    </row>
    <row r="198" spans="1:12" ht="14.25">
      <c r="A198" s="462"/>
      <c r="B198" s="462"/>
      <c r="C198" s="462"/>
      <c r="D198" s="462"/>
      <c r="E198" s="462"/>
      <c r="F198" s="462"/>
      <c r="G198" s="462"/>
      <c r="H198" s="462"/>
      <c r="I198" s="462"/>
      <c r="J198" s="462"/>
      <c r="K198" s="462"/>
      <c r="L198" s="462"/>
    </row>
    <row r="199" spans="1:12" ht="14.25">
      <c r="A199" s="462"/>
      <c r="B199" s="462"/>
      <c r="C199" s="462"/>
      <c r="D199" s="462"/>
      <c r="E199" s="462"/>
      <c r="F199" s="462"/>
      <c r="G199" s="462"/>
      <c r="H199" s="462"/>
      <c r="I199" s="462"/>
      <c r="J199" s="462"/>
      <c r="K199" s="462"/>
      <c r="L199" s="462"/>
    </row>
    <row r="200" spans="1:12" ht="14.25">
      <c r="A200" s="462"/>
      <c r="B200" s="462"/>
      <c r="C200" s="462"/>
      <c r="D200" s="462"/>
      <c r="E200" s="462"/>
      <c r="F200" s="462"/>
      <c r="G200" s="462"/>
      <c r="H200" s="462"/>
      <c r="I200" s="462"/>
      <c r="J200" s="462"/>
      <c r="K200" s="462"/>
      <c r="L200" s="462"/>
    </row>
    <row r="201" spans="1:12" ht="14.25">
      <c r="A201" s="462"/>
      <c r="B201" s="462"/>
      <c r="C201" s="462"/>
      <c r="D201" s="462"/>
      <c r="E201" s="462"/>
      <c r="F201" s="462"/>
      <c r="G201" s="462"/>
      <c r="H201" s="462"/>
      <c r="I201" s="462"/>
      <c r="J201" s="462"/>
      <c r="K201" s="462"/>
      <c r="L201" s="462"/>
    </row>
    <row r="202" spans="1:12" ht="14.25">
      <c r="A202" s="462"/>
      <c r="B202" s="462"/>
      <c r="C202" s="462"/>
      <c r="D202" s="462"/>
      <c r="E202" s="462"/>
      <c r="F202" s="462"/>
      <c r="G202" s="462"/>
      <c r="H202" s="462"/>
      <c r="I202" s="462"/>
      <c r="J202" s="462"/>
      <c r="K202" s="462"/>
      <c r="L202" s="462"/>
    </row>
    <row r="203" spans="1:12" ht="14.25">
      <c r="A203" s="462"/>
      <c r="B203" s="462"/>
      <c r="C203" s="462"/>
      <c r="D203" s="462"/>
      <c r="E203" s="462"/>
      <c r="F203" s="462"/>
      <c r="G203" s="462"/>
      <c r="H203" s="462"/>
      <c r="I203" s="462"/>
      <c r="J203" s="462"/>
      <c r="K203" s="462"/>
      <c r="L203" s="462"/>
    </row>
    <row r="204" spans="1:12" ht="14.25">
      <c r="A204" s="462"/>
      <c r="B204" s="462"/>
      <c r="C204" s="462"/>
      <c r="D204" s="462"/>
      <c r="E204" s="462"/>
      <c r="F204" s="462"/>
      <c r="G204" s="462"/>
      <c r="H204" s="462"/>
      <c r="I204" s="462"/>
      <c r="J204" s="462"/>
      <c r="K204" s="462"/>
      <c r="L204" s="462"/>
    </row>
    <row r="205" spans="1:12" ht="14.25">
      <c r="A205" s="462"/>
      <c r="B205" s="462"/>
      <c r="C205" s="462"/>
      <c r="D205" s="462"/>
      <c r="E205" s="462"/>
      <c r="F205" s="462"/>
      <c r="G205" s="462"/>
      <c r="H205" s="462"/>
      <c r="I205" s="462"/>
      <c r="J205" s="462"/>
      <c r="K205" s="462"/>
      <c r="L205" s="462"/>
    </row>
    <row r="206" spans="1:12" ht="14.25">
      <c r="A206" s="462"/>
      <c r="B206" s="462"/>
      <c r="C206" s="462"/>
      <c r="D206" s="462"/>
      <c r="E206" s="462"/>
      <c r="F206" s="462"/>
      <c r="G206" s="462"/>
      <c r="H206" s="462"/>
      <c r="I206" s="462"/>
      <c r="J206" s="462"/>
      <c r="K206" s="462"/>
      <c r="L206" s="462"/>
    </row>
    <row r="207" spans="1:12" ht="14.25">
      <c r="A207" s="462"/>
      <c r="B207" s="462"/>
      <c r="C207" s="462"/>
      <c r="D207" s="462"/>
      <c r="E207" s="462"/>
      <c r="F207" s="462"/>
      <c r="G207" s="462"/>
      <c r="H207" s="462"/>
      <c r="I207" s="462"/>
      <c r="J207" s="462"/>
      <c r="K207" s="462"/>
      <c r="L207" s="462"/>
    </row>
    <row r="208" spans="1:12" ht="14.25">
      <c r="A208" s="462"/>
      <c r="B208" s="462"/>
      <c r="C208" s="462"/>
      <c r="D208" s="462"/>
      <c r="E208" s="462"/>
      <c r="F208" s="462"/>
      <c r="G208" s="462"/>
      <c r="H208" s="462"/>
      <c r="I208" s="462"/>
      <c r="J208" s="462"/>
      <c r="K208" s="462"/>
      <c r="L208" s="462"/>
    </row>
    <row r="209" spans="1:12" ht="14.25">
      <c r="A209" s="462"/>
      <c r="B209" s="462"/>
      <c r="C209" s="462"/>
      <c r="D209" s="462"/>
      <c r="E209" s="462"/>
      <c r="F209" s="462"/>
      <c r="G209" s="462"/>
      <c r="H209" s="462"/>
      <c r="I209" s="462"/>
      <c r="J209" s="462"/>
      <c r="K209" s="462"/>
      <c r="L209" s="462"/>
    </row>
    <row r="210" spans="1:12" ht="14.25">
      <c r="A210" s="462"/>
      <c r="B210" s="462"/>
      <c r="C210" s="462"/>
      <c r="D210" s="462"/>
      <c r="E210" s="462"/>
      <c r="F210" s="462"/>
      <c r="G210" s="462"/>
      <c r="H210" s="462"/>
      <c r="I210" s="462"/>
      <c r="J210" s="462"/>
      <c r="K210" s="462"/>
      <c r="L210" s="462"/>
    </row>
    <row r="211" spans="1:12" ht="14.25">
      <c r="A211" s="462"/>
      <c r="B211" s="462"/>
      <c r="C211" s="462"/>
      <c r="D211" s="462"/>
      <c r="E211" s="462"/>
      <c r="F211" s="462"/>
      <c r="G211" s="462"/>
      <c r="H211" s="462"/>
      <c r="I211" s="462"/>
      <c r="J211" s="462"/>
      <c r="K211" s="462"/>
      <c r="L211" s="462"/>
    </row>
    <row r="212" spans="1:12" ht="14.25">
      <c r="A212" s="462"/>
      <c r="B212" s="462"/>
      <c r="C212" s="462"/>
      <c r="D212" s="462"/>
      <c r="E212" s="462"/>
      <c r="F212" s="462"/>
      <c r="G212" s="462"/>
      <c r="H212" s="462"/>
      <c r="I212" s="462"/>
      <c r="J212" s="462"/>
      <c r="K212" s="462"/>
      <c r="L212" s="462"/>
    </row>
    <row r="213" spans="1:12" ht="14.25">
      <c r="A213" s="462"/>
      <c r="B213" s="462"/>
      <c r="C213" s="462"/>
      <c r="D213" s="462"/>
      <c r="E213" s="462"/>
      <c r="F213" s="462"/>
      <c r="G213" s="462"/>
      <c r="H213" s="462"/>
      <c r="I213" s="462"/>
      <c r="J213" s="462"/>
      <c r="K213" s="462"/>
      <c r="L213" s="462"/>
    </row>
    <row r="214" spans="1:12" ht="14.25">
      <c r="A214" s="462"/>
      <c r="B214" s="462"/>
      <c r="C214" s="462"/>
      <c r="D214" s="462"/>
      <c r="E214" s="462"/>
      <c r="F214" s="462"/>
      <c r="G214" s="462"/>
      <c r="H214" s="462"/>
      <c r="I214" s="462"/>
      <c r="J214" s="462"/>
      <c r="K214" s="462"/>
      <c r="L214" s="462"/>
    </row>
    <row r="215" spans="1:12" ht="14.25">
      <c r="A215" s="462"/>
      <c r="B215" s="462"/>
      <c r="C215" s="462"/>
      <c r="D215" s="462"/>
      <c r="E215" s="462"/>
      <c r="F215" s="462"/>
      <c r="G215" s="462"/>
      <c r="H215" s="462"/>
      <c r="I215" s="462"/>
      <c r="J215" s="462"/>
      <c r="K215" s="462"/>
      <c r="L215" s="462"/>
    </row>
    <row r="216" spans="1:12" ht="14.25">
      <c r="A216" s="462"/>
      <c r="B216" s="462"/>
      <c r="C216" s="462"/>
      <c r="D216" s="462"/>
      <c r="E216" s="462"/>
      <c r="F216" s="462"/>
      <c r="G216" s="462"/>
      <c r="H216" s="462"/>
      <c r="I216" s="462"/>
      <c r="J216" s="462"/>
      <c r="K216" s="462"/>
      <c r="L216" s="462"/>
    </row>
    <row r="217" spans="1:12" ht="14.25">
      <c r="A217" s="462"/>
      <c r="B217" s="462"/>
      <c r="C217" s="462"/>
      <c r="D217" s="462"/>
      <c r="E217" s="462"/>
      <c r="F217" s="462"/>
      <c r="G217" s="462"/>
      <c r="H217" s="462"/>
      <c r="I217" s="462"/>
      <c r="J217" s="462"/>
      <c r="K217" s="462"/>
      <c r="L217" s="462"/>
    </row>
    <row r="218" spans="1:12" ht="14.25">
      <c r="A218" s="462"/>
      <c r="B218" s="462"/>
      <c r="C218" s="462"/>
      <c r="D218" s="462"/>
      <c r="E218" s="462"/>
      <c r="F218" s="462"/>
      <c r="G218" s="462"/>
      <c r="H218" s="462"/>
      <c r="I218" s="462"/>
      <c r="J218" s="462"/>
      <c r="K218" s="462"/>
      <c r="L218" s="462"/>
    </row>
    <row r="219" spans="1:12" ht="14.25">
      <c r="A219" s="462"/>
      <c r="B219" s="462"/>
      <c r="C219" s="462"/>
      <c r="D219" s="462"/>
      <c r="E219" s="462"/>
      <c r="F219" s="462"/>
      <c r="G219" s="462"/>
      <c r="H219" s="462"/>
      <c r="I219" s="462"/>
      <c r="J219" s="462"/>
      <c r="K219" s="462"/>
      <c r="L219" s="462"/>
    </row>
    <row r="220" spans="1:12" ht="14.25">
      <c r="A220" s="462"/>
      <c r="B220" s="462"/>
      <c r="C220" s="462"/>
      <c r="D220" s="462"/>
      <c r="E220" s="462"/>
      <c r="F220" s="462"/>
      <c r="G220" s="462"/>
      <c r="H220" s="462"/>
      <c r="I220" s="462"/>
      <c r="J220" s="462"/>
      <c r="K220" s="462"/>
      <c r="L220" s="462"/>
    </row>
    <row r="221" spans="1:12" ht="14.25">
      <c r="A221" s="462"/>
      <c r="B221" s="462"/>
      <c r="C221" s="462"/>
      <c r="D221" s="462"/>
      <c r="E221" s="462"/>
      <c r="F221" s="462"/>
      <c r="G221" s="462"/>
      <c r="H221" s="462"/>
      <c r="I221" s="462"/>
      <c r="J221" s="462"/>
      <c r="K221" s="462"/>
      <c r="L221" s="462"/>
    </row>
    <row r="222" spans="1:12" ht="14.25">
      <c r="A222" s="462"/>
      <c r="B222" s="462"/>
      <c r="C222" s="462"/>
      <c r="D222" s="462"/>
      <c r="E222" s="462"/>
      <c r="F222" s="462"/>
      <c r="G222" s="462"/>
      <c r="H222" s="462"/>
      <c r="I222" s="462"/>
      <c r="J222" s="462"/>
      <c r="K222" s="462"/>
      <c r="L222" s="462"/>
    </row>
    <row r="223" spans="1:12" ht="14.25">
      <c r="A223" s="462"/>
      <c r="B223" s="462"/>
      <c r="C223" s="462"/>
      <c r="D223" s="462"/>
      <c r="E223" s="462"/>
      <c r="F223" s="462"/>
      <c r="G223" s="462"/>
      <c r="H223" s="462"/>
      <c r="I223" s="462"/>
      <c r="J223" s="462"/>
      <c r="K223" s="462"/>
      <c r="L223" s="462"/>
    </row>
    <row r="224" spans="1:12" ht="14.25">
      <c r="A224" s="462"/>
      <c r="B224" s="462"/>
      <c r="C224" s="462"/>
      <c r="D224" s="462"/>
      <c r="E224" s="462"/>
      <c r="F224" s="462"/>
      <c r="G224" s="462"/>
      <c r="H224" s="462"/>
      <c r="I224" s="462"/>
      <c r="J224" s="462"/>
      <c r="K224" s="462"/>
      <c r="L224" s="462"/>
    </row>
    <row r="225" spans="1:12" ht="14.25">
      <c r="A225" s="462"/>
      <c r="B225" s="462"/>
      <c r="C225" s="462"/>
      <c r="D225" s="462"/>
      <c r="E225" s="462"/>
      <c r="F225" s="462"/>
      <c r="G225" s="462"/>
      <c r="H225" s="462"/>
      <c r="I225" s="462"/>
      <c r="J225" s="462"/>
      <c r="K225" s="462"/>
      <c r="L225" s="462"/>
    </row>
    <row r="226" spans="1:12" ht="14.25">
      <c r="A226" s="462"/>
      <c r="B226" s="462"/>
      <c r="C226" s="462"/>
      <c r="D226" s="462"/>
      <c r="E226" s="462"/>
      <c r="F226" s="462"/>
      <c r="G226" s="462"/>
      <c r="H226" s="462"/>
      <c r="I226" s="462"/>
      <c r="J226" s="462"/>
      <c r="K226" s="462"/>
      <c r="L226" s="462"/>
    </row>
    <row r="227" spans="1:12" ht="14.25">
      <c r="A227" s="462"/>
      <c r="B227" s="462"/>
      <c r="C227" s="462"/>
      <c r="D227" s="462"/>
      <c r="E227" s="462"/>
      <c r="F227" s="462"/>
      <c r="G227" s="462"/>
      <c r="H227" s="462"/>
      <c r="I227" s="462"/>
      <c r="J227" s="462"/>
      <c r="K227" s="462"/>
      <c r="L227" s="462"/>
    </row>
    <row r="228" spans="1:12" ht="14.25">
      <c r="A228" s="462"/>
      <c r="B228" s="462"/>
      <c r="C228" s="462"/>
      <c r="D228" s="462"/>
      <c r="E228" s="462"/>
      <c r="F228" s="462"/>
      <c r="G228" s="462"/>
      <c r="H228" s="462"/>
      <c r="I228" s="462"/>
      <c r="J228" s="462"/>
      <c r="K228" s="462"/>
      <c r="L228" s="462"/>
    </row>
    <row r="229" spans="1:12" ht="14.25">
      <c r="A229" s="462"/>
      <c r="B229" s="462"/>
      <c r="C229" s="462"/>
      <c r="D229" s="462"/>
      <c r="E229" s="462"/>
      <c r="F229" s="462"/>
      <c r="G229" s="462"/>
      <c r="H229" s="462"/>
      <c r="I229" s="462"/>
      <c r="J229" s="462"/>
      <c r="K229" s="462"/>
      <c r="L229" s="462"/>
    </row>
    <row r="230" spans="1:12" ht="14.25">
      <c r="A230" s="462"/>
      <c r="B230" s="462"/>
      <c r="C230" s="462"/>
      <c r="D230" s="462"/>
      <c r="E230" s="462"/>
      <c r="F230" s="462"/>
      <c r="G230" s="462"/>
      <c r="H230" s="462"/>
      <c r="I230" s="462"/>
      <c r="J230" s="462"/>
      <c r="K230" s="462"/>
      <c r="L230" s="462"/>
    </row>
    <row r="231" spans="1:12" ht="14.25">
      <c r="A231" s="462"/>
      <c r="B231" s="462"/>
      <c r="C231" s="462"/>
      <c r="D231" s="462"/>
      <c r="E231" s="462"/>
      <c r="F231" s="462"/>
      <c r="G231" s="462"/>
      <c r="H231" s="462"/>
      <c r="I231" s="462"/>
      <c r="J231" s="462"/>
      <c r="K231" s="462"/>
      <c r="L231" s="462"/>
    </row>
    <row r="232" spans="1:12" ht="14.25">
      <c r="A232" s="462"/>
      <c r="B232" s="462"/>
      <c r="C232" s="462"/>
      <c r="D232" s="462"/>
      <c r="E232" s="462"/>
      <c r="F232" s="462"/>
      <c r="G232" s="462"/>
      <c r="H232" s="462"/>
      <c r="I232" s="462"/>
      <c r="J232" s="462"/>
      <c r="K232" s="462"/>
      <c r="L232" s="462"/>
    </row>
    <row r="233" spans="1:12" ht="14.25">
      <c r="A233" s="462"/>
      <c r="B233" s="462"/>
      <c r="C233" s="462"/>
      <c r="D233" s="462"/>
      <c r="E233" s="462"/>
      <c r="F233" s="462"/>
      <c r="G233" s="462"/>
      <c r="H233" s="462"/>
      <c r="I233" s="462"/>
      <c r="J233" s="462"/>
      <c r="K233" s="462"/>
      <c r="L233" s="462"/>
    </row>
    <row r="234" spans="1:12" ht="14.25">
      <c r="A234" s="462"/>
      <c r="B234" s="462"/>
      <c r="C234" s="462"/>
      <c r="D234" s="462"/>
      <c r="E234" s="462"/>
      <c r="F234" s="462"/>
      <c r="G234" s="462"/>
      <c r="H234" s="462"/>
      <c r="I234" s="462"/>
      <c r="J234" s="462"/>
      <c r="K234" s="462"/>
      <c r="L234" s="462"/>
    </row>
    <row r="235" spans="1:12" ht="14.25">
      <c r="A235" s="462"/>
      <c r="B235" s="462"/>
      <c r="C235" s="462"/>
      <c r="D235" s="462"/>
      <c r="E235" s="462"/>
      <c r="F235" s="462"/>
      <c r="G235" s="462"/>
      <c r="H235" s="462"/>
      <c r="I235" s="462"/>
      <c r="J235" s="462"/>
      <c r="K235" s="462"/>
      <c r="L235" s="462"/>
    </row>
    <row r="236" spans="1:12" ht="14.25">
      <c r="A236" s="462"/>
      <c r="B236" s="462"/>
      <c r="C236" s="462"/>
      <c r="D236" s="462"/>
      <c r="E236" s="462"/>
      <c r="F236" s="462"/>
      <c r="G236" s="462"/>
      <c r="H236" s="462"/>
      <c r="I236" s="462"/>
      <c r="J236" s="462"/>
      <c r="K236" s="462"/>
      <c r="L236" s="462"/>
    </row>
    <row r="237" spans="1:12" ht="14.25">
      <c r="A237" s="462"/>
      <c r="B237" s="462"/>
      <c r="C237" s="462"/>
      <c r="D237" s="462"/>
      <c r="E237" s="462"/>
      <c r="F237" s="462"/>
      <c r="G237" s="462"/>
      <c r="H237" s="462"/>
      <c r="I237" s="462"/>
      <c r="J237" s="462"/>
      <c r="K237" s="462"/>
      <c r="L237" s="462"/>
    </row>
    <row r="238" spans="1:12" ht="14.25">
      <c r="A238" s="462"/>
      <c r="B238" s="462"/>
      <c r="C238" s="462"/>
      <c r="D238" s="462"/>
      <c r="E238" s="462"/>
      <c r="F238" s="462"/>
      <c r="G238" s="462"/>
      <c r="H238" s="462"/>
      <c r="I238" s="462"/>
      <c r="J238" s="462"/>
      <c r="K238" s="462"/>
      <c r="L238" s="462"/>
    </row>
    <row r="239" spans="1:12" ht="14.25">
      <c r="A239" s="462"/>
      <c r="B239" s="462"/>
      <c r="C239" s="462"/>
      <c r="D239" s="462"/>
      <c r="E239" s="462"/>
      <c r="F239" s="462"/>
      <c r="G239" s="462"/>
      <c r="H239" s="462"/>
      <c r="I239" s="462"/>
      <c r="J239" s="462"/>
      <c r="K239" s="462"/>
      <c r="L239" s="462"/>
    </row>
    <row r="240" spans="1:12" ht="14.25">
      <c r="A240" s="462"/>
      <c r="B240" s="462"/>
      <c r="C240" s="462"/>
      <c r="D240" s="462"/>
      <c r="E240" s="462"/>
      <c r="F240" s="462"/>
      <c r="G240" s="462"/>
      <c r="H240" s="462"/>
      <c r="I240" s="462"/>
      <c r="J240" s="462"/>
      <c r="K240" s="462"/>
      <c r="L240" s="462"/>
    </row>
    <row r="241" spans="1:12" ht="14.25">
      <c r="A241" s="462"/>
      <c r="B241" s="462"/>
      <c r="C241" s="462"/>
      <c r="D241" s="462"/>
      <c r="E241" s="462"/>
      <c r="F241" s="462"/>
      <c r="G241" s="462"/>
      <c r="H241" s="462"/>
      <c r="I241" s="462"/>
      <c r="J241" s="462"/>
      <c r="K241" s="462"/>
      <c r="L241" s="462"/>
    </row>
    <row r="242" spans="1:12" ht="14.25">
      <c r="A242" s="462"/>
      <c r="B242" s="462"/>
      <c r="C242" s="462"/>
      <c r="D242" s="462"/>
      <c r="E242" s="462"/>
      <c r="F242" s="462"/>
      <c r="G242" s="462"/>
      <c r="H242" s="462"/>
      <c r="I242" s="462"/>
      <c r="J242" s="462"/>
      <c r="K242" s="462"/>
      <c r="L242" s="462"/>
    </row>
    <row r="243" spans="1:12" ht="14.25">
      <c r="A243" s="462"/>
      <c r="B243" s="462"/>
      <c r="C243" s="462"/>
      <c r="D243" s="462"/>
      <c r="E243" s="462"/>
      <c r="F243" s="462"/>
      <c r="G243" s="462"/>
      <c r="H243" s="462"/>
      <c r="I243" s="462"/>
      <c r="J243" s="462"/>
      <c r="K243" s="462"/>
      <c r="L243" s="462"/>
    </row>
    <row r="244" spans="1:12" ht="14.25">
      <c r="A244" s="462"/>
      <c r="B244" s="462"/>
      <c r="C244" s="462"/>
      <c r="D244" s="462"/>
      <c r="E244" s="462"/>
      <c r="F244" s="462"/>
      <c r="G244" s="462"/>
      <c r="H244" s="462"/>
      <c r="I244" s="462"/>
      <c r="J244" s="462"/>
      <c r="K244" s="462"/>
      <c r="L244" s="462"/>
    </row>
    <row r="245" spans="1:12" ht="14.25">
      <c r="A245" s="462"/>
      <c r="B245" s="462"/>
      <c r="C245" s="462"/>
      <c r="D245" s="462"/>
      <c r="E245" s="462"/>
      <c r="F245" s="462"/>
      <c r="G245" s="462"/>
      <c r="H245" s="462"/>
      <c r="I245" s="462"/>
      <c r="J245" s="462"/>
      <c r="K245" s="462"/>
      <c r="L245" s="462"/>
    </row>
    <row r="246" spans="1:12" ht="14.25">
      <c r="A246" s="462"/>
      <c r="B246" s="462"/>
      <c r="C246" s="462"/>
      <c r="D246" s="462"/>
      <c r="E246" s="462"/>
      <c r="F246" s="462"/>
      <c r="G246" s="462"/>
      <c r="H246" s="462"/>
      <c r="I246" s="462"/>
      <c r="J246" s="462"/>
      <c r="K246" s="462"/>
      <c r="L246" s="462"/>
    </row>
    <row r="247" spans="1:12" ht="14.25">
      <c r="A247" s="462"/>
      <c r="B247" s="462"/>
      <c r="C247" s="462"/>
      <c r="D247" s="462"/>
      <c r="E247" s="462"/>
      <c r="F247" s="462"/>
      <c r="G247" s="462"/>
      <c r="H247" s="462"/>
      <c r="I247" s="462"/>
      <c r="J247" s="462"/>
      <c r="K247" s="462"/>
      <c r="L247" s="462"/>
    </row>
    <row r="248" spans="1:12" ht="14.25">
      <c r="A248" s="462"/>
      <c r="B248" s="462"/>
      <c r="C248" s="462"/>
      <c r="D248" s="462"/>
      <c r="E248" s="462"/>
      <c r="F248" s="462"/>
      <c r="G248" s="462"/>
      <c r="H248" s="462"/>
      <c r="I248" s="462"/>
      <c r="J248" s="462"/>
      <c r="K248" s="462"/>
      <c r="L248" s="462"/>
    </row>
    <row r="249" spans="1:12" ht="14.25">
      <c r="A249" s="462"/>
      <c r="B249" s="462"/>
      <c r="C249" s="462"/>
      <c r="D249" s="462"/>
      <c r="E249" s="462"/>
      <c r="F249" s="462"/>
      <c r="G249" s="462"/>
      <c r="H249" s="462"/>
      <c r="I249" s="462"/>
      <c r="J249" s="462"/>
      <c r="K249" s="462"/>
      <c r="L249" s="462"/>
    </row>
    <row r="250" spans="1:12" ht="14.25">
      <c r="A250" s="462"/>
      <c r="B250" s="462"/>
      <c r="C250" s="462"/>
      <c r="D250" s="462"/>
      <c r="E250" s="462"/>
      <c r="F250" s="462"/>
      <c r="G250" s="462"/>
      <c r="H250" s="462"/>
      <c r="I250" s="462"/>
      <c r="J250" s="462"/>
      <c r="K250" s="462"/>
      <c r="L250" s="462"/>
    </row>
    <row r="251" spans="1:12" ht="14.25">
      <c r="A251" s="462"/>
      <c r="B251" s="462"/>
      <c r="C251" s="462"/>
      <c r="D251" s="462"/>
      <c r="E251" s="462"/>
      <c r="F251" s="462"/>
      <c r="G251" s="462"/>
      <c r="H251" s="462"/>
      <c r="I251" s="462"/>
      <c r="J251" s="462"/>
      <c r="K251" s="462"/>
      <c r="L251" s="462"/>
    </row>
    <row r="252" spans="1:12" ht="14.25">
      <c r="A252" s="462"/>
      <c r="B252" s="462"/>
      <c r="C252" s="462"/>
      <c r="D252" s="462"/>
      <c r="E252" s="462"/>
      <c r="F252" s="462"/>
      <c r="G252" s="462"/>
      <c r="H252" s="462"/>
      <c r="I252" s="462"/>
      <c r="J252" s="462"/>
      <c r="K252" s="462"/>
      <c r="L252" s="462"/>
    </row>
    <row r="253" spans="1:12" ht="14.25">
      <c r="A253" s="462"/>
      <c r="B253" s="462"/>
      <c r="C253" s="462"/>
      <c r="D253" s="462"/>
      <c r="E253" s="462"/>
      <c r="F253" s="462"/>
      <c r="G253" s="462"/>
      <c r="H253" s="462"/>
      <c r="I253" s="462"/>
      <c r="J253" s="462"/>
      <c r="K253" s="462"/>
      <c r="L253" s="462"/>
    </row>
    <row r="254" spans="1:12" ht="14.25">
      <c r="A254" s="462"/>
      <c r="B254" s="462"/>
      <c r="C254" s="462"/>
      <c r="D254" s="462"/>
      <c r="E254" s="462"/>
      <c r="F254" s="462"/>
      <c r="G254" s="462"/>
      <c r="H254" s="462"/>
      <c r="I254" s="462"/>
      <c r="J254" s="462"/>
      <c r="K254" s="462"/>
      <c r="L254" s="462"/>
    </row>
    <row r="255" spans="1:12" ht="14.25">
      <c r="A255" s="462"/>
      <c r="B255" s="462"/>
      <c r="C255" s="462"/>
      <c r="D255" s="462"/>
      <c r="E255" s="462"/>
      <c r="F255" s="462"/>
      <c r="G255" s="462"/>
      <c r="H255" s="462"/>
      <c r="I255" s="462"/>
      <c r="J255" s="462"/>
      <c r="K255" s="462"/>
      <c r="L255" s="462"/>
    </row>
    <row r="256" spans="1:12" ht="14.25">
      <c r="A256" s="462"/>
      <c r="B256" s="462"/>
      <c r="C256" s="462"/>
      <c r="D256" s="462"/>
      <c r="E256" s="462"/>
      <c r="F256" s="462"/>
      <c r="G256" s="462"/>
      <c r="H256" s="462"/>
      <c r="I256" s="462"/>
      <c r="J256" s="462"/>
      <c r="K256" s="462"/>
      <c r="L256" s="462"/>
    </row>
    <row r="257" spans="1:12" ht="14.25">
      <c r="A257" s="462"/>
      <c r="B257" s="462"/>
      <c r="C257" s="462"/>
      <c r="D257" s="462"/>
      <c r="E257" s="462"/>
      <c r="F257" s="462"/>
      <c r="G257" s="462"/>
      <c r="H257" s="462"/>
      <c r="I257" s="462"/>
      <c r="J257" s="462"/>
      <c r="K257" s="462"/>
      <c r="L257" s="462"/>
    </row>
    <row r="258" spans="1:12" ht="14.25">
      <c r="A258" s="462"/>
      <c r="B258" s="462"/>
      <c r="C258" s="462"/>
      <c r="D258" s="462"/>
      <c r="E258" s="462"/>
      <c r="F258" s="462"/>
      <c r="G258" s="462"/>
      <c r="H258" s="462"/>
      <c r="I258" s="462"/>
      <c r="J258" s="462"/>
      <c r="K258" s="462"/>
      <c r="L258" s="462"/>
    </row>
    <row r="259" spans="1:12" ht="14.25">
      <c r="A259" s="462"/>
      <c r="B259" s="462"/>
      <c r="C259" s="462"/>
      <c r="D259" s="462"/>
      <c r="E259" s="462"/>
      <c r="F259" s="462"/>
      <c r="G259" s="462"/>
      <c r="H259" s="462"/>
      <c r="I259" s="462"/>
      <c r="J259" s="462"/>
      <c r="K259" s="462"/>
      <c r="L259" s="462"/>
    </row>
    <row r="260" spans="1:12" ht="14.25">
      <c r="A260" s="462"/>
      <c r="B260" s="462"/>
      <c r="C260" s="462"/>
      <c r="D260" s="462"/>
      <c r="E260" s="462"/>
      <c r="F260" s="462"/>
      <c r="G260" s="462"/>
      <c r="H260" s="462"/>
      <c r="I260" s="462"/>
      <c r="J260" s="462"/>
      <c r="K260" s="462"/>
      <c r="L260" s="462"/>
    </row>
    <row r="261" spans="1:12" ht="14.25">
      <c r="A261" s="462"/>
      <c r="B261" s="462"/>
      <c r="C261" s="462"/>
      <c r="D261" s="462"/>
      <c r="E261" s="462"/>
      <c r="F261" s="462"/>
      <c r="G261" s="462"/>
      <c r="H261" s="462"/>
      <c r="I261" s="462"/>
      <c r="J261" s="462"/>
      <c r="K261" s="462"/>
      <c r="L261" s="462"/>
    </row>
    <row r="262" spans="1:12" ht="14.25">
      <c r="A262" s="462"/>
      <c r="B262" s="462"/>
      <c r="C262" s="462"/>
      <c r="D262" s="462"/>
      <c r="E262" s="462"/>
      <c r="F262" s="462"/>
      <c r="G262" s="462"/>
      <c r="H262" s="462"/>
      <c r="I262" s="462"/>
      <c r="J262" s="462"/>
      <c r="K262" s="462"/>
      <c r="L262" s="462"/>
    </row>
    <row r="263" spans="1:12" ht="14.25">
      <c r="A263" s="462"/>
      <c r="B263" s="462"/>
      <c r="C263" s="462"/>
      <c r="D263" s="462"/>
      <c r="E263" s="462"/>
      <c r="F263" s="462"/>
      <c r="G263" s="462"/>
      <c r="H263" s="462"/>
      <c r="I263" s="462"/>
      <c r="J263" s="462"/>
      <c r="K263" s="462"/>
      <c r="L263" s="462"/>
    </row>
    <row r="264" spans="1:12" ht="14.25">
      <c r="A264" s="462"/>
      <c r="B264" s="462"/>
      <c r="C264" s="462"/>
      <c r="D264" s="462"/>
      <c r="E264" s="462"/>
      <c r="F264" s="462"/>
      <c r="G264" s="462"/>
      <c r="H264" s="462"/>
      <c r="I264" s="462"/>
      <c r="J264" s="462"/>
      <c r="K264" s="462"/>
      <c r="L264" s="462"/>
    </row>
    <row r="265" spans="1:12" ht="14.25">
      <c r="A265" s="462"/>
      <c r="B265" s="462"/>
      <c r="C265" s="462"/>
      <c r="D265" s="462"/>
      <c r="E265" s="462"/>
      <c r="F265" s="462"/>
      <c r="G265" s="462"/>
      <c r="H265" s="462"/>
      <c r="I265" s="462"/>
      <c r="J265" s="462"/>
      <c r="K265" s="462"/>
      <c r="L265" s="462"/>
    </row>
    <row r="266" spans="1:12" ht="14.25">
      <c r="A266" s="462"/>
      <c r="B266" s="462"/>
      <c r="C266" s="462"/>
      <c r="D266" s="462"/>
      <c r="E266" s="462"/>
      <c r="F266" s="462"/>
      <c r="G266" s="462"/>
      <c r="H266" s="462"/>
      <c r="I266" s="462"/>
      <c r="J266" s="462"/>
      <c r="K266" s="462"/>
      <c r="L266" s="462"/>
    </row>
    <row r="267" spans="1:12" ht="14.25">
      <c r="A267" s="462"/>
      <c r="B267" s="462"/>
      <c r="C267" s="462"/>
      <c r="D267" s="462"/>
      <c r="E267" s="462"/>
      <c r="F267" s="462"/>
      <c r="G267" s="462"/>
      <c r="H267" s="462"/>
      <c r="I267" s="462"/>
      <c r="J267" s="462"/>
      <c r="K267" s="462"/>
      <c r="L267" s="462"/>
    </row>
    <row r="268" spans="1:12" ht="14.25">
      <c r="A268" s="462"/>
      <c r="B268" s="462"/>
      <c r="C268" s="462"/>
      <c r="D268" s="462"/>
      <c r="E268" s="462"/>
      <c r="F268" s="462"/>
      <c r="G268" s="462"/>
      <c r="H268" s="462"/>
      <c r="I268" s="462"/>
      <c r="J268" s="462"/>
      <c r="K268" s="462"/>
      <c r="L268" s="462"/>
    </row>
    <row r="269" spans="1:12" ht="14.25">
      <c r="A269" s="462"/>
      <c r="B269" s="462"/>
      <c r="C269" s="462"/>
      <c r="D269" s="462"/>
      <c r="E269" s="462"/>
      <c r="F269" s="462"/>
      <c r="G269" s="462"/>
      <c r="H269" s="462"/>
      <c r="I269" s="462"/>
      <c r="J269" s="462"/>
      <c r="K269" s="462"/>
      <c r="L269" s="462"/>
    </row>
    <row r="270" spans="1:12" ht="14.25">
      <c r="A270" s="462"/>
      <c r="B270" s="462"/>
      <c r="C270" s="462"/>
      <c r="D270" s="462"/>
      <c r="E270" s="462"/>
      <c r="F270" s="462"/>
      <c r="G270" s="462"/>
      <c r="H270" s="462"/>
      <c r="I270" s="462"/>
      <c r="J270" s="462"/>
      <c r="K270" s="462"/>
      <c r="L270" s="462"/>
    </row>
    <row r="271" spans="1:12" ht="14.25">
      <c r="A271" s="462"/>
      <c r="B271" s="462"/>
      <c r="C271" s="462"/>
      <c r="D271" s="462"/>
      <c r="E271" s="462"/>
      <c r="F271" s="462"/>
      <c r="G271" s="462"/>
      <c r="H271" s="462"/>
      <c r="I271" s="462"/>
      <c r="J271" s="462"/>
      <c r="K271" s="462"/>
      <c r="L271" s="462"/>
    </row>
    <row r="272" spans="1:12" ht="14.25">
      <c r="A272" s="462"/>
      <c r="B272" s="462"/>
      <c r="C272" s="462"/>
      <c r="D272" s="462"/>
      <c r="E272" s="462"/>
      <c r="F272" s="462"/>
      <c r="G272" s="462"/>
      <c r="H272" s="462"/>
      <c r="I272" s="462"/>
      <c r="J272" s="462"/>
      <c r="K272" s="462"/>
      <c r="L272" s="462"/>
    </row>
    <row r="273" spans="1:12" ht="14.25">
      <c r="A273" s="462"/>
      <c r="B273" s="462"/>
      <c r="C273" s="462"/>
      <c r="D273" s="462"/>
      <c r="E273" s="462"/>
      <c r="F273" s="462"/>
      <c r="G273" s="462"/>
      <c r="H273" s="462"/>
      <c r="I273" s="462"/>
      <c r="J273" s="462"/>
      <c r="K273" s="462"/>
      <c r="L273" s="462"/>
    </row>
    <row r="274" spans="1:12" ht="14.25">
      <c r="A274" s="462"/>
      <c r="B274" s="462"/>
      <c r="C274" s="462"/>
      <c r="D274" s="462"/>
      <c r="E274" s="462"/>
      <c r="F274" s="462"/>
      <c r="G274" s="462"/>
      <c r="H274" s="462"/>
      <c r="I274" s="462"/>
      <c r="J274" s="462"/>
      <c r="K274" s="462"/>
      <c r="L274" s="462"/>
    </row>
    <row r="275" spans="1:12" ht="14.25">
      <c r="A275" s="462"/>
      <c r="B275" s="462"/>
      <c r="C275" s="462"/>
      <c r="D275" s="462"/>
      <c r="E275" s="462"/>
      <c r="F275" s="462"/>
      <c r="G275" s="462"/>
      <c r="H275" s="462"/>
      <c r="I275" s="462"/>
      <c r="J275" s="462"/>
      <c r="K275" s="462"/>
      <c r="L275" s="462"/>
    </row>
    <row r="276" spans="1:12" ht="14.25">
      <c r="A276" s="462"/>
      <c r="B276" s="462"/>
      <c r="C276" s="462"/>
      <c r="D276" s="462"/>
      <c r="E276" s="462"/>
      <c r="F276" s="462"/>
      <c r="G276" s="462"/>
      <c r="H276" s="462"/>
      <c r="I276" s="462"/>
      <c r="J276" s="462"/>
      <c r="K276" s="462"/>
      <c r="L276" s="462"/>
    </row>
    <row r="277" spans="1:12" ht="14.25">
      <c r="A277" s="462"/>
      <c r="B277" s="462"/>
      <c r="C277" s="462"/>
      <c r="D277" s="462"/>
      <c r="E277" s="462"/>
      <c r="F277" s="462"/>
      <c r="G277" s="462"/>
      <c r="H277" s="462"/>
      <c r="I277" s="462"/>
      <c r="J277" s="462"/>
      <c r="K277" s="462"/>
      <c r="L277" s="462"/>
    </row>
    <row r="278" spans="1:12" ht="14.25">
      <c r="A278" s="462"/>
      <c r="B278" s="462"/>
      <c r="C278" s="462"/>
      <c r="D278" s="462"/>
      <c r="E278" s="462"/>
      <c r="F278" s="462"/>
      <c r="G278" s="462"/>
      <c r="H278" s="462"/>
      <c r="I278" s="462"/>
      <c r="J278" s="462"/>
      <c r="K278" s="462"/>
      <c r="L278" s="462"/>
    </row>
    <row r="279" spans="1:12" ht="14.25">
      <c r="A279" s="462"/>
      <c r="B279" s="462"/>
      <c r="C279" s="462"/>
      <c r="D279" s="462"/>
      <c r="E279" s="462"/>
      <c r="F279" s="462"/>
      <c r="G279" s="462"/>
      <c r="H279" s="462"/>
      <c r="I279" s="462"/>
      <c r="J279" s="462"/>
      <c r="K279" s="462"/>
      <c r="L279" s="462"/>
    </row>
    <row r="280" spans="1:12" ht="14.25">
      <c r="A280" s="462"/>
      <c r="B280" s="462"/>
      <c r="C280" s="462"/>
      <c r="D280" s="462"/>
      <c r="E280" s="462"/>
      <c r="F280" s="462"/>
      <c r="G280" s="462"/>
      <c r="H280" s="462"/>
      <c r="I280" s="462"/>
      <c r="J280" s="462"/>
      <c r="K280" s="462"/>
      <c r="L280" s="462"/>
    </row>
    <row r="281" spans="1:12" ht="14.25">
      <c r="A281" s="462"/>
      <c r="B281" s="462"/>
      <c r="C281" s="462"/>
      <c r="D281" s="462"/>
      <c r="E281" s="462"/>
      <c r="F281" s="462"/>
      <c r="G281" s="462"/>
      <c r="H281" s="462"/>
      <c r="I281" s="462"/>
      <c r="J281" s="462"/>
      <c r="K281" s="462"/>
      <c r="L281" s="462"/>
    </row>
    <row r="282" spans="1:12" ht="14.25">
      <c r="A282" s="462"/>
      <c r="B282" s="462"/>
      <c r="C282" s="462"/>
      <c r="D282" s="462"/>
      <c r="E282" s="462"/>
      <c r="F282" s="462"/>
      <c r="G282" s="462"/>
      <c r="H282" s="462"/>
      <c r="I282" s="462"/>
      <c r="J282" s="462"/>
      <c r="K282" s="462"/>
      <c r="L282" s="462"/>
    </row>
    <row r="283" spans="1:12" ht="14.25">
      <c r="A283" s="462"/>
      <c r="B283" s="462"/>
      <c r="C283" s="462"/>
      <c r="D283" s="462"/>
      <c r="E283" s="462"/>
      <c r="F283" s="462"/>
      <c r="G283" s="462"/>
      <c r="H283" s="462"/>
      <c r="I283" s="462"/>
      <c r="J283" s="462"/>
      <c r="K283" s="462"/>
      <c r="L283" s="462"/>
    </row>
    <row r="284" spans="1:12" ht="14.25">
      <c r="A284" s="462"/>
      <c r="B284" s="462"/>
      <c r="C284" s="462"/>
      <c r="D284" s="462"/>
      <c r="E284" s="462"/>
      <c r="F284" s="462"/>
      <c r="G284" s="462"/>
      <c r="H284" s="462"/>
      <c r="I284" s="462"/>
      <c r="J284" s="462"/>
      <c r="K284" s="462"/>
      <c r="L284" s="462"/>
    </row>
    <row r="285" spans="1:12" ht="14.25">
      <c r="A285" s="462"/>
      <c r="B285" s="462"/>
      <c r="C285" s="462"/>
      <c r="D285" s="462"/>
      <c r="E285" s="462"/>
      <c r="F285" s="462"/>
      <c r="G285" s="462"/>
      <c r="H285" s="462"/>
      <c r="I285" s="462"/>
      <c r="J285" s="462"/>
      <c r="K285" s="462"/>
      <c r="L285" s="462"/>
    </row>
    <row r="286" spans="1:12" ht="14.25">
      <c r="A286" s="462"/>
      <c r="B286" s="462"/>
      <c r="C286" s="462"/>
      <c r="D286" s="462"/>
      <c r="E286" s="462"/>
      <c r="F286" s="462"/>
      <c r="G286" s="462"/>
      <c r="H286" s="462"/>
      <c r="I286" s="462"/>
      <c r="J286" s="462"/>
      <c r="K286" s="462"/>
      <c r="L286" s="462"/>
    </row>
    <row r="287" spans="1:12" ht="14.25">
      <c r="A287" s="462"/>
      <c r="B287" s="462"/>
      <c r="C287" s="462"/>
      <c r="D287" s="462"/>
      <c r="E287" s="462"/>
      <c r="F287" s="462"/>
      <c r="G287" s="462"/>
      <c r="H287" s="462"/>
      <c r="I287" s="462"/>
      <c r="J287" s="462"/>
      <c r="K287" s="462"/>
      <c r="L287" s="462"/>
    </row>
    <row r="288" spans="1:12" ht="14.25">
      <c r="A288" s="462"/>
      <c r="B288" s="462"/>
      <c r="C288" s="462"/>
      <c r="D288" s="462"/>
      <c r="E288" s="462"/>
      <c r="F288" s="462"/>
      <c r="G288" s="462"/>
      <c r="H288" s="462"/>
      <c r="I288" s="462"/>
      <c r="J288" s="462"/>
      <c r="K288" s="462"/>
      <c r="L288" s="462"/>
    </row>
    <row r="289" spans="1:12" ht="14.25">
      <c r="A289" s="462"/>
      <c r="B289" s="462"/>
      <c r="C289" s="462"/>
      <c r="D289" s="462"/>
      <c r="E289" s="462"/>
      <c r="F289" s="462"/>
      <c r="G289" s="462"/>
      <c r="H289" s="462"/>
      <c r="I289" s="462"/>
      <c r="J289" s="462"/>
      <c r="K289" s="462"/>
      <c r="L289" s="462"/>
    </row>
    <row r="290" spans="1:12" ht="14.25">
      <c r="A290" s="462"/>
      <c r="B290" s="462"/>
      <c r="C290" s="462"/>
      <c r="D290" s="462"/>
      <c r="E290" s="462"/>
      <c r="F290" s="462"/>
      <c r="G290" s="462"/>
      <c r="H290" s="462"/>
      <c r="I290" s="462"/>
      <c r="J290" s="462"/>
      <c r="K290" s="462"/>
      <c r="L290" s="462"/>
    </row>
    <row r="291" spans="1:12" ht="14.25">
      <c r="A291" s="462"/>
      <c r="B291" s="462"/>
      <c r="C291" s="462"/>
      <c r="D291" s="462"/>
      <c r="E291" s="462"/>
      <c r="F291" s="462"/>
      <c r="G291" s="462"/>
      <c r="H291" s="462"/>
      <c r="I291" s="462"/>
      <c r="J291" s="462"/>
      <c r="K291" s="462"/>
      <c r="L291" s="462"/>
    </row>
    <row r="292" spans="1:12" ht="14.25">
      <c r="A292" s="462"/>
      <c r="B292" s="462"/>
      <c r="C292" s="462"/>
      <c r="D292" s="462"/>
      <c r="E292" s="462"/>
      <c r="F292" s="462"/>
      <c r="G292" s="462"/>
      <c r="H292" s="462"/>
      <c r="I292" s="462"/>
      <c r="J292" s="462"/>
      <c r="K292" s="462"/>
      <c r="L292" s="462"/>
    </row>
    <row r="293" spans="1:12" ht="14.25">
      <c r="A293" s="462"/>
      <c r="B293" s="462"/>
      <c r="C293" s="462"/>
      <c r="D293" s="462"/>
      <c r="E293" s="462"/>
      <c r="F293" s="462"/>
      <c r="G293" s="462"/>
      <c r="H293" s="462"/>
      <c r="I293" s="462"/>
      <c r="J293" s="462"/>
      <c r="K293" s="462"/>
      <c r="L293" s="462"/>
    </row>
    <row r="294" spans="1:12" ht="14.25">
      <c r="A294" s="462"/>
      <c r="B294" s="462"/>
      <c r="C294" s="462"/>
      <c r="D294" s="462"/>
      <c r="E294" s="462"/>
      <c r="F294" s="462"/>
      <c r="G294" s="462"/>
      <c r="H294" s="462"/>
      <c r="I294" s="462"/>
      <c r="J294" s="462"/>
      <c r="K294" s="462"/>
      <c r="L294" s="462"/>
    </row>
    <row r="295" spans="1:12" ht="14.25">
      <c r="A295" s="462"/>
      <c r="B295" s="462"/>
      <c r="C295" s="462"/>
      <c r="D295" s="462"/>
      <c r="E295" s="462"/>
      <c r="F295" s="462"/>
      <c r="G295" s="462"/>
      <c r="H295" s="462"/>
      <c r="I295" s="462"/>
      <c r="J295" s="462"/>
      <c r="K295" s="462"/>
      <c r="L295" s="462"/>
    </row>
    <row r="296" spans="1:12" ht="14.25">
      <c r="A296" s="462"/>
      <c r="B296" s="462"/>
      <c r="C296" s="462"/>
      <c r="D296" s="462"/>
      <c r="E296" s="462"/>
      <c r="F296" s="462"/>
      <c r="G296" s="462"/>
      <c r="H296" s="462"/>
      <c r="I296" s="462"/>
      <c r="J296" s="462"/>
      <c r="K296" s="462"/>
      <c r="L296" s="462"/>
    </row>
    <row r="297" spans="1:12" ht="14.25">
      <c r="A297" s="462"/>
      <c r="B297" s="462"/>
      <c r="C297" s="462"/>
      <c r="D297" s="462"/>
      <c r="E297" s="462"/>
      <c r="F297" s="462"/>
      <c r="G297" s="462"/>
      <c r="H297" s="462"/>
      <c r="I297" s="462"/>
      <c r="J297" s="462"/>
      <c r="K297" s="462"/>
      <c r="L297" s="462"/>
    </row>
    <row r="298" spans="1:12" ht="14.25">
      <c r="A298" s="462"/>
      <c r="B298" s="462"/>
      <c r="C298" s="462"/>
      <c r="D298" s="462"/>
      <c r="E298" s="462"/>
      <c r="F298" s="462"/>
      <c r="G298" s="462"/>
      <c r="H298" s="462"/>
      <c r="I298" s="462"/>
      <c r="J298" s="462"/>
      <c r="K298" s="462"/>
      <c r="L298" s="462"/>
    </row>
    <row r="299" spans="1:12" ht="14.25">
      <c r="A299" s="462"/>
      <c r="B299" s="462"/>
      <c r="C299" s="462"/>
      <c r="D299" s="462"/>
      <c r="E299" s="462"/>
      <c r="F299" s="462"/>
      <c r="G299" s="462"/>
      <c r="H299" s="462"/>
      <c r="I299" s="462"/>
      <c r="J299" s="462"/>
      <c r="K299" s="462"/>
      <c r="L299" s="462"/>
    </row>
    <row r="300" spans="1:12" ht="14.25">
      <c r="A300" s="462"/>
      <c r="B300" s="462"/>
      <c r="C300" s="462"/>
      <c r="D300" s="462"/>
      <c r="E300" s="462"/>
      <c r="F300" s="462"/>
      <c r="G300" s="462"/>
      <c r="H300" s="462"/>
      <c r="I300" s="462"/>
      <c r="J300" s="462"/>
      <c r="K300" s="462"/>
      <c r="L300" s="462"/>
    </row>
    <row r="301" spans="1:12" ht="14.25">
      <c r="A301" s="462"/>
      <c r="B301" s="462"/>
      <c r="C301" s="462"/>
      <c r="D301" s="462"/>
      <c r="E301" s="462"/>
      <c r="F301" s="462"/>
      <c r="G301" s="462"/>
      <c r="H301" s="462"/>
      <c r="I301" s="462"/>
      <c r="J301" s="462"/>
      <c r="K301" s="462"/>
      <c r="L301" s="462"/>
    </row>
    <row r="302" spans="1:12" ht="14.25">
      <c r="A302" s="462"/>
      <c r="B302" s="462"/>
      <c r="C302" s="462"/>
      <c r="D302" s="462"/>
      <c r="E302" s="462"/>
      <c r="F302" s="462"/>
      <c r="G302" s="462"/>
      <c r="H302" s="462"/>
      <c r="I302" s="462"/>
      <c r="J302" s="462"/>
      <c r="K302" s="462"/>
      <c r="L302" s="462"/>
    </row>
    <row r="303" spans="1:12" ht="14.25">
      <c r="A303" s="462"/>
      <c r="B303" s="462"/>
      <c r="C303" s="462"/>
      <c r="D303" s="462"/>
      <c r="E303" s="462"/>
      <c r="F303" s="462"/>
      <c r="G303" s="462"/>
      <c r="H303" s="462"/>
      <c r="I303" s="462"/>
      <c r="J303" s="462"/>
      <c r="K303" s="462"/>
      <c r="L303" s="462"/>
    </row>
    <row r="304" spans="1:12" ht="14.25">
      <c r="A304" s="462"/>
      <c r="B304" s="462"/>
      <c r="C304" s="462"/>
      <c r="D304" s="462"/>
      <c r="E304" s="462"/>
      <c r="F304" s="462"/>
      <c r="G304" s="462"/>
      <c r="H304" s="462"/>
      <c r="I304" s="462"/>
      <c r="J304" s="462"/>
      <c r="K304" s="462"/>
      <c r="L304" s="462"/>
    </row>
    <row r="305" spans="1:12" ht="14.25">
      <c r="A305" s="462"/>
      <c r="B305" s="462"/>
      <c r="C305" s="462"/>
      <c r="D305" s="462"/>
      <c r="E305" s="462"/>
      <c r="F305" s="462"/>
      <c r="G305" s="462"/>
      <c r="H305" s="462"/>
      <c r="I305" s="462"/>
      <c r="J305" s="462"/>
      <c r="K305" s="462"/>
      <c r="L305" s="462"/>
    </row>
    <row r="306" spans="1:12" ht="14.25">
      <c r="A306" s="462"/>
      <c r="B306" s="462"/>
      <c r="C306" s="462"/>
      <c r="D306" s="462"/>
      <c r="E306" s="462"/>
      <c r="F306" s="462"/>
      <c r="G306" s="462"/>
      <c r="H306" s="462"/>
      <c r="I306" s="462"/>
      <c r="J306" s="462"/>
      <c r="K306" s="462"/>
      <c r="L306" s="462"/>
    </row>
    <row r="307" spans="1:12" ht="14.25">
      <c r="A307" s="462"/>
      <c r="B307" s="462"/>
      <c r="C307" s="462"/>
      <c r="D307" s="462"/>
      <c r="E307" s="462"/>
      <c r="F307" s="462"/>
      <c r="G307" s="462"/>
      <c r="H307" s="462"/>
      <c r="I307" s="462"/>
      <c r="J307" s="462"/>
      <c r="K307" s="462"/>
      <c r="L307" s="462"/>
    </row>
    <row r="308" spans="1:12" ht="14.25">
      <c r="A308" s="462"/>
      <c r="B308" s="462"/>
      <c r="C308" s="462"/>
      <c r="D308" s="462"/>
      <c r="E308" s="462"/>
      <c r="F308" s="462"/>
      <c r="G308" s="462"/>
      <c r="H308" s="462"/>
      <c r="I308" s="462"/>
      <c r="J308" s="462"/>
      <c r="K308" s="462"/>
      <c r="L308" s="462"/>
    </row>
    <row r="309" spans="1:12" ht="14.25">
      <c r="A309" s="462"/>
      <c r="B309" s="462"/>
      <c r="C309" s="462"/>
      <c r="D309" s="462"/>
      <c r="E309" s="462"/>
      <c r="F309" s="462"/>
      <c r="G309" s="462"/>
      <c r="H309" s="462"/>
      <c r="I309" s="462"/>
      <c r="J309" s="462"/>
      <c r="K309" s="462"/>
      <c r="L309" s="462"/>
    </row>
    <row r="310" spans="1:12" ht="14.25">
      <c r="A310" s="462"/>
      <c r="B310" s="462"/>
      <c r="C310" s="462"/>
      <c r="D310" s="462"/>
      <c r="E310" s="462"/>
      <c r="F310" s="462"/>
      <c r="G310" s="462"/>
      <c r="H310" s="462"/>
      <c r="I310" s="462"/>
      <c r="J310" s="462"/>
      <c r="K310" s="462"/>
      <c r="L310" s="462"/>
    </row>
    <row r="311" spans="1:12" ht="14.25">
      <c r="A311" s="462"/>
      <c r="B311" s="462"/>
      <c r="C311" s="462"/>
      <c r="D311" s="462"/>
      <c r="E311" s="462"/>
      <c r="F311" s="462"/>
      <c r="G311" s="462"/>
      <c r="H311" s="462"/>
      <c r="I311" s="462"/>
      <c r="J311" s="462"/>
      <c r="K311" s="462"/>
      <c r="L311" s="462"/>
    </row>
    <row r="312" spans="1:12" ht="14.25">
      <c r="A312" s="462"/>
      <c r="B312" s="462"/>
      <c r="C312" s="462"/>
      <c r="D312" s="462"/>
      <c r="E312" s="462"/>
      <c r="F312" s="462"/>
      <c r="G312" s="462"/>
      <c r="H312" s="462"/>
      <c r="I312" s="462"/>
      <c r="J312" s="462"/>
      <c r="K312" s="462"/>
      <c r="L312" s="462"/>
    </row>
    <row r="313" spans="1:12" ht="14.25">
      <c r="A313" s="462"/>
      <c r="B313" s="462"/>
      <c r="C313" s="462"/>
      <c r="D313" s="462"/>
      <c r="E313" s="462"/>
      <c r="F313" s="462"/>
      <c r="G313" s="462"/>
      <c r="H313" s="462"/>
      <c r="I313" s="462"/>
      <c r="J313" s="462"/>
      <c r="K313" s="462"/>
      <c r="L313" s="462"/>
    </row>
    <row r="314" spans="1:12" ht="14.25">
      <c r="A314" s="462"/>
      <c r="B314" s="462"/>
      <c r="C314" s="462"/>
      <c r="D314" s="462"/>
      <c r="E314" s="462"/>
      <c r="F314" s="462"/>
      <c r="G314" s="462"/>
      <c r="H314" s="462"/>
      <c r="I314" s="462"/>
      <c r="J314" s="462"/>
      <c r="K314" s="462"/>
      <c r="L314" s="462"/>
    </row>
    <row r="315" spans="1:12" ht="14.25">
      <c r="A315" s="462"/>
      <c r="B315" s="462"/>
      <c r="C315" s="462"/>
      <c r="D315" s="462"/>
      <c r="E315" s="462"/>
      <c r="F315" s="462"/>
      <c r="G315" s="462"/>
      <c r="H315" s="462"/>
      <c r="I315" s="462"/>
      <c r="J315" s="462"/>
      <c r="K315" s="462"/>
      <c r="L315" s="462"/>
    </row>
    <row r="316" spans="1:12" ht="14.25">
      <c r="A316" s="462"/>
      <c r="B316" s="462"/>
      <c r="C316" s="462"/>
      <c r="D316" s="462"/>
      <c r="E316" s="462"/>
      <c r="F316" s="462"/>
      <c r="G316" s="462"/>
      <c r="H316" s="462"/>
      <c r="I316" s="462"/>
      <c r="J316" s="462"/>
      <c r="K316" s="462"/>
      <c r="L316" s="462"/>
    </row>
    <row r="317" spans="1:12" ht="14.25">
      <c r="A317" s="462"/>
      <c r="B317" s="462"/>
      <c r="C317" s="462"/>
      <c r="D317" s="462"/>
      <c r="E317" s="462"/>
      <c r="F317" s="462"/>
      <c r="G317" s="462"/>
      <c r="H317" s="462"/>
      <c r="I317" s="462"/>
      <c r="J317" s="462"/>
      <c r="K317" s="462"/>
      <c r="L317" s="462"/>
    </row>
    <row r="318" spans="1:12" ht="14.25">
      <c r="A318" s="462"/>
      <c r="B318" s="462"/>
      <c r="C318" s="462"/>
      <c r="D318" s="462"/>
      <c r="E318" s="462"/>
      <c r="F318" s="462"/>
      <c r="G318" s="462"/>
      <c r="H318" s="462"/>
      <c r="I318" s="462"/>
      <c r="J318" s="462"/>
      <c r="K318" s="462"/>
      <c r="L318" s="462"/>
    </row>
    <row r="319" spans="1:12" ht="14.25">
      <c r="A319" s="462"/>
      <c r="B319" s="462"/>
      <c r="C319" s="462"/>
      <c r="D319" s="462"/>
      <c r="E319" s="462"/>
      <c r="F319" s="462"/>
      <c r="G319" s="462"/>
      <c r="H319" s="462"/>
      <c r="I319" s="462"/>
      <c r="J319" s="462"/>
      <c r="K319" s="462"/>
      <c r="L319" s="462"/>
    </row>
    <row r="320" spans="1:12" ht="14.25">
      <c r="A320" s="462"/>
      <c r="B320" s="462"/>
      <c r="C320" s="462"/>
      <c r="D320" s="462"/>
      <c r="E320" s="462"/>
      <c r="F320" s="462"/>
      <c r="G320" s="462"/>
      <c r="H320" s="462"/>
      <c r="I320" s="462"/>
      <c r="J320" s="462"/>
      <c r="K320" s="462"/>
      <c r="L320" s="462"/>
    </row>
    <row r="321" spans="1:12" ht="14.25">
      <c r="A321" s="462"/>
      <c r="B321" s="462"/>
      <c r="C321" s="462"/>
      <c r="D321" s="462"/>
      <c r="E321" s="462"/>
      <c r="F321" s="462"/>
      <c r="G321" s="462"/>
      <c r="H321" s="462"/>
      <c r="I321" s="462"/>
      <c r="J321" s="462"/>
      <c r="K321" s="462"/>
      <c r="L321" s="462"/>
    </row>
    <row r="322" spans="1:12" ht="14.25">
      <c r="A322" s="462"/>
      <c r="B322" s="462"/>
      <c r="C322" s="462"/>
      <c r="D322" s="462"/>
      <c r="E322" s="462"/>
      <c r="F322" s="462"/>
      <c r="G322" s="462"/>
      <c r="H322" s="462"/>
      <c r="I322" s="462"/>
      <c r="J322" s="462"/>
      <c r="K322" s="462"/>
      <c r="L322" s="462"/>
    </row>
    <row r="323" spans="1:12" ht="14.25">
      <c r="A323" s="462"/>
      <c r="B323" s="462"/>
      <c r="C323" s="462"/>
      <c r="D323" s="462"/>
      <c r="E323" s="462"/>
      <c r="F323" s="462"/>
      <c r="G323" s="462"/>
      <c r="H323" s="462"/>
      <c r="I323" s="462"/>
      <c r="J323" s="462"/>
      <c r="K323" s="462"/>
      <c r="L323" s="462"/>
    </row>
    <row r="324" spans="1:12" ht="14.25">
      <c r="A324" s="462"/>
      <c r="B324" s="462"/>
      <c r="C324" s="462"/>
      <c r="D324" s="462"/>
      <c r="E324" s="462"/>
      <c r="F324" s="462"/>
      <c r="G324" s="462"/>
      <c r="H324" s="462"/>
      <c r="I324" s="462"/>
      <c r="J324" s="462"/>
      <c r="K324" s="462"/>
      <c r="L324" s="462"/>
    </row>
    <row r="325" spans="1:12" ht="14.25">
      <c r="A325" s="462"/>
      <c r="B325" s="462"/>
      <c r="C325" s="462"/>
      <c r="D325" s="462"/>
      <c r="E325" s="462"/>
      <c r="F325" s="462"/>
      <c r="G325" s="462"/>
      <c r="H325" s="462"/>
      <c r="I325" s="462"/>
      <c r="J325" s="462"/>
      <c r="K325" s="462"/>
      <c r="L325" s="462"/>
    </row>
    <row r="326" spans="1:12" ht="14.25">
      <c r="A326" s="462"/>
      <c r="B326" s="462"/>
      <c r="C326" s="462"/>
      <c r="D326" s="462"/>
      <c r="E326" s="462"/>
      <c r="F326" s="462"/>
      <c r="G326" s="462"/>
      <c r="H326" s="462"/>
      <c r="I326" s="462"/>
      <c r="J326" s="462"/>
      <c r="K326" s="462"/>
      <c r="L326" s="462"/>
    </row>
    <row r="327" spans="1:12" ht="14.25">
      <c r="A327" s="462"/>
      <c r="B327" s="462"/>
      <c r="C327" s="462"/>
      <c r="D327" s="462"/>
      <c r="E327" s="462"/>
      <c r="F327" s="462"/>
      <c r="G327" s="462"/>
      <c r="H327" s="462"/>
      <c r="I327" s="462"/>
      <c r="J327" s="462"/>
      <c r="K327" s="462"/>
      <c r="L327" s="462"/>
    </row>
    <row r="328" spans="1:12" ht="14.25">
      <c r="A328" s="462"/>
      <c r="B328" s="462"/>
      <c r="C328" s="462"/>
      <c r="D328" s="462"/>
      <c r="E328" s="462"/>
      <c r="F328" s="462"/>
      <c r="G328" s="462"/>
      <c r="H328" s="462"/>
      <c r="I328" s="462"/>
      <c r="J328" s="462"/>
      <c r="K328" s="462"/>
      <c r="L328" s="462"/>
    </row>
    <row r="329" spans="1:12" ht="14.25">
      <c r="A329" s="462"/>
      <c r="B329" s="462"/>
      <c r="C329" s="462"/>
      <c r="D329" s="462"/>
      <c r="E329" s="462"/>
      <c r="F329" s="462"/>
      <c r="G329" s="462"/>
      <c r="H329" s="462"/>
      <c r="I329" s="462"/>
      <c r="J329" s="462"/>
      <c r="K329" s="462"/>
      <c r="L329" s="462"/>
    </row>
    <row r="330" spans="1:12" ht="14.25">
      <c r="A330" s="462"/>
      <c r="B330" s="462"/>
      <c r="C330" s="462"/>
      <c r="D330" s="462"/>
      <c r="E330" s="462"/>
      <c r="F330" s="462"/>
      <c r="G330" s="462"/>
      <c r="H330" s="462"/>
      <c r="I330" s="462"/>
      <c r="J330" s="462"/>
      <c r="K330" s="462"/>
      <c r="L330" s="462"/>
    </row>
    <row r="331" spans="1:12" ht="14.25">
      <c r="A331" s="462"/>
      <c r="B331" s="462"/>
      <c r="C331" s="462"/>
      <c r="D331" s="462"/>
      <c r="E331" s="462"/>
      <c r="F331" s="462"/>
      <c r="G331" s="462"/>
      <c r="H331" s="462"/>
      <c r="I331" s="462"/>
      <c r="J331" s="462"/>
      <c r="K331" s="462"/>
      <c r="L331" s="462"/>
    </row>
    <row r="332" spans="1:12" ht="14.25">
      <c r="A332" s="462"/>
      <c r="B332" s="462"/>
      <c r="C332" s="462"/>
      <c r="D332" s="462"/>
      <c r="E332" s="462"/>
      <c r="F332" s="462"/>
      <c r="G332" s="462"/>
      <c r="H332" s="462"/>
      <c r="I332" s="462"/>
      <c r="J332" s="462"/>
      <c r="K332" s="462"/>
      <c r="L332" s="462"/>
    </row>
    <row r="333" spans="1:12" ht="14.25">
      <c r="A333" s="462"/>
      <c r="B333" s="462"/>
      <c r="C333" s="462"/>
      <c r="D333" s="462"/>
      <c r="E333" s="462"/>
      <c r="F333" s="462"/>
      <c r="G333" s="462"/>
      <c r="H333" s="462"/>
      <c r="I333" s="462"/>
      <c r="J333" s="462"/>
      <c r="K333" s="462"/>
      <c r="L333" s="462"/>
    </row>
    <row r="334" spans="1:12" ht="14.25">
      <c r="A334" s="462"/>
      <c r="B334" s="462"/>
      <c r="C334" s="462"/>
      <c r="D334" s="462"/>
      <c r="E334" s="462"/>
      <c r="F334" s="462"/>
      <c r="G334" s="462"/>
      <c r="H334" s="462"/>
      <c r="I334" s="462"/>
      <c r="J334" s="462"/>
      <c r="K334" s="462"/>
      <c r="L334" s="462"/>
    </row>
    <row r="335" spans="1:12" ht="14.25">
      <c r="A335" s="462"/>
      <c r="B335" s="462"/>
      <c r="C335" s="462"/>
      <c r="D335" s="462"/>
      <c r="E335" s="462"/>
      <c r="F335" s="462"/>
      <c r="G335" s="462"/>
      <c r="H335" s="462"/>
      <c r="I335" s="462"/>
      <c r="J335" s="462"/>
      <c r="K335" s="462"/>
      <c r="L335" s="462"/>
    </row>
    <row r="336" spans="1:12" ht="14.25">
      <c r="A336" s="462"/>
      <c r="B336" s="462"/>
      <c r="C336" s="462"/>
      <c r="D336" s="462"/>
      <c r="E336" s="462"/>
      <c r="F336" s="462"/>
      <c r="G336" s="462"/>
      <c r="H336" s="462"/>
      <c r="I336" s="462"/>
      <c r="J336" s="462"/>
      <c r="K336" s="462"/>
      <c r="L336" s="462"/>
    </row>
    <row r="337" spans="1:12" ht="14.25">
      <c r="A337" s="462"/>
      <c r="B337" s="462"/>
      <c r="C337" s="462"/>
      <c r="D337" s="462"/>
      <c r="E337" s="462"/>
      <c r="F337" s="462"/>
      <c r="G337" s="462"/>
      <c r="H337" s="462"/>
      <c r="I337" s="462"/>
      <c r="J337" s="462"/>
      <c r="K337" s="462"/>
      <c r="L337" s="462"/>
    </row>
    <row r="338" spans="1:12" ht="14.25">
      <c r="A338" s="462"/>
      <c r="B338" s="462"/>
      <c r="C338" s="462"/>
      <c r="D338" s="462"/>
      <c r="E338" s="462"/>
      <c r="F338" s="462"/>
      <c r="G338" s="462"/>
      <c r="H338" s="462"/>
      <c r="I338" s="462"/>
      <c r="J338" s="462"/>
      <c r="K338" s="462"/>
      <c r="L338" s="462"/>
    </row>
    <row r="339" spans="1:12" ht="14.25">
      <c r="A339" s="462"/>
      <c r="B339" s="462"/>
      <c r="C339" s="462"/>
      <c r="D339" s="462"/>
      <c r="E339" s="462"/>
      <c r="F339" s="462"/>
      <c r="G339" s="462"/>
      <c r="H339" s="462"/>
      <c r="I339" s="462"/>
      <c r="J339" s="462"/>
      <c r="K339" s="462"/>
      <c r="L339" s="462"/>
    </row>
    <row r="340" spans="1:12" ht="14.25">
      <c r="A340" s="462"/>
      <c r="B340" s="462"/>
      <c r="C340" s="462"/>
      <c r="D340" s="462"/>
      <c r="E340" s="462"/>
      <c r="F340" s="462"/>
      <c r="G340" s="462"/>
      <c r="H340" s="462"/>
      <c r="I340" s="462"/>
      <c r="J340" s="462"/>
      <c r="K340" s="462"/>
      <c r="L340" s="462"/>
    </row>
    <row r="341" spans="1:12" ht="14.25">
      <c r="A341" s="462"/>
      <c r="B341" s="462"/>
      <c r="C341" s="462"/>
      <c r="D341" s="462"/>
      <c r="E341" s="462"/>
      <c r="F341" s="462"/>
      <c r="G341" s="462"/>
      <c r="H341" s="462"/>
      <c r="I341" s="462"/>
      <c r="J341" s="462"/>
      <c r="K341" s="462"/>
      <c r="L341" s="462"/>
    </row>
    <row r="342" spans="1:12" ht="14.25">
      <c r="A342" s="462"/>
      <c r="B342" s="462"/>
      <c r="C342" s="462"/>
      <c r="D342" s="462"/>
      <c r="E342" s="462"/>
      <c r="F342" s="462"/>
      <c r="G342" s="462"/>
      <c r="H342" s="462"/>
      <c r="I342" s="462"/>
      <c r="J342" s="462"/>
      <c r="K342" s="462"/>
      <c r="L342" s="462"/>
    </row>
    <row r="343" spans="1:12" ht="14.25">
      <c r="A343" s="462"/>
      <c r="B343" s="462"/>
      <c r="C343" s="462"/>
      <c r="D343" s="462"/>
      <c r="E343" s="462"/>
      <c r="F343" s="462"/>
      <c r="G343" s="462"/>
      <c r="H343" s="462"/>
      <c r="I343" s="462"/>
      <c r="J343" s="462"/>
      <c r="K343" s="462"/>
      <c r="L343" s="462"/>
    </row>
    <row r="344" spans="1:12" ht="14.25">
      <c r="A344" s="462"/>
      <c r="B344" s="462"/>
      <c r="C344" s="462"/>
      <c r="D344" s="462"/>
      <c r="E344" s="462"/>
      <c r="F344" s="462"/>
      <c r="G344" s="462"/>
      <c r="H344" s="462"/>
      <c r="I344" s="462"/>
      <c r="J344" s="462"/>
      <c r="K344" s="462"/>
      <c r="L344" s="462"/>
    </row>
    <row r="345" spans="1:12" ht="14.25">
      <c r="A345" s="462"/>
      <c r="B345" s="462"/>
      <c r="C345" s="462"/>
      <c r="D345" s="462"/>
      <c r="E345" s="462"/>
      <c r="F345" s="462"/>
      <c r="G345" s="462"/>
      <c r="H345" s="462"/>
      <c r="I345" s="462"/>
      <c r="J345" s="462"/>
      <c r="K345" s="462"/>
      <c r="L345" s="462"/>
    </row>
    <row r="346" spans="1:12" ht="14.25">
      <c r="A346" s="462"/>
      <c r="B346" s="462"/>
      <c r="C346" s="462"/>
      <c r="D346" s="462"/>
      <c r="E346" s="462"/>
      <c r="F346" s="462"/>
      <c r="G346" s="462"/>
      <c r="H346" s="462"/>
      <c r="I346" s="462"/>
      <c r="J346" s="462"/>
      <c r="K346" s="462"/>
      <c r="L346" s="462"/>
    </row>
    <row r="347" spans="1:12" ht="14.25">
      <c r="A347" s="462"/>
      <c r="B347" s="462"/>
      <c r="C347" s="462"/>
      <c r="D347" s="462"/>
      <c r="E347" s="462"/>
      <c r="F347" s="462"/>
      <c r="G347" s="462"/>
      <c r="H347" s="462"/>
      <c r="I347" s="462"/>
      <c r="J347" s="462"/>
      <c r="K347" s="462"/>
      <c r="L347" s="462"/>
    </row>
    <row r="348" spans="1:12" ht="14.25">
      <c r="A348" s="462"/>
      <c r="B348" s="462"/>
      <c r="C348" s="462"/>
      <c r="D348" s="462"/>
      <c r="E348" s="462"/>
      <c r="F348" s="462"/>
      <c r="G348" s="462"/>
      <c r="H348" s="462"/>
      <c r="I348" s="462"/>
      <c r="J348" s="462"/>
      <c r="K348" s="462"/>
      <c r="L348" s="462"/>
    </row>
    <row r="349" spans="1:12" ht="14.25">
      <c r="A349" s="462"/>
      <c r="B349" s="462"/>
      <c r="C349" s="462"/>
      <c r="D349" s="462"/>
      <c r="E349" s="462"/>
      <c r="F349" s="462"/>
      <c r="G349" s="462"/>
      <c r="H349" s="462"/>
      <c r="I349" s="462"/>
      <c r="J349" s="462"/>
      <c r="K349" s="462"/>
      <c r="L349" s="462"/>
    </row>
    <row r="350" spans="1:12" ht="14.25">
      <c r="A350" s="462"/>
      <c r="B350" s="462"/>
      <c r="C350" s="462"/>
      <c r="D350" s="462"/>
      <c r="E350" s="462"/>
      <c r="F350" s="462"/>
      <c r="G350" s="462"/>
      <c r="H350" s="462"/>
      <c r="I350" s="462"/>
      <c r="J350" s="462"/>
      <c r="K350" s="462"/>
      <c r="L350" s="462"/>
    </row>
    <row r="351" spans="1:12" ht="14.25">
      <c r="A351" s="462"/>
      <c r="B351" s="462"/>
      <c r="C351" s="462"/>
      <c r="D351" s="462"/>
      <c r="E351" s="462"/>
      <c r="F351" s="462"/>
      <c r="G351" s="462"/>
      <c r="H351" s="462"/>
      <c r="I351" s="462"/>
      <c r="J351" s="462"/>
      <c r="K351" s="462"/>
      <c r="L351" s="462"/>
    </row>
    <row r="352" spans="1:12" ht="14.25">
      <c r="A352" s="462"/>
      <c r="B352" s="462"/>
      <c r="C352" s="462"/>
      <c r="D352" s="462"/>
      <c r="E352" s="462"/>
      <c r="F352" s="462"/>
      <c r="G352" s="462"/>
      <c r="H352" s="462"/>
      <c r="I352" s="462"/>
      <c r="J352" s="462"/>
      <c r="K352" s="462"/>
      <c r="L352" s="462"/>
    </row>
    <row r="353" spans="1:12" ht="14.25">
      <c r="A353" s="462"/>
      <c r="B353" s="462"/>
      <c r="C353" s="462"/>
      <c r="D353" s="462"/>
      <c r="E353" s="462"/>
      <c r="F353" s="462"/>
      <c r="G353" s="462"/>
      <c r="H353" s="462"/>
      <c r="I353" s="462"/>
      <c r="J353" s="462"/>
      <c r="K353" s="462"/>
      <c r="L353" s="462"/>
    </row>
    <row r="354" spans="1:12" ht="14.25">
      <c r="A354" s="462"/>
      <c r="B354" s="462"/>
      <c r="C354" s="462"/>
      <c r="D354" s="462"/>
      <c r="E354" s="462"/>
      <c r="F354" s="462"/>
      <c r="G354" s="462"/>
      <c r="H354" s="462"/>
      <c r="I354" s="462"/>
      <c r="J354" s="462"/>
      <c r="K354" s="462"/>
      <c r="L354" s="462"/>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63" t="s">
        <v>697</v>
      </c>
    </row>
    <row r="3" ht="31.5">
      <c r="A3" s="464" t="s">
        <v>698</v>
      </c>
    </row>
    <row r="4" ht="15.75">
      <c r="A4" s="465" t="s">
        <v>699</v>
      </c>
    </row>
    <row r="7" ht="31.5">
      <c r="A7" s="464" t="s">
        <v>700</v>
      </c>
    </row>
    <row r="8" ht="15.75">
      <c r="A8" s="465" t="s">
        <v>701</v>
      </c>
    </row>
    <row r="11" ht="15.75">
      <c r="A11" s="1" t="s">
        <v>702</v>
      </c>
    </row>
    <row r="12" ht="15.75">
      <c r="A12" s="465" t="s">
        <v>703</v>
      </c>
    </row>
    <row r="15" ht="15.75">
      <c r="A15" s="1" t="s">
        <v>704</v>
      </c>
    </row>
    <row r="16" ht="15.75">
      <c r="A16" s="465" t="s">
        <v>705</v>
      </c>
    </row>
    <row r="19" ht="15.75">
      <c r="A19" s="1" t="s">
        <v>706</v>
      </c>
    </row>
    <row r="20" ht="15.75">
      <c r="A20" s="465" t="s">
        <v>707</v>
      </c>
    </row>
    <row r="23" ht="15.75">
      <c r="A23" s="1" t="s">
        <v>708</v>
      </c>
    </row>
    <row r="24" ht="15.75">
      <c r="A24" s="465" t="s">
        <v>709</v>
      </c>
    </row>
    <row r="27" ht="15.75">
      <c r="A27" s="1" t="s">
        <v>710</v>
      </c>
    </row>
    <row r="28" ht="15.75">
      <c r="A28" s="465" t="s">
        <v>711</v>
      </c>
    </row>
    <row r="31" ht="15.75">
      <c r="A31" s="1" t="s">
        <v>712</v>
      </c>
    </row>
    <row r="32" ht="15.75">
      <c r="A32" s="465" t="s">
        <v>713</v>
      </c>
    </row>
    <row r="35" ht="15.75">
      <c r="A35" s="1" t="s">
        <v>714</v>
      </c>
    </row>
    <row r="36" ht="15.75">
      <c r="A36" s="465" t="s">
        <v>715</v>
      </c>
    </row>
    <row r="39" ht="15.75">
      <c r="A39" s="1" t="s">
        <v>716</v>
      </c>
    </row>
    <row r="40" ht="15.75">
      <c r="A40" s="465" t="s">
        <v>717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61">
      <selection activeCell="A85" sqref="A85"/>
    </sheetView>
  </sheetViews>
  <sheetFormatPr defaultColWidth="8.796875" defaultRowHeight="15"/>
  <cols>
    <col min="1" max="1" width="15.796875" style="104" customWidth="1"/>
    <col min="2" max="2" width="20.796875" style="104" customWidth="1"/>
    <col min="3" max="3" width="9.796875" style="104" customWidth="1"/>
    <col min="4" max="4" width="15.09765625" style="104" customWidth="1"/>
    <col min="5" max="5" width="15.796875" style="104" customWidth="1"/>
    <col min="6" max="16384" width="8.8984375" style="104" customWidth="1"/>
  </cols>
  <sheetData>
    <row r="1" spans="1:5" ht="15.75">
      <c r="A1" s="175" t="str">
        <f>inputPrYr!$D$2</f>
        <v>City of Kechi </v>
      </c>
      <c r="B1" s="66"/>
      <c r="C1" s="66"/>
      <c r="D1" s="66"/>
      <c r="E1" s="174">
        <f>inputPrYr!C5</f>
        <v>2012</v>
      </c>
    </row>
    <row r="2" spans="1:5" ht="15">
      <c r="A2" s="66"/>
      <c r="B2" s="66"/>
      <c r="C2" s="66"/>
      <c r="D2" s="66"/>
      <c r="E2" s="66"/>
    </row>
    <row r="3" spans="1:5" ht="15.75">
      <c r="A3" s="642" t="s">
        <v>315</v>
      </c>
      <c r="B3" s="643"/>
      <c r="C3" s="643"/>
      <c r="D3" s="643"/>
      <c r="E3" s="643"/>
    </row>
    <row r="4" spans="1:5" ht="15">
      <c r="A4" s="66"/>
      <c r="B4" s="66"/>
      <c r="C4" s="66"/>
      <c r="D4" s="66"/>
      <c r="E4" s="66"/>
    </row>
    <row r="5" spans="1:5" ht="15">
      <c r="A5" s="66"/>
      <c r="B5" s="66"/>
      <c r="C5" s="66"/>
      <c r="D5" s="66"/>
      <c r="E5" s="66"/>
    </row>
    <row r="6" spans="1:5" ht="15.75">
      <c r="A6" s="57" t="str">
        <f>CONCATENATE("From the County Clerks ",E1," Budget Information:")</f>
        <v>From the County Clerks 2012 Budget Information:</v>
      </c>
      <c r="B6" s="58"/>
      <c r="C6" s="45"/>
      <c r="D6" s="45"/>
      <c r="E6" s="95"/>
    </row>
    <row r="7" spans="1:5" ht="15.75">
      <c r="A7" s="105" t="str">
        <f>CONCATENATE("Total Assessed Valuation for ",E1-1,"")</f>
        <v>Total Assessed Valuation for 2011</v>
      </c>
      <c r="B7" s="70"/>
      <c r="C7" s="70"/>
      <c r="D7" s="70"/>
      <c r="E7" s="65">
        <v>15545668</v>
      </c>
    </row>
    <row r="8" spans="1:5" ht="15.75">
      <c r="A8" s="105" t="str">
        <f>CONCATENATE("New Improvements for ",E1-1,"")</f>
        <v>New Improvements for 2011</v>
      </c>
      <c r="B8" s="70"/>
      <c r="C8" s="70"/>
      <c r="D8" s="70"/>
      <c r="E8" s="106">
        <v>137546</v>
      </c>
    </row>
    <row r="9" spans="1:5" ht="15.75">
      <c r="A9" s="105" t="str">
        <f>CONCATENATE("Personal Property excluding oil, gas, mobile homes - ",E1-1,"")</f>
        <v>Personal Property excluding oil, gas, mobile homes - 2011</v>
      </c>
      <c r="B9" s="70"/>
      <c r="C9" s="70"/>
      <c r="D9" s="70"/>
      <c r="E9" s="106">
        <v>393172</v>
      </c>
    </row>
    <row r="10" spans="1:5" ht="15.75">
      <c r="A10" s="107" t="s">
        <v>249</v>
      </c>
      <c r="B10" s="70"/>
      <c r="C10" s="70"/>
      <c r="D10" s="70"/>
      <c r="E10" s="85"/>
    </row>
    <row r="11" spans="1:5" ht="15.75">
      <c r="A11" s="105" t="s">
        <v>222</v>
      </c>
      <c r="B11" s="70"/>
      <c r="C11" s="70"/>
      <c r="D11" s="70"/>
      <c r="E11" s="106">
        <v>14451019</v>
      </c>
    </row>
    <row r="12" spans="1:5" ht="15.75">
      <c r="A12" s="105" t="s">
        <v>223</v>
      </c>
      <c r="B12" s="70"/>
      <c r="C12" s="70"/>
      <c r="D12" s="70"/>
      <c r="E12" s="106">
        <v>695380</v>
      </c>
    </row>
    <row r="13" spans="1:5" ht="15.75">
      <c r="A13" s="105" t="s">
        <v>224</v>
      </c>
      <c r="B13" s="70"/>
      <c r="C13" s="70"/>
      <c r="D13" s="70"/>
      <c r="E13" s="106">
        <v>137546</v>
      </c>
    </row>
    <row r="14" spans="1:5" ht="15.75">
      <c r="A14" s="105" t="str">
        <f>CONCATENATE("Property that has changed in use for ",E1-1,"")</f>
        <v>Property that has changed in use for 2011</v>
      </c>
      <c r="B14" s="70"/>
      <c r="C14" s="70"/>
      <c r="D14" s="70"/>
      <c r="E14" s="106">
        <v>978</v>
      </c>
    </row>
    <row r="15" spans="1:5" ht="15.75">
      <c r="A15" s="105" t="str">
        <f>CONCATENATE("Personal Property  excluding oil, gas, mobile homes- ",E1-2,"")</f>
        <v>Personal Property  excluding oil, gas, mobile homes- 2010</v>
      </c>
      <c r="B15" s="70"/>
      <c r="C15" s="70"/>
      <c r="D15" s="70"/>
      <c r="E15" s="106">
        <v>462505</v>
      </c>
    </row>
    <row r="16" spans="1:5" ht="15.75">
      <c r="A16" s="105" t="str">
        <f>CONCATENATE("Gross earnings (intangible) tax estimate for ",E1,"")</f>
        <v>Gross earnings (intangible) tax estimate for 2012</v>
      </c>
      <c r="B16" s="70"/>
      <c r="C16" s="70"/>
      <c r="D16" s="91"/>
      <c r="E16" s="65"/>
    </row>
    <row r="17" spans="1:5" ht="15.75">
      <c r="A17" s="105" t="s">
        <v>250</v>
      </c>
      <c r="B17" s="70"/>
      <c r="C17" s="70"/>
      <c r="D17" s="70"/>
      <c r="E17" s="101"/>
    </row>
    <row r="18" spans="1:5" ht="15.75">
      <c r="A18" s="73"/>
      <c r="B18" s="74"/>
      <c r="C18" s="74"/>
      <c r="D18" s="74"/>
      <c r="E18" s="82"/>
    </row>
    <row r="19" spans="1:5" ht="15.75">
      <c r="A19" s="73" t="str">
        <f>CONCATENATE("Actual Tax Rates for the ",E1-1," Budget:")</f>
        <v>Actual Tax Rates for the 2011 Budget:</v>
      </c>
      <c r="B19" s="74"/>
      <c r="C19" s="74"/>
      <c r="D19" s="74"/>
      <c r="E19" s="82"/>
    </row>
    <row r="20" spans="1:5" ht="15.75">
      <c r="A20" s="648" t="s">
        <v>91</v>
      </c>
      <c r="B20" s="649"/>
      <c r="C20" s="66"/>
      <c r="D20" s="108" t="s">
        <v>145</v>
      </c>
      <c r="E20" s="82"/>
    </row>
    <row r="21" spans="1:5" ht="15.75">
      <c r="A21" s="68" t="s">
        <v>75</v>
      </c>
      <c r="B21" s="69"/>
      <c r="C21" s="74"/>
      <c r="D21" s="109">
        <v>25.361</v>
      </c>
      <c r="E21" s="82"/>
    </row>
    <row r="22" spans="1:5" ht="15.75">
      <c r="A22" s="105" t="s">
        <v>47</v>
      </c>
      <c r="B22" s="70"/>
      <c r="C22" s="74"/>
      <c r="D22" s="110">
        <v>8.413</v>
      </c>
      <c r="E22" s="82"/>
    </row>
    <row r="23" spans="1:5" ht="15.75">
      <c r="A23" s="105" t="str">
        <f>IF(inputPrYr!B20&gt;" ",(inputPrYr!B20)," ")</f>
        <v> </v>
      </c>
      <c r="B23" s="70"/>
      <c r="C23" s="74"/>
      <c r="D23" s="110"/>
      <c r="E23" s="82"/>
    </row>
    <row r="24" spans="1:5" ht="15.75">
      <c r="A24" s="105" t="str">
        <f>IF(inputPrYr!B21&gt;" ",(inputPrYr!B21)," ")</f>
        <v> </v>
      </c>
      <c r="B24" s="70"/>
      <c r="C24" s="74"/>
      <c r="D24" s="110"/>
      <c r="E24" s="82"/>
    </row>
    <row r="25" spans="1:5" ht="15.75">
      <c r="A25" s="105" t="str">
        <f>IF(inputPrYr!B22&gt;" ",(inputPrYr!B22)," ")</f>
        <v> </v>
      </c>
      <c r="B25" s="70"/>
      <c r="C25" s="74"/>
      <c r="D25" s="110"/>
      <c r="E25" s="82"/>
    </row>
    <row r="26" spans="1:5" ht="15.75">
      <c r="A26" s="105" t="str">
        <f>IF(inputPrYr!B23&gt;" ",(inputPrYr!B23)," ")</f>
        <v> </v>
      </c>
      <c r="B26" s="111"/>
      <c r="C26" s="74"/>
      <c r="D26" s="112"/>
      <c r="E26" s="82"/>
    </row>
    <row r="27" spans="1:5" ht="15.75">
      <c r="A27" s="105" t="str">
        <f>IF(inputPrYr!B24&gt;" ",(inputPrYr!B24)," ")</f>
        <v> </v>
      </c>
      <c r="B27" s="111"/>
      <c r="C27" s="74"/>
      <c r="D27" s="112"/>
      <c r="E27" s="82"/>
    </row>
    <row r="28" spans="1:5" ht="15.75">
      <c r="A28" s="105" t="str">
        <f>IF(inputPrYr!B25&gt;" ",(inputPrYr!B25)," ")</f>
        <v> </v>
      </c>
      <c r="B28" s="111"/>
      <c r="C28" s="74"/>
      <c r="D28" s="112"/>
      <c r="E28" s="82"/>
    </row>
    <row r="29" spans="1:5" ht="15.75">
      <c r="A29" s="105" t="str">
        <f>IF(inputPrYr!B26&gt;" ",(inputPrYr!B26)," ")</f>
        <v> </v>
      </c>
      <c r="B29" s="111"/>
      <c r="C29" s="74"/>
      <c r="D29" s="112"/>
      <c r="E29" s="82"/>
    </row>
    <row r="30" spans="1:5" ht="15.75">
      <c r="A30" s="105" t="str">
        <f>IF(inputPrYr!B27&gt;" ",(inputPrYr!B27)," ")</f>
        <v> </v>
      </c>
      <c r="B30" s="111"/>
      <c r="C30" s="74"/>
      <c r="D30" s="112"/>
      <c r="E30" s="82"/>
    </row>
    <row r="31" spans="1:5" ht="15.75">
      <c r="A31" s="105" t="str">
        <f>IF(inputPrYr!B28&gt;" ",(inputPrYr!B28)," ")</f>
        <v> </v>
      </c>
      <c r="B31" s="111"/>
      <c r="C31" s="74"/>
      <c r="D31" s="112"/>
      <c r="E31" s="82"/>
    </row>
    <row r="32" spans="1:5" ht="15.75">
      <c r="A32" s="105" t="str">
        <f>IF(inputPrYr!B29&gt;" ",(inputPrYr!B29)," ")</f>
        <v> </v>
      </c>
      <c r="B32" s="111"/>
      <c r="C32" s="74"/>
      <c r="D32" s="112"/>
      <c r="E32" s="82"/>
    </row>
    <row r="33" spans="1:5" ht="15.75">
      <c r="A33" s="105" t="str">
        <f>IF(inputPrYr!B30&gt;" ",(inputPrYr!B30)," ")</f>
        <v> </v>
      </c>
      <c r="B33" s="111"/>
      <c r="C33" s="74"/>
      <c r="D33" s="112"/>
      <c r="E33" s="82"/>
    </row>
    <row r="34" spans="1:5" ht="15.75">
      <c r="A34" s="113"/>
      <c r="B34" s="63" t="s">
        <v>77</v>
      </c>
      <c r="C34" s="114"/>
      <c r="D34" s="115">
        <f>SUM(D21:D33)</f>
        <v>33.774</v>
      </c>
      <c r="E34" s="113"/>
    </row>
    <row r="35" spans="1:5" ht="15">
      <c r="A35" s="113"/>
      <c r="B35" s="113"/>
      <c r="C35" s="113"/>
      <c r="D35" s="113"/>
      <c r="E35" s="113"/>
    </row>
    <row r="36" spans="1:5" ht="15.75">
      <c r="A36" s="69" t="str">
        <f>CONCATENATE("Final Assessed Valuation from the November 1, ",E1-2," Abstract")</f>
        <v>Final Assessed Valuation from the November 1, 2010 Abstract</v>
      </c>
      <c r="B36" s="116"/>
      <c r="C36" s="116"/>
      <c r="D36" s="116"/>
      <c r="E36" s="101">
        <v>15480196</v>
      </c>
    </row>
    <row r="37" spans="1:5" ht="15">
      <c r="A37" s="113"/>
      <c r="B37" s="113"/>
      <c r="C37" s="113"/>
      <c r="D37" s="113"/>
      <c r="E37" s="113"/>
    </row>
    <row r="38" spans="1:5" ht="15.75">
      <c r="A38" s="117" t="str">
        <f>CONCATENATE("From the County Treasurer's Budget Information - ",E1," Budget Year Estimates:")</f>
        <v>From the County Treasurer's Budget Information - 2012 Budget Year Estimates:</v>
      </c>
      <c r="B38" s="56"/>
      <c r="C38" s="56"/>
      <c r="D38" s="118"/>
      <c r="E38" s="95"/>
    </row>
    <row r="39" spans="1:5" ht="15.75">
      <c r="A39" s="68" t="s">
        <v>78</v>
      </c>
      <c r="B39" s="69"/>
      <c r="C39" s="69"/>
      <c r="D39" s="119"/>
      <c r="E39" s="65">
        <v>76288</v>
      </c>
    </row>
    <row r="40" spans="1:5" ht="15.75">
      <c r="A40" s="105" t="s">
        <v>79</v>
      </c>
      <c r="B40" s="70"/>
      <c r="C40" s="70"/>
      <c r="D40" s="120"/>
      <c r="E40" s="65">
        <v>1477</v>
      </c>
    </row>
    <row r="41" spans="1:5" ht="15.75">
      <c r="A41" s="105" t="s">
        <v>251</v>
      </c>
      <c r="B41" s="70"/>
      <c r="C41" s="70"/>
      <c r="D41" s="120"/>
      <c r="E41" s="65">
        <v>837</v>
      </c>
    </row>
    <row r="42" spans="1:5" ht="15.75">
      <c r="A42" s="105" t="s">
        <v>252</v>
      </c>
      <c r="B42" s="70"/>
      <c r="C42" s="70"/>
      <c r="D42" s="120"/>
      <c r="E42" s="65"/>
    </row>
    <row r="43" spans="1:5" ht="15.75">
      <c r="A43" s="105" t="s">
        <v>253</v>
      </c>
      <c r="B43" s="70"/>
      <c r="C43" s="70"/>
      <c r="D43" s="120"/>
      <c r="E43" s="65"/>
    </row>
    <row r="44" spans="1:5" ht="15.75">
      <c r="A44" s="68" t="s">
        <v>254</v>
      </c>
      <c r="B44" s="69"/>
      <c r="C44" s="69"/>
      <c r="D44" s="119"/>
      <c r="E44" s="65"/>
    </row>
    <row r="45" spans="1:5" ht="15.75">
      <c r="A45" s="45" t="s">
        <v>255</v>
      </c>
      <c r="B45" s="45"/>
      <c r="C45" s="45"/>
      <c r="D45" s="45"/>
      <c r="E45" s="45"/>
    </row>
    <row r="46" spans="1:5" ht="15.75">
      <c r="A46" s="44" t="s">
        <v>98</v>
      </c>
      <c r="B46" s="54"/>
      <c r="C46" s="54"/>
      <c r="D46" s="45"/>
      <c r="E46" s="45"/>
    </row>
    <row r="47" spans="1:5" ht="15.75">
      <c r="A47" s="73" t="str">
        <f>CONCATENATE("Actual Delinquency for ",E1-3," Tax - (round to three decimal places)")</f>
        <v>Actual Delinquency for 2009 Tax - (round to three decimal places)</v>
      </c>
      <c r="B47" s="74"/>
      <c r="C47" s="45"/>
      <c r="D47" s="45"/>
      <c r="E47" s="545">
        <v>3.12</v>
      </c>
    </row>
    <row r="48" spans="1:5" ht="15.75">
      <c r="A48" s="68" t="s">
        <v>256</v>
      </c>
      <c r="B48" s="68"/>
      <c r="C48" s="69"/>
      <c r="D48" s="69"/>
      <c r="E48" s="352"/>
    </row>
    <row r="49" spans="1:5" ht="15.75">
      <c r="A49" s="45"/>
      <c r="B49" s="45"/>
      <c r="C49" s="45"/>
      <c r="D49" s="45"/>
      <c r="E49" s="45"/>
    </row>
    <row r="50" spans="1:5" ht="15.75">
      <c r="A50" s="121" t="s">
        <v>4</v>
      </c>
      <c r="B50" s="122"/>
      <c r="C50" s="123"/>
      <c r="D50" s="123"/>
      <c r="E50" s="123"/>
    </row>
    <row r="51" spans="1:5" ht="15.75">
      <c r="A51" s="124" t="str">
        <f>CONCATENATE("",E1," State Distribution for Kansas Gas Tax")</f>
        <v>2012 State Distribution for Kansas Gas Tax</v>
      </c>
      <c r="B51" s="125"/>
      <c r="C51" s="125"/>
      <c r="D51" s="126"/>
      <c r="E51" s="101">
        <v>46890</v>
      </c>
    </row>
    <row r="52" spans="1:5" ht="15.75">
      <c r="A52" s="127" t="str">
        <f>CONCATENATE("",E1," County Transfers for Gas**")</f>
        <v>2012 County Transfers for Gas**</v>
      </c>
      <c r="B52" s="128"/>
      <c r="C52" s="128"/>
      <c r="D52" s="129"/>
      <c r="E52" s="101">
        <v>21560</v>
      </c>
    </row>
    <row r="53" spans="1:5" ht="15.75">
      <c r="A53" s="127" t="str">
        <f>CONCATENATE("Adjusted ",E1-1," State Distribution for Kansas Gas Tax")</f>
        <v>Adjusted 2011 State Distribution for Kansas Gas Tax</v>
      </c>
      <c r="B53" s="128"/>
      <c r="C53" s="128"/>
      <c r="D53" s="129"/>
      <c r="E53" s="101">
        <v>47430</v>
      </c>
    </row>
    <row r="54" spans="1:5" ht="15.75">
      <c r="A54" s="127" t="str">
        <f>CONCATENATE("Adjusted ",E1-1," County Transfers for Gas**")</f>
        <v>Adjusted 2011 County Transfers for Gas**</v>
      </c>
      <c r="B54" s="128"/>
      <c r="C54" s="128"/>
      <c r="D54" s="129"/>
      <c r="E54" s="101">
        <v>22110</v>
      </c>
    </row>
    <row r="55" spans="1:5" ht="15">
      <c r="A55" s="650" t="s">
        <v>310</v>
      </c>
      <c r="B55" s="651"/>
      <c r="C55" s="651"/>
      <c r="D55" s="651"/>
      <c r="E55" s="651"/>
    </row>
    <row r="56" spans="1:5" ht="15">
      <c r="A56" s="130" t="s">
        <v>311</v>
      </c>
      <c r="B56" s="130"/>
      <c r="C56" s="130"/>
      <c r="D56" s="130"/>
      <c r="E56" s="130"/>
    </row>
    <row r="57" spans="1:5" ht="15">
      <c r="A57" s="66"/>
      <c r="B57" s="66"/>
      <c r="C57" s="66"/>
      <c r="D57" s="66"/>
      <c r="E57" s="66"/>
    </row>
    <row r="58" spans="1:5" ht="15.75">
      <c r="A58" s="652" t="str">
        <f>CONCATENATE("From the ",E1-2," Budget Certificate Page")</f>
        <v>From the 2010 Budget Certificate Page</v>
      </c>
      <c r="B58" s="653"/>
      <c r="C58" s="66"/>
      <c r="D58" s="66"/>
      <c r="E58" s="66"/>
    </row>
    <row r="59" spans="1:5" ht="15.75">
      <c r="A59" s="131"/>
      <c r="B59" s="131" t="str">
        <f>CONCATENATE("",E1-2," Expenditure Amounts")</f>
        <v>2010 Expenditure Amounts</v>
      </c>
      <c r="C59" s="646" t="str">
        <f>CONCATENATE("Note: If the ",E1-2," budget was amended, then the")</f>
        <v>Note: If the 2010 budget was amended, then the</v>
      </c>
      <c r="D59" s="647"/>
      <c r="E59" s="647"/>
    </row>
    <row r="60" spans="1:5" ht="15.75">
      <c r="A60" s="132" t="s">
        <v>12</v>
      </c>
      <c r="B60" s="132" t="s">
        <v>13</v>
      </c>
      <c r="C60" s="133" t="s">
        <v>14</v>
      </c>
      <c r="D60" s="134"/>
      <c r="E60" s="134"/>
    </row>
    <row r="61" spans="1:5" ht="15.75">
      <c r="A61" s="135" t="str">
        <f>inputPrYr!B17</f>
        <v>General</v>
      </c>
      <c r="B61" s="101">
        <v>822975</v>
      </c>
      <c r="C61" s="133" t="s">
        <v>15</v>
      </c>
      <c r="D61" s="134"/>
      <c r="E61" s="134"/>
    </row>
    <row r="62" spans="1:5" ht="15.75">
      <c r="A62" s="135" t="str">
        <f>inputPrYr!B18</f>
        <v>Debt Service</v>
      </c>
      <c r="B62" s="101">
        <v>746802</v>
      </c>
      <c r="C62" s="133"/>
      <c r="D62" s="134"/>
      <c r="E62" s="134"/>
    </row>
    <row r="63" spans="1:5" ht="15.75">
      <c r="A63" s="135">
        <f>inputPrYr!B20</f>
        <v>0</v>
      </c>
      <c r="B63" s="101"/>
      <c r="C63" s="66"/>
      <c r="D63" s="66"/>
      <c r="E63" s="66"/>
    </row>
    <row r="64" spans="1:5" ht="15.75">
      <c r="A64" s="135">
        <f>inputPrYr!B21</f>
        <v>0</v>
      </c>
      <c r="B64" s="101"/>
      <c r="C64" s="66"/>
      <c r="D64" s="66"/>
      <c r="E64" s="66"/>
    </row>
    <row r="65" spans="1:5" ht="15.75">
      <c r="A65" s="135">
        <f>inputPrYr!B22</f>
        <v>0</v>
      </c>
      <c r="B65" s="101"/>
      <c r="C65" s="66"/>
      <c r="D65" s="66"/>
      <c r="E65" s="66"/>
    </row>
    <row r="66" spans="1:5" ht="15.75">
      <c r="A66" s="135">
        <f>inputPrYr!B23</f>
        <v>0</v>
      </c>
      <c r="B66" s="101"/>
      <c r="C66" s="66"/>
      <c r="D66" s="66"/>
      <c r="E66" s="66"/>
    </row>
    <row r="67" spans="1:5" ht="15.75">
      <c r="A67" s="135">
        <f>inputPrYr!B24</f>
        <v>0</v>
      </c>
      <c r="B67" s="101"/>
      <c r="C67" s="66"/>
      <c r="D67" s="66"/>
      <c r="E67" s="66"/>
    </row>
    <row r="68" spans="1:5" ht="15.75">
      <c r="A68" s="135">
        <f>inputPrYr!B25</f>
        <v>0</v>
      </c>
      <c r="B68" s="101"/>
      <c r="C68" s="66"/>
      <c r="D68" s="66"/>
      <c r="E68" s="66"/>
    </row>
    <row r="69" spans="1:5" ht="15.75">
      <c r="A69" s="135">
        <f>inputPrYr!B26</f>
        <v>0</v>
      </c>
      <c r="B69" s="101"/>
      <c r="C69" s="66"/>
      <c r="D69" s="66"/>
      <c r="E69" s="66"/>
    </row>
    <row r="70" spans="1:5" ht="15.75">
      <c r="A70" s="135">
        <f>inputPrYr!B27</f>
        <v>0</v>
      </c>
      <c r="B70" s="101"/>
      <c r="C70" s="66"/>
      <c r="D70" s="66"/>
      <c r="E70" s="66"/>
    </row>
    <row r="71" spans="1:5" ht="15.75">
      <c r="A71" s="135">
        <f>inputPrYr!B28</f>
        <v>0</v>
      </c>
      <c r="B71" s="101"/>
      <c r="C71" s="66"/>
      <c r="D71" s="66"/>
      <c r="E71" s="66"/>
    </row>
    <row r="72" spans="1:5" ht="15.75">
      <c r="A72" s="135">
        <f>inputPrYr!B29</f>
        <v>0</v>
      </c>
      <c r="B72" s="101"/>
      <c r="C72" s="66"/>
      <c r="D72" s="66"/>
      <c r="E72" s="66"/>
    </row>
    <row r="73" spans="1:5" ht="15.75">
      <c r="A73" s="135">
        <f>inputPrYr!B30</f>
        <v>0</v>
      </c>
      <c r="B73" s="101"/>
      <c r="C73" s="66"/>
      <c r="D73" s="66"/>
      <c r="E73" s="66"/>
    </row>
    <row r="74" spans="1:5" ht="15.75">
      <c r="A74" s="135" t="str">
        <f>inputPrYr!B34</f>
        <v>Special Highway</v>
      </c>
      <c r="B74" s="101">
        <v>65000</v>
      </c>
      <c r="C74" s="66"/>
      <c r="D74" s="66"/>
      <c r="E74" s="66"/>
    </row>
    <row r="75" spans="1:5" ht="15.75">
      <c r="A75" s="135">
        <f>inputPrYr!B35</f>
        <v>0</v>
      </c>
      <c r="B75" s="101"/>
      <c r="C75" s="66"/>
      <c r="D75" s="66"/>
      <c r="E75" s="66"/>
    </row>
    <row r="76" spans="1:5" ht="15.75">
      <c r="A76" s="135" t="str">
        <f>inputPrYr!B36</f>
        <v>Water</v>
      </c>
      <c r="B76" s="101">
        <v>302000</v>
      </c>
      <c r="C76" s="66"/>
      <c r="D76" s="66"/>
      <c r="E76" s="66"/>
    </row>
    <row r="77" spans="1:5" ht="15.75">
      <c r="A77" s="135" t="str">
        <f>inputPrYr!B37</f>
        <v>Water Reserve</v>
      </c>
      <c r="B77" s="101"/>
      <c r="C77" s="66"/>
      <c r="D77" s="66"/>
      <c r="E77" s="66"/>
    </row>
    <row r="78" spans="1:5" ht="15.75">
      <c r="A78" s="135" t="str">
        <f>inputPrYr!B38</f>
        <v>Sewer</v>
      </c>
      <c r="B78" s="101">
        <v>210100</v>
      </c>
      <c r="C78" s="66"/>
      <c r="D78" s="66"/>
      <c r="E78" s="66"/>
    </row>
    <row r="79" spans="1:5" ht="15.75">
      <c r="A79" s="135" t="str">
        <f>inputPrYr!B39</f>
        <v>Sewer Reserve</v>
      </c>
      <c r="B79" s="101">
        <v>10000</v>
      </c>
      <c r="C79" s="66"/>
      <c r="D79" s="66"/>
      <c r="E79" s="66"/>
    </row>
    <row r="80" spans="1:5" ht="15.75">
      <c r="A80" s="135" t="str">
        <f>inputPrYr!B40</f>
        <v>Gas</v>
      </c>
      <c r="B80" s="101">
        <v>767000</v>
      </c>
      <c r="C80" s="66"/>
      <c r="D80" s="66"/>
      <c r="E80" s="66"/>
    </row>
    <row r="81" spans="1:5" ht="15.75">
      <c r="A81" s="135" t="str">
        <f>inputPrYr!B41</f>
        <v>Gas Reserve</v>
      </c>
      <c r="B81" s="101">
        <v>9650</v>
      </c>
      <c r="C81" s="66"/>
      <c r="D81" s="66"/>
      <c r="E81" s="66"/>
    </row>
    <row r="82" spans="1:5" ht="15.75">
      <c r="A82" s="135" t="str">
        <f>inputPrYr!B42</f>
        <v>Equipment Reserve</v>
      </c>
      <c r="B82" s="101">
        <v>29052</v>
      </c>
      <c r="C82" s="66"/>
      <c r="D82" s="66"/>
      <c r="E82" s="66"/>
    </row>
    <row r="83" spans="1:5" ht="15.75">
      <c r="A83" s="135" t="str">
        <f>inputPrYr!B43</f>
        <v>Capital Improvements</v>
      </c>
      <c r="B83" s="101">
        <v>25000</v>
      </c>
      <c r="C83" s="66"/>
      <c r="D83" s="66"/>
      <c r="E83" s="66"/>
    </row>
    <row r="84" spans="1:5" ht="15.75">
      <c r="A84" s="135" t="str">
        <f>inputPrYr!B44</f>
        <v>Recycling</v>
      </c>
      <c r="B84" s="101">
        <v>40000</v>
      </c>
      <c r="C84" s="66"/>
      <c r="D84" s="66"/>
      <c r="E84" s="66"/>
    </row>
    <row r="85" spans="1:5" ht="15.75">
      <c r="A85" s="135" t="str">
        <f>inputPrYr!B45</f>
        <v>Solid Waste</v>
      </c>
      <c r="B85" s="101">
        <v>76000</v>
      </c>
      <c r="C85" s="66"/>
      <c r="D85" s="66"/>
      <c r="E85" s="66"/>
    </row>
    <row r="86" spans="1:5" ht="15.75">
      <c r="A86" s="135">
        <f>inputPrYr!B46</f>
        <v>0</v>
      </c>
      <c r="B86" s="101"/>
      <c r="C86" s="66"/>
      <c r="D86" s="66"/>
      <c r="E86" s="66"/>
    </row>
    <row r="87" spans="1:5" ht="15.75">
      <c r="A87" s="135">
        <f>inputPrYr!B47</f>
        <v>0</v>
      </c>
      <c r="B87" s="101"/>
      <c r="C87" s="66"/>
      <c r="D87" s="66"/>
      <c r="E87" s="66"/>
    </row>
    <row r="88" spans="1:5" ht="15.75">
      <c r="A88" s="135">
        <f>inputPrYr!B48</f>
        <v>0</v>
      </c>
      <c r="B88" s="101"/>
      <c r="C88" s="66"/>
      <c r="D88" s="66"/>
      <c r="E88" s="66"/>
    </row>
    <row r="89" spans="1:5" ht="15.75">
      <c r="A89" s="135">
        <f>inputPrYr!B49</f>
        <v>0</v>
      </c>
      <c r="B89" s="101"/>
      <c r="C89" s="66"/>
      <c r="D89" s="66"/>
      <c r="E89" s="66"/>
    </row>
    <row r="90" spans="1:5" ht="15.75">
      <c r="A90" s="135">
        <f>inputPrYr!B51</f>
        <v>0</v>
      </c>
      <c r="B90" s="101"/>
      <c r="C90" s="66"/>
      <c r="D90" s="66"/>
      <c r="E90" s="66"/>
    </row>
    <row r="91" spans="1:5" ht="15.75">
      <c r="A91" s="135">
        <f>inputPrYr!B52</f>
        <v>0</v>
      </c>
      <c r="B91" s="101"/>
      <c r="C91" s="66"/>
      <c r="D91" s="66"/>
      <c r="E91" s="66"/>
    </row>
    <row r="92" spans="1:5" ht="15.75">
      <c r="A92" s="135">
        <f>inputPrYr!B53</f>
        <v>0</v>
      </c>
      <c r="B92" s="101"/>
      <c r="C92" s="66"/>
      <c r="D92" s="66"/>
      <c r="E92" s="66"/>
    </row>
    <row r="93" spans="1:5" ht="15.75">
      <c r="A93" s="135">
        <f>inputPrYr!B54</f>
        <v>0</v>
      </c>
      <c r="B93" s="101"/>
      <c r="C93" s="66"/>
      <c r="D93" s="66"/>
      <c r="E93" s="66"/>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46">
      <selection activeCell="D18" sqref="D18"/>
    </sheetView>
  </sheetViews>
  <sheetFormatPr defaultColWidth="8.796875" defaultRowHeight="15"/>
  <cols>
    <col min="1" max="1" width="80.09765625" style="30" customWidth="1"/>
    <col min="2" max="16384" width="8.8984375" style="30" customWidth="1"/>
  </cols>
  <sheetData>
    <row r="1" ht="15.75">
      <c r="A1" s="502" t="s">
        <v>813</v>
      </c>
    </row>
    <row r="2" ht="15.75">
      <c r="A2" s="30" t="s">
        <v>814</v>
      </c>
    </row>
    <row r="4" ht="15.75">
      <c r="A4" s="502" t="s">
        <v>809</v>
      </c>
    </row>
    <row r="5" ht="15.75">
      <c r="A5" s="30" t="s">
        <v>810</v>
      </c>
    </row>
    <row r="6" ht="15.75">
      <c r="A6" s="30" t="s">
        <v>811</v>
      </c>
    </row>
    <row r="7" ht="15.75">
      <c r="A7" s="30" t="s">
        <v>812</v>
      </c>
    </row>
    <row r="9" ht="15.75">
      <c r="A9" s="502" t="s">
        <v>807</v>
      </c>
    </row>
    <row r="10" ht="15.75">
      <c r="A10" s="482" t="s">
        <v>808</v>
      </c>
    </row>
    <row r="12" ht="15.75">
      <c r="A12" s="502" t="s">
        <v>779</v>
      </c>
    </row>
    <row r="13" ht="15.75">
      <c r="A13" s="30" t="s">
        <v>780</v>
      </c>
    </row>
    <row r="15" ht="15.75">
      <c r="A15" s="502" t="s">
        <v>751</v>
      </c>
    </row>
    <row r="16" ht="15.75">
      <c r="A16" s="482" t="s">
        <v>743</v>
      </c>
    </row>
    <row r="17" ht="15.75">
      <c r="A17" s="482" t="s">
        <v>744</v>
      </c>
    </row>
    <row r="18" ht="31.5">
      <c r="A18" s="469" t="s">
        <v>745</v>
      </c>
    </row>
    <row r="19" ht="15.75">
      <c r="A19" s="482" t="s">
        <v>781</v>
      </c>
    </row>
    <row r="20" ht="15.75">
      <c r="A20" s="482" t="s">
        <v>782</v>
      </c>
    </row>
    <row r="21" ht="15.75">
      <c r="A21" s="482" t="s">
        <v>783</v>
      </c>
    </row>
    <row r="22" ht="15.75">
      <c r="A22" s="482" t="s">
        <v>784</v>
      </c>
    </row>
    <row r="23" ht="15.75">
      <c r="A23" s="482" t="s">
        <v>785</v>
      </c>
    </row>
    <row r="24" ht="15.75">
      <c r="A24" s="482" t="s">
        <v>786</v>
      </c>
    </row>
    <row r="25" ht="15.75">
      <c r="A25" s="482" t="s">
        <v>787</v>
      </c>
    </row>
    <row r="26" ht="15.75">
      <c r="A26" s="482" t="s">
        <v>788</v>
      </c>
    </row>
    <row r="27" ht="15.75">
      <c r="A27" s="482" t="s">
        <v>789</v>
      </c>
    </row>
    <row r="28" ht="15.75">
      <c r="A28" s="482" t="s">
        <v>790</v>
      </c>
    </row>
    <row r="29" ht="15.75">
      <c r="A29" s="482" t="s">
        <v>791</v>
      </c>
    </row>
    <row r="30" ht="15.75">
      <c r="A30" s="482" t="s">
        <v>792</v>
      </c>
    </row>
    <row r="31" ht="15.75">
      <c r="A31" s="482" t="s">
        <v>793</v>
      </c>
    </row>
    <row r="32" ht="15.75">
      <c r="A32" s="482" t="s">
        <v>794</v>
      </c>
    </row>
    <row r="33" ht="15.75">
      <c r="A33" s="482" t="s">
        <v>795</v>
      </c>
    </row>
    <row r="34" ht="15.75">
      <c r="A34" s="482" t="s">
        <v>796</v>
      </c>
    </row>
    <row r="35" ht="15.75">
      <c r="A35" s="482" t="s">
        <v>797</v>
      </c>
    </row>
    <row r="36" ht="15.75">
      <c r="A36" s="482" t="s">
        <v>798</v>
      </c>
    </row>
    <row r="37" ht="15.75">
      <c r="A37" s="482" t="s">
        <v>799</v>
      </c>
    </row>
    <row r="38" ht="15.75">
      <c r="A38" s="482" t="s">
        <v>800</v>
      </c>
    </row>
    <row r="39" ht="15.75">
      <c r="A39" s="482" t="s">
        <v>801</v>
      </c>
    </row>
    <row r="40" ht="15.75">
      <c r="A40" s="482" t="s">
        <v>802</v>
      </c>
    </row>
    <row r="41" ht="15.75">
      <c r="A41" s="482" t="s">
        <v>803</v>
      </c>
    </row>
    <row r="42" ht="15.75">
      <c r="A42" s="482" t="s">
        <v>804</v>
      </c>
    </row>
    <row r="43" ht="15.75">
      <c r="A43" s="482" t="s">
        <v>805</v>
      </c>
    </row>
    <row r="44" ht="15.75">
      <c r="A44" s="482" t="s">
        <v>806</v>
      </c>
    </row>
    <row r="46" ht="15.75">
      <c r="A46" s="338" t="s">
        <v>625</v>
      </c>
    </row>
    <row r="47" ht="15.75">
      <c r="A47" s="30" t="s">
        <v>626</v>
      </c>
    </row>
    <row r="48" ht="15.75">
      <c r="A48" s="30" t="s">
        <v>627</v>
      </c>
    </row>
    <row r="49" ht="15.75">
      <c r="A49" s="30" t="s">
        <v>628</v>
      </c>
    </row>
    <row r="51" ht="15.75">
      <c r="A51" s="338" t="s">
        <v>615</v>
      </c>
    </row>
    <row r="52" ht="15.75">
      <c r="A52" s="30" t="s">
        <v>624</v>
      </c>
    </row>
    <row r="54" ht="15.75">
      <c r="A54" s="338" t="s">
        <v>383</v>
      </c>
    </row>
    <row r="55" ht="15.75">
      <c r="A55" s="337" t="s">
        <v>384</v>
      </c>
    </row>
    <row r="56" ht="15.75">
      <c r="A56" s="337" t="s">
        <v>385</v>
      </c>
    </row>
    <row r="57" ht="15.75">
      <c r="A57" s="337" t="s">
        <v>386</v>
      </c>
    </row>
    <row r="58" ht="15.75">
      <c r="A58" s="30" t="s">
        <v>613</v>
      </c>
    </row>
    <row r="60" ht="15.75">
      <c r="A60" s="312" t="s">
        <v>339</v>
      </c>
    </row>
    <row r="61" ht="15.75">
      <c r="A61" s="313" t="s">
        <v>363</v>
      </c>
    </row>
    <row r="62" ht="15.75">
      <c r="A62" s="30" t="s">
        <v>364</v>
      </c>
    </row>
    <row r="63" ht="15.75">
      <c r="A63" s="30" t="s">
        <v>365</v>
      </c>
    </row>
    <row r="64" ht="21.75" customHeight="1">
      <c r="A64" s="33" t="s">
        <v>366</v>
      </c>
    </row>
    <row r="65" ht="15.75">
      <c r="A65" s="30" t="s">
        <v>367</v>
      </c>
    </row>
    <row r="66" ht="15.75">
      <c r="A66" s="30" t="s">
        <v>368</v>
      </c>
    </row>
    <row r="67" ht="15.75">
      <c r="A67" s="30" t="s">
        <v>369</v>
      </c>
    </row>
    <row r="68" ht="15.75">
      <c r="A68" s="30" t="s">
        <v>370</v>
      </c>
    </row>
    <row r="69" ht="15.75">
      <c r="A69" s="30" t="s">
        <v>371</v>
      </c>
    </row>
    <row r="70" ht="15.75">
      <c r="A70" s="30" t="s">
        <v>372</v>
      </c>
    </row>
    <row r="71" ht="15.75">
      <c r="A71" s="30" t="s">
        <v>373</v>
      </c>
    </row>
    <row r="73" ht="15.75">
      <c r="A73" s="312" t="s">
        <v>334</v>
      </c>
    </row>
    <row r="74" ht="15.75">
      <c r="A74" s="30" t="s">
        <v>335</v>
      </c>
    </row>
    <row r="76" ht="15.75">
      <c r="A76" s="312" t="s">
        <v>332</v>
      </c>
    </row>
    <row r="77" ht="15.75">
      <c r="A77" s="30" t="s">
        <v>333</v>
      </c>
    </row>
    <row r="79" ht="15.75">
      <c r="A79" s="312" t="s">
        <v>329</v>
      </c>
    </row>
    <row r="80" ht="15.75">
      <c r="A80" s="30" t="s">
        <v>330</v>
      </c>
    </row>
    <row r="81" ht="15.75">
      <c r="A81" s="30" t="s">
        <v>331</v>
      </c>
    </row>
    <row r="83" ht="15.75">
      <c r="A83" s="312" t="s">
        <v>63</v>
      </c>
    </row>
    <row r="84" ht="15.75">
      <c r="A84" s="30" t="s">
        <v>48</v>
      </c>
    </row>
    <row r="85" ht="15.75">
      <c r="A85" s="30" t="s">
        <v>49</v>
      </c>
    </row>
    <row r="86" ht="15.75">
      <c r="A86" s="30" t="s">
        <v>50</v>
      </c>
    </row>
    <row r="87" ht="15.75">
      <c r="A87" s="30" t="s">
        <v>57</v>
      </c>
    </row>
    <row r="88" ht="15.75">
      <c r="A88" s="30" t="s">
        <v>51</v>
      </c>
    </row>
    <row r="89" ht="15.75">
      <c r="A89" s="30" t="s">
        <v>52</v>
      </c>
    </row>
    <row r="90" ht="31.5">
      <c r="A90" s="33" t="s">
        <v>58</v>
      </c>
    </row>
    <row r="91" ht="31.5">
      <c r="A91" s="33" t="s">
        <v>53</v>
      </c>
    </row>
    <row r="92" ht="15.75">
      <c r="A92" s="33" t="s">
        <v>54</v>
      </c>
    </row>
    <row r="93" ht="15.75">
      <c r="A93" s="33" t="s">
        <v>55</v>
      </c>
    </row>
    <row r="94" ht="31.5">
      <c r="A94" s="33" t="s">
        <v>322</v>
      </c>
    </row>
    <row r="95" ht="15.75">
      <c r="A95" s="30" t="s">
        <v>323</v>
      </c>
    </row>
    <row r="96" ht="31.5">
      <c r="A96" s="33" t="s">
        <v>56</v>
      </c>
    </row>
    <row r="97" ht="15.75">
      <c r="A97" s="30" t="s">
        <v>60</v>
      </c>
    </row>
    <row r="98" ht="15.75">
      <c r="A98" s="30" t="s">
        <v>61</v>
      </c>
    </row>
    <row r="99" ht="15.75">
      <c r="A99" s="30" t="s">
        <v>62</v>
      </c>
    </row>
    <row r="100" ht="31.5">
      <c r="A100" s="33" t="s">
        <v>321</v>
      </c>
    </row>
    <row r="101" ht="15.75">
      <c r="A101" s="30" t="s">
        <v>320</v>
      </c>
    </row>
    <row r="102" ht="31.5">
      <c r="A102" s="33" t="s">
        <v>319</v>
      </c>
    </row>
    <row r="103" ht="15.75">
      <c r="A103" s="30" t="s">
        <v>324</v>
      </c>
    </row>
    <row r="105" ht="15.75">
      <c r="A105" s="312" t="s">
        <v>67</v>
      </c>
    </row>
    <row r="106" ht="15.75">
      <c r="A106" s="30" t="s">
        <v>68</v>
      </c>
    </row>
    <row r="107" ht="15.75">
      <c r="A107" s="30" t="s">
        <v>69</v>
      </c>
    </row>
    <row r="108" ht="15.75">
      <c r="A108" s="30" t="s">
        <v>70</v>
      </c>
    </row>
    <row r="109" ht="15.75">
      <c r="A109" s="30" t="s">
        <v>59</v>
      </c>
    </row>
    <row r="112" ht="15.75">
      <c r="A112" s="312" t="s">
        <v>45</v>
      </c>
    </row>
    <row r="113" ht="15.75">
      <c r="A113" s="30" t="s">
        <v>46</v>
      </c>
    </row>
    <row r="115" ht="15.75">
      <c r="A115" s="312" t="s">
        <v>38</v>
      </c>
    </row>
    <row r="116" ht="15.75">
      <c r="A116" s="30" t="s">
        <v>39</v>
      </c>
    </row>
    <row r="117" ht="15.75">
      <c r="A117" s="30" t="s">
        <v>40</v>
      </c>
    </row>
    <row r="118" ht="31.5">
      <c r="A118" s="33" t="s">
        <v>41</v>
      </c>
    </row>
    <row r="119" ht="15.75">
      <c r="A119" s="30" t="s">
        <v>42</v>
      </c>
    </row>
    <row r="120" ht="15.75">
      <c r="A120" s="30" t="s">
        <v>43</v>
      </c>
    </row>
    <row r="121" ht="15.75">
      <c r="A121" s="30" t="s">
        <v>44</v>
      </c>
    </row>
    <row r="123" ht="18" customHeight="1">
      <c r="A123" s="312" t="s">
        <v>292</v>
      </c>
    </row>
    <row r="124" ht="48.75" customHeight="1">
      <c r="A124" s="33" t="s">
        <v>325</v>
      </c>
    </row>
    <row r="125" ht="15.75">
      <c r="A125" s="30" t="s">
        <v>293</v>
      </c>
    </row>
    <row r="126" ht="15.75">
      <c r="A126" s="30" t="s">
        <v>294</v>
      </c>
    </row>
    <row r="127" ht="15.75">
      <c r="A127" s="30" t="s">
        <v>326</v>
      </c>
    </row>
    <row r="128" ht="15.75">
      <c r="A128" s="30" t="s">
        <v>295</v>
      </c>
    </row>
    <row r="129" ht="15.75">
      <c r="A129" s="30" t="s">
        <v>296</v>
      </c>
    </row>
    <row r="130" ht="15.75">
      <c r="A130" s="30" t="s">
        <v>6</v>
      </c>
    </row>
    <row r="131" ht="15.75">
      <c r="A131" s="30" t="s">
        <v>297</v>
      </c>
    </row>
    <row r="132" ht="15.75">
      <c r="A132" s="30" t="s">
        <v>298</v>
      </c>
    </row>
    <row r="133" ht="31.5">
      <c r="A133" s="33" t="s">
        <v>299</v>
      </c>
    </row>
    <row r="134" ht="31.5">
      <c r="A134" s="33" t="s">
        <v>18</v>
      </c>
    </row>
    <row r="135" ht="15.75">
      <c r="A135" s="30" t="s">
        <v>300</v>
      </c>
    </row>
    <row r="136" ht="15.75">
      <c r="A136" s="30" t="s">
        <v>301</v>
      </c>
    </row>
    <row r="137" ht="15.75">
      <c r="A137" s="30" t="s">
        <v>327</v>
      </c>
    </row>
    <row r="138" ht="15.75">
      <c r="A138" s="30" t="s">
        <v>302</v>
      </c>
    </row>
    <row r="139" ht="15.75">
      <c r="A139" s="30" t="s">
        <v>0</v>
      </c>
    </row>
    <row r="140" ht="31.5">
      <c r="A140" s="33" t="s">
        <v>1</v>
      </c>
    </row>
    <row r="141" ht="15.75">
      <c r="A141" s="30" t="s">
        <v>312</v>
      </c>
    </row>
    <row r="142" ht="15.75">
      <c r="A142" s="30" t="s">
        <v>313</v>
      </c>
    </row>
    <row r="143" ht="31.5">
      <c r="A143" s="33" t="s">
        <v>314</v>
      </c>
    </row>
    <row r="144" ht="15.75">
      <c r="A144" s="30" t="s">
        <v>25</v>
      </c>
    </row>
    <row r="145" ht="15.75">
      <c r="A145" s="30" t="s">
        <v>26</v>
      </c>
    </row>
    <row r="146" ht="15.75">
      <c r="A146" s="30" t="s">
        <v>27</v>
      </c>
    </row>
    <row r="147" ht="15.75">
      <c r="A147" s="30" t="s">
        <v>28</v>
      </c>
    </row>
    <row r="148" ht="15.75">
      <c r="A148" s="30" t="s">
        <v>29</v>
      </c>
    </row>
    <row r="149" ht="15.75">
      <c r="A149" s="30" t="s">
        <v>30</v>
      </c>
    </row>
    <row r="150" ht="15.75">
      <c r="A150" s="30" t="s">
        <v>31</v>
      </c>
    </row>
    <row r="151" ht="15.75">
      <c r="A151" s="30" t="s">
        <v>32</v>
      </c>
    </row>
    <row r="152" ht="15.75">
      <c r="A152" s="30" t="s">
        <v>33</v>
      </c>
    </row>
    <row r="153" ht="15.75">
      <c r="A153" s="30" t="s">
        <v>35</v>
      </c>
    </row>
    <row r="154" ht="15.75">
      <c r="A154" s="30" t="s">
        <v>36</v>
      </c>
    </row>
    <row r="155" ht="15.75">
      <c r="A155" s="30" t="s">
        <v>37</v>
      </c>
    </row>
    <row r="156" ht="15.75">
      <c r="A156" s="30" t="s">
        <v>34</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22">
      <selection activeCell="B9" sqref="B9"/>
    </sheetView>
  </sheetViews>
  <sheetFormatPr defaultColWidth="8.796875" defaultRowHeight="15"/>
  <cols>
    <col min="1" max="1" width="13.796875" style="0" customWidth="1"/>
    <col min="2" max="2" width="16.09765625" style="0" customWidth="1"/>
  </cols>
  <sheetData>
    <row r="2" spans="1:6" ht="54" customHeight="1">
      <c r="A2" s="654" t="s">
        <v>374</v>
      </c>
      <c r="B2" s="655"/>
      <c r="C2" s="655"/>
      <c r="D2" s="655"/>
      <c r="E2" s="655"/>
      <c r="F2" s="655"/>
    </row>
    <row r="4" spans="1:2" ht="15.75">
      <c r="A4" s="318" t="s">
        <v>755</v>
      </c>
      <c r="B4" s="320" t="s">
        <v>975</v>
      </c>
    </row>
    <row r="5" spans="1:6" ht="15.75">
      <c r="A5" s="317"/>
      <c r="B5" s="317"/>
      <c r="C5" s="317"/>
      <c r="D5" s="319"/>
      <c r="E5" s="317"/>
      <c r="F5" s="317"/>
    </row>
    <row r="6" spans="1:6" ht="15.75">
      <c r="A6" s="318" t="s">
        <v>375</v>
      </c>
      <c r="B6" s="320" t="s">
        <v>976</v>
      </c>
      <c r="C6" s="321"/>
      <c r="D6" s="318" t="s">
        <v>775</v>
      </c>
      <c r="E6" s="317"/>
      <c r="F6" s="317"/>
    </row>
    <row r="7" spans="1:6" ht="15.75">
      <c r="A7" s="318"/>
      <c r="B7" s="322"/>
      <c r="C7" s="323"/>
      <c r="D7" s="318" t="s">
        <v>774</v>
      </c>
      <c r="E7" s="317"/>
      <c r="F7" s="317"/>
    </row>
    <row r="8" spans="1:6" ht="15.75">
      <c r="A8" s="318" t="s">
        <v>376</v>
      </c>
      <c r="B8" s="320" t="s">
        <v>977</v>
      </c>
      <c r="C8" s="324"/>
      <c r="D8" s="318"/>
      <c r="E8" s="317"/>
      <c r="F8" s="317"/>
    </row>
    <row r="9" spans="1:6" ht="15.75">
      <c r="A9" s="318"/>
      <c r="B9" s="318"/>
      <c r="C9" s="318"/>
      <c r="D9" s="318"/>
      <c r="E9" s="317"/>
      <c r="F9" s="317"/>
    </row>
    <row r="10" spans="1:6" ht="15.75">
      <c r="A10" s="318" t="s">
        <v>377</v>
      </c>
      <c r="B10" s="325" t="s">
        <v>826</v>
      </c>
      <c r="C10" s="325"/>
      <c r="D10" s="325"/>
      <c r="E10" s="326"/>
      <c r="F10" s="317"/>
    </row>
    <row r="11" spans="1:6" ht="15.75">
      <c r="A11" s="318"/>
      <c r="B11" s="318"/>
      <c r="C11" s="318"/>
      <c r="D11" s="318"/>
      <c r="E11" s="317"/>
      <c r="F11" s="317"/>
    </row>
    <row r="12" spans="1:6" ht="15.75">
      <c r="A12" s="318"/>
      <c r="B12" s="318"/>
      <c r="C12" s="318"/>
      <c r="D12" s="318"/>
      <c r="E12" s="317"/>
      <c r="F12" s="317"/>
    </row>
    <row r="13" spans="1:6" ht="15.75">
      <c r="A13" s="318" t="s">
        <v>378</v>
      </c>
      <c r="B13" s="325" t="s">
        <v>382</v>
      </c>
      <c r="C13" s="325"/>
      <c r="D13" s="325"/>
      <c r="E13" s="326"/>
      <c r="F13" s="317"/>
    </row>
    <row r="16" spans="1:6" ht="15.75">
      <c r="A16" s="656" t="s">
        <v>379</v>
      </c>
      <c r="B16" s="656"/>
      <c r="C16" s="318"/>
      <c r="D16" s="318"/>
      <c r="E16" s="318"/>
      <c r="F16" s="317"/>
    </row>
    <row r="17" spans="1:6" ht="15.75">
      <c r="A17" s="318"/>
      <c r="B17" s="318"/>
      <c r="C17" s="318"/>
      <c r="D17" s="318"/>
      <c r="E17" s="318"/>
      <c r="F17" s="317"/>
    </row>
    <row r="18" spans="1:6" ht="15.75">
      <c r="A18" s="318" t="s">
        <v>755</v>
      </c>
      <c r="B18" s="318" t="s">
        <v>756</v>
      </c>
      <c r="C18" s="318"/>
      <c r="D18" s="318"/>
      <c r="E18" s="318"/>
      <c r="F18" s="317"/>
    </row>
    <row r="19" spans="1:6" ht="15.75">
      <c r="A19" s="318"/>
      <c r="B19" s="318"/>
      <c r="C19" s="318"/>
      <c r="D19" s="318"/>
      <c r="E19" s="318"/>
      <c r="F19" s="317"/>
    </row>
    <row r="20" spans="1:5" ht="15.75">
      <c r="A20" s="318" t="s">
        <v>375</v>
      </c>
      <c r="B20" s="322" t="s">
        <v>380</v>
      </c>
      <c r="C20" s="318"/>
      <c r="D20" s="318"/>
      <c r="E20" s="318"/>
    </row>
    <row r="21" spans="1:5" ht="15.75">
      <c r="A21" s="318"/>
      <c r="B21" s="318"/>
      <c r="C21" s="318"/>
      <c r="D21" s="318"/>
      <c r="E21" s="318"/>
    </row>
    <row r="22" spans="1:5" ht="15.75">
      <c r="A22" s="318" t="s">
        <v>376</v>
      </c>
      <c r="B22" s="318" t="s">
        <v>381</v>
      </c>
      <c r="C22" s="318"/>
      <c r="D22" s="318"/>
      <c r="E22" s="318"/>
    </row>
    <row r="23" spans="1:5" ht="15.75">
      <c r="A23" s="318"/>
      <c r="B23" s="318"/>
      <c r="C23" s="318"/>
      <c r="D23" s="318"/>
      <c r="E23" s="318"/>
    </row>
    <row r="24" spans="1:5" ht="15.75">
      <c r="A24" s="318" t="s">
        <v>377</v>
      </c>
      <c r="B24" s="318" t="s">
        <v>382</v>
      </c>
      <c r="C24" s="318"/>
      <c r="D24" s="318"/>
      <c r="E24" s="318"/>
    </row>
    <row r="25" spans="1:5" ht="15.75">
      <c r="A25" s="318"/>
      <c r="B25" s="318"/>
      <c r="C25" s="318"/>
      <c r="D25" s="318"/>
      <c r="E25" s="318"/>
    </row>
    <row r="26" spans="1:5" ht="15.75">
      <c r="A26" s="318" t="s">
        <v>378</v>
      </c>
      <c r="B26" s="318" t="s">
        <v>382</v>
      </c>
      <c r="C26" s="318"/>
      <c r="D26" s="318"/>
      <c r="E26" s="318"/>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87"/>
  <sheetViews>
    <sheetView tabSelected="1" zoomScalePageLayoutView="0" workbookViewId="0" topLeftCell="A1">
      <selection activeCell="C40" sqref="C40"/>
    </sheetView>
  </sheetViews>
  <sheetFormatPr defaultColWidth="8.796875" defaultRowHeight="15"/>
  <cols>
    <col min="1" max="1" width="24.296875" style="43" customWidth="1"/>
    <col min="2" max="2" width="10.796875" style="43" customWidth="1"/>
    <col min="3" max="3" width="5.796875" style="43" customWidth="1"/>
    <col min="4" max="4" width="14" style="43" customWidth="1"/>
    <col min="5" max="5" width="13.296875" style="43" customWidth="1"/>
    <col min="6" max="6" width="12.296875" style="43" customWidth="1"/>
    <col min="7" max="16384" width="8.8984375" style="104" customWidth="1"/>
  </cols>
  <sheetData>
    <row r="1" spans="1:8" ht="15.75">
      <c r="A1" s="45"/>
      <c r="B1" s="45"/>
      <c r="C1" s="44" t="s">
        <v>169</v>
      </c>
      <c r="D1" s="45"/>
      <c r="E1" s="45"/>
      <c r="F1" s="136"/>
      <c r="H1" s="30">
        <f>inputPrYr!C5</f>
        <v>2012</v>
      </c>
    </row>
    <row r="2" spans="1:6" ht="15.75">
      <c r="A2" s="659" t="str">
        <f>CONCATENATE("To the Clerk of ",(inputPrYr!D3),", State of Kansas")</f>
        <v>To the Clerk of Sedgwick County, State of Kansas</v>
      </c>
      <c r="B2" s="649"/>
      <c r="C2" s="649"/>
      <c r="D2" s="649"/>
      <c r="E2" s="649"/>
      <c r="F2" s="649"/>
    </row>
    <row r="3" spans="1:6" ht="15.75">
      <c r="A3" s="138" t="s">
        <v>629</v>
      </c>
      <c r="B3" s="54"/>
      <c r="C3" s="54"/>
      <c r="D3" s="54"/>
      <c r="E3" s="54"/>
      <c r="F3" s="54"/>
    </row>
    <row r="4" spans="1:6" ht="15.75">
      <c r="A4" s="657" t="str">
        <f>(inputPrYr!D2)</f>
        <v>City of Kechi </v>
      </c>
      <c r="B4" s="658"/>
      <c r="C4" s="658"/>
      <c r="D4" s="658"/>
      <c r="E4" s="658"/>
      <c r="F4" s="658"/>
    </row>
    <row r="5" spans="1:6" ht="15.75">
      <c r="A5" s="138" t="s">
        <v>80</v>
      </c>
      <c r="B5" s="54"/>
      <c r="C5" s="54"/>
      <c r="D5" s="54"/>
      <c r="E5" s="54"/>
      <c r="F5" s="54"/>
    </row>
    <row r="6" spans="1:6" ht="15.75">
      <c r="A6" s="138" t="s">
        <v>81</v>
      </c>
      <c r="B6" s="54"/>
      <c r="C6" s="54"/>
      <c r="D6" s="54"/>
      <c r="E6" s="54"/>
      <c r="F6" s="54"/>
    </row>
    <row r="7" spans="1:6" ht="15.75">
      <c r="A7" s="138" t="str">
        <f>CONCATENATE("maximum expenditures for the various funds for the year ",H1,"; and")</f>
        <v>maximum expenditures for the various funds for the year 2012; and</v>
      </c>
      <c r="B7" s="54"/>
      <c r="C7" s="54"/>
      <c r="D7" s="54"/>
      <c r="E7" s="54"/>
      <c r="F7" s="54"/>
    </row>
    <row r="8" spans="1:6" ht="15.75">
      <c r="A8" s="138" t="str">
        <f>CONCATENATE("(3) the Amounts(s) of ",H1-1," Ad Valorem Tax are within statutory limitations.")</f>
        <v>(3) the Amounts(s) of 2011 Ad Valorem Tax are within statutory limitations.</v>
      </c>
      <c r="B8" s="54"/>
      <c r="C8" s="54"/>
      <c r="D8" s="54"/>
      <c r="E8" s="54"/>
      <c r="F8" s="54"/>
    </row>
    <row r="9" spans="1:6" ht="15.75">
      <c r="A9" s="45"/>
      <c r="B9" s="45"/>
      <c r="C9" s="45"/>
      <c r="D9" s="139" t="str">
        <f>CONCATENATE("",H1," Adopted Budget")</f>
        <v>2012 Adopted Budget</v>
      </c>
      <c r="E9" s="140"/>
      <c r="F9" s="141"/>
    </row>
    <row r="10" spans="1:6" ht="21" customHeight="1">
      <c r="A10" s="45"/>
      <c r="B10" s="45"/>
      <c r="C10" s="142"/>
      <c r="D10" s="143" t="s">
        <v>82</v>
      </c>
      <c r="E10" s="144" t="str">
        <f>CONCATENATE("Amount of ",H1-1,"")</f>
        <v>Amount of 2011</v>
      </c>
      <c r="F10" s="144" t="s">
        <v>83</v>
      </c>
    </row>
    <row r="11" spans="1:6" ht="15.75">
      <c r="A11" s="50"/>
      <c r="B11" s="45"/>
      <c r="C11" s="144" t="s">
        <v>84</v>
      </c>
      <c r="D11" s="410" t="s">
        <v>13</v>
      </c>
      <c r="E11" s="146" t="s">
        <v>267</v>
      </c>
      <c r="F11" s="145" t="s">
        <v>85</v>
      </c>
    </row>
    <row r="12" spans="1:6" ht="15.75">
      <c r="A12" s="147" t="s">
        <v>86</v>
      </c>
      <c r="B12" s="69"/>
      <c r="C12" s="148" t="s">
        <v>87</v>
      </c>
      <c r="D12" s="411" t="s">
        <v>636</v>
      </c>
      <c r="E12" s="149" t="s">
        <v>268</v>
      </c>
      <c r="F12" s="148" t="s">
        <v>88</v>
      </c>
    </row>
    <row r="13" spans="1:6" ht="15.75">
      <c r="A13" s="150" t="str">
        <f>CONCATENATE("Computation to Determine Limit for ",H1,"")</f>
        <v>Computation to Determine Limit for 2012</v>
      </c>
      <c r="B13" s="91"/>
      <c r="C13" s="151">
        <v>2</v>
      </c>
      <c r="D13" s="152"/>
      <c r="E13" s="152"/>
      <c r="F13" s="152"/>
    </row>
    <row r="14" spans="1:6" ht="15.75">
      <c r="A14" s="150" t="s">
        <v>10</v>
      </c>
      <c r="B14" s="69"/>
      <c r="C14" s="148">
        <v>3</v>
      </c>
      <c r="D14" s="145"/>
      <c r="E14" s="145"/>
      <c r="F14" s="145"/>
    </row>
    <row r="15" spans="1:6" ht="15.75">
      <c r="A15" s="150" t="s">
        <v>234</v>
      </c>
      <c r="B15" s="69"/>
      <c r="C15" s="148">
        <v>4</v>
      </c>
      <c r="D15" s="145"/>
      <c r="E15" s="145"/>
      <c r="F15" s="145"/>
    </row>
    <row r="16" spans="1:6" ht="15.75">
      <c r="A16" s="150" t="s">
        <v>89</v>
      </c>
      <c r="B16" s="91"/>
      <c r="C16" s="151">
        <v>5</v>
      </c>
      <c r="D16" s="153"/>
      <c r="E16" s="153"/>
      <c r="F16" s="153"/>
    </row>
    <row r="17" spans="1:6" ht="15.75">
      <c r="A17" s="150" t="s">
        <v>90</v>
      </c>
      <c r="B17" s="91"/>
      <c r="C17" s="151">
        <v>6</v>
      </c>
      <c r="D17" s="153"/>
      <c r="E17" s="153"/>
      <c r="F17" s="153"/>
    </row>
    <row r="18" spans="1:6" ht="15.75">
      <c r="A18" s="154" t="s">
        <v>91</v>
      </c>
      <c r="B18" s="155" t="s">
        <v>92</v>
      </c>
      <c r="C18" s="156"/>
      <c r="D18" s="157"/>
      <c r="E18" s="157"/>
      <c r="F18" s="157"/>
    </row>
    <row r="19" spans="1:6" ht="15.75">
      <c r="A19" s="62" t="s">
        <v>75</v>
      </c>
      <c r="B19" s="158" t="str">
        <f>IF(inputPrYr!C17&gt;0,(inputPrYr!C17),"  ")</f>
        <v>12-101a</v>
      </c>
      <c r="C19" s="151">
        <v>7</v>
      </c>
      <c r="D19" s="241">
        <f>IF(general!$E$111&lt;&gt;0,general!$E$111,"  ")</f>
        <v>915100</v>
      </c>
      <c r="E19" s="598">
        <f>IF(general!$E$118&lt;&gt;0,general!$E$118,0)</f>
        <v>394241.07000000007</v>
      </c>
      <c r="F19" s="503">
        <f>IF($F$43=0,"",ROUND(E19/$F$43*1000,3))</f>
      </c>
    </row>
    <row r="20" spans="1:6" ht="15.75">
      <c r="A20" s="62" t="s">
        <v>47</v>
      </c>
      <c r="B20" s="158" t="str">
        <f>IF(inputPrYr!C18&gt;0,(inputPrYr!C18),"  ")</f>
        <v>10-113</v>
      </c>
      <c r="C20" s="151">
        <f>IF('DebtSvs-levy page 8'!C44&gt;0,'DebtSvs-levy page 8'!C44,"  ")</f>
        <v>8</v>
      </c>
      <c r="D20" s="241">
        <f>IF('DebtSvs-levy page 8'!E35&lt;&gt;0,'DebtSvs-levy page 8'!E35,"  ")</f>
        <v>703581</v>
      </c>
      <c r="E20" s="598">
        <f>IF('DebtSvs-levy page 8'!E42&lt;&gt;0,'DebtSvs-levy page 8'!E42,0)</f>
        <v>130788</v>
      </c>
      <c r="F20" s="503">
        <f>IF($F$43=0,"",ROUND(E20/$F$43*1000,3))</f>
      </c>
    </row>
    <row r="21" spans="1:6" ht="15.75">
      <c r="A21" s="159" t="str">
        <f>IF(inputPrYr!$B34&gt;"  ",(inputPrYr!$B34),"  ")</f>
        <v>Special Highway</v>
      </c>
      <c r="B21" s="160"/>
      <c r="C21" s="161">
        <f>IF('Sp Hwy'!C56&gt;0,'Sp Hwy'!C56,"  ")</f>
        <v>9</v>
      </c>
      <c r="D21" s="241">
        <f>IF('Sp Hwy'!$E$30&gt;0,'Sp Hwy'!$E$30,"  ")</f>
        <v>140000</v>
      </c>
      <c r="E21" s="241"/>
      <c r="F21" s="156"/>
    </row>
    <row r="22" spans="1:6" ht="15.75">
      <c r="A22" s="159" t="str">
        <f>IF(inputPrYr!$B35&gt;"  ",(inputPrYr!$B35),"  ")</f>
        <v>  </v>
      </c>
      <c r="B22" s="160"/>
      <c r="C22" s="161">
        <f>IF('Sp Hwy'!C56&gt;0,'Sp Hwy'!C56,"  ")</f>
        <v>9</v>
      </c>
      <c r="D22" s="241" t="str">
        <f>IF('Sp Hwy'!$E$50&gt;0,'Sp Hwy'!$E$50,"  ")</f>
        <v>  </v>
      </c>
      <c r="E22" s="241"/>
      <c r="F22" s="156"/>
    </row>
    <row r="23" spans="1:6" ht="15.75">
      <c r="A23" s="159" t="str">
        <f>IF(inputPrYr!$B36&gt;"  ",(inputPrYr!$B36),"  ")</f>
        <v>Water</v>
      </c>
      <c r="B23" s="162"/>
      <c r="C23" s="161">
        <f>IF(Water!C67&gt;0,Water!C67,"  ")</f>
        <v>10</v>
      </c>
      <c r="D23" s="241">
        <f>IF(Water!$E$35&gt;0,Water!$E$35,"  ")</f>
        <v>403000</v>
      </c>
      <c r="E23" s="241"/>
      <c r="F23" s="156"/>
    </row>
    <row r="24" spans="1:6" ht="15.75">
      <c r="A24" s="159" t="str">
        <f>IF(inputPrYr!$B37&gt;"  ",(inputPrYr!$B37),"  ")</f>
        <v>Water Reserve</v>
      </c>
      <c r="B24" s="160"/>
      <c r="C24" s="161">
        <f>IF(Water!C67&gt;0,Water!C67,"  ")</f>
        <v>10</v>
      </c>
      <c r="D24" s="241">
        <f>IF(Water!$E$61&gt;0,Water!$E$61,"  ")</f>
        <v>15000</v>
      </c>
      <c r="E24" s="241"/>
      <c r="F24" s="156"/>
    </row>
    <row r="25" spans="1:6" ht="15.75">
      <c r="A25" s="159" t="str">
        <f>IF(inputPrYr!$B38&gt;"  ",(inputPrYr!$B38),"  ")</f>
        <v>Sewer</v>
      </c>
      <c r="B25" s="162"/>
      <c r="C25" s="161">
        <f>IF(Sewer!C69&gt;0,Sewer!C69,"  ")</f>
        <v>11</v>
      </c>
      <c r="D25" s="241">
        <f>IF(Sewer!$E$36&gt;0,Sewer!$E$36,"  ")</f>
        <v>243500</v>
      </c>
      <c r="E25" s="241"/>
      <c r="F25" s="156"/>
    </row>
    <row r="26" spans="1:6" ht="15.75">
      <c r="A26" s="159" t="str">
        <f>IF(inputPrYr!$B39&gt;"  ",(inputPrYr!$B39),"  ")</f>
        <v>Sewer Reserve</v>
      </c>
      <c r="B26" s="163"/>
      <c r="C26" s="161">
        <f>IF(Sewer!C69&gt;0,Sewer!C69,"  ")</f>
        <v>11</v>
      </c>
      <c r="D26" s="241">
        <f>IF(Sewer!$E$63&gt;0,Sewer!$E$63,"  ")</f>
        <v>10000</v>
      </c>
      <c r="E26" s="241"/>
      <c r="F26" s="156"/>
    </row>
    <row r="27" spans="1:6" ht="15.75">
      <c r="A27" s="159" t="str">
        <f>IF(inputPrYr!$B40&gt;"  ",(inputPrYr!$B40),"  ")</f>
        <v>Gas</v>
      </c>
      <c r="B27" s="163"/>
      <c r="C27" s="161">
        <f>IF(Gas!C71&gt;0,Gas!C71,"  ")</f>
        <v>12</v>
      </c>
      <c r="D27" s="241">
        <f>IF(Gas!$E$38&gt;0,Gas!$E$38,"  ")</f>
        <v>550500</v>
      </c>
      <c r="E27" s="241"/>
      <c r="F27" s="156"/>
    </row>
    <row r="28" spans="1:6" ht="15.75">
      <c r="A28" s="159" t="str">
        <f>IF(inputPrYr!$B41&gt;"  ",(inputPrYr!$B41),"  ")</f>
        <v>Gas Reserve</v>
      </c>
      <c r="B28" s="163"/>
      <c r="C28" s="161">
        <f>IF(Gas!C71&gt;0,Gas!C71,"  ")</f>
        <v>12</v>
      </c>
      <c r="D28" s="241">
        <f>IF(Gas!$E$65&gt;0,Gas!$E$65,"  ")</f>
        <v>25000</v>
      </c>
      <c r="E28" s="241"/>
      <c r="F28" s="156"/>
    </row>
    <row r="29" spans="1:6" ht="15.75">
      <c r="A29" s="159" t="str">
        <f>IF(inputPrYr!$B42&gt;"  ",(inputPrYr!$B42),"  ")</f>
        <v>Equipment Reserve</v>
      </c>
      <c r="B29" s="160"/>
      <c r="C29" s="161">
        <f>IF(EqResCapImp!C69&gt;0,EqResCapImp!C69,"  ")</f>
        <v>13</v>
      </c>
      <c r="D29" s="241">
        <f>IF(EqResCapImp!$E$34&gt;0,EqResCapImp!$E$34,"  ")</f>
        <v>76900</v>
      </c>
      <c r="E29" s="241"/>
      <c r="F29" s="156"/>
    </row>
    <row r="30" spans="1:6" ht="15.75">
      <c r="A30" s="159" t="str">
        <f>IF(inputPrYr!$B43&gt;"  ",(inputPrYr!$B43),"  ")</f>
        <v>Capital Improvements</v>
      </c>
      <c r="B30" s="160"/>
      <c r="C30" s="161">
        <f>IF(EqResCapImp!C69&gt;0,EqResCapImp!C69,"  ")</f>
        <v>13</v>
      </c>
      <c r="D30" s="241">
        <f>IF(EqResCapImp!$E$63&gt;0,EqResCapImp!$E$63,"  ")</f>
        <v>25000</v>
      </c>
      <c r="E30" s="241"/>
      <c r="F30" s="156"/>
    </row>
    <row r="31" spans="1:6" ht="15.75">
      <c r="A31" s="159" t="str">
        <f>IF(inputPrYr!$B44&gt;"  ",(inputPrYr!$B44),"  ")</f>
        <v>Recycling</v>
      </c>
      <c r="B31" s="162"/>
      <c r="C31" s="161">
        <f>IF(RecylWaste!C58&gt;0,RecylWaste!C58,"  ")</f>
        <v>14</v>
      </c>
      <c r="D31" s="241">
        <f>IF(RecylWaste!$E$24&gt;0,RecylWaste!$E$24,"  ")</f>
        <v>50000</v>
      </c>
      <c r="E31" s="241"/>
      <c r="F31" s="156"/>
    </row>
    <row r="32" spans="1:6" ht="15.75">
      <c r="A32" s="159" t="str">
        <f>IF(inputPrYr!$B45&gt;"  ",(inputPrYr!$B45),"  ")</f>
        <v>Solid Waste</v>
      </c>
      <c r="B32" s="163"/>
      <c r="C32" s="161">
        <f>IF(RecylWaste!C58&gt;0,RecylWaste!C58,"  ")</f>
        <v>14</v>
      </c>
      <c r="D32" s="241">
        <f>IF(RecylWaste!$E$52&gt;0,RecylWaste!$E$52,"  ")</f>
        <v>77000</v>
      </c>
      <c r="E32" s="241"/>
      <c r="F32" s="156"/>
    </row>
    <row r="33" spans="1:6" ht="15.75">
      <c r="A33" s="159" t="str">
        <f>IF(inputPrYr!$B51&gt;"  ",(inputPrYr!$B51),"  ")</f>
        <v>  </v>
      </c>
      <c r="B33" s="160"/>
      <c r="C33" s="161"/>
      <c r="D33" s="241"/>
      <c r="E33" s="241"/>
      <c r="F33" s="156"/>
    </row>
    <row r="34" spans="1:6" ht="15.75">
      <c r="A34" s="159" t="str">
        <f>IF(inputPrYr!$B52&gt;"  ",(inputPrYr!$B52),"  ")</f>
        <v>  </v>
      </c>
      <c r="B34" s="160"/>
      <c r="C34" s="161"/>
      <c r="D34" s="241"/>
      <c r="E34" s="241"/>
      <c r="F34" s="156"/>
    </row>
    <row r="35" spans="1:6" ht="15.75">
      <c r="A35" s="159" t="str">
        <f>IF(inputPrYr!$B53&gt;"  ",(inputPrYr!$B53),"  ")</f>
        <v>  </v>
      </c>
      <c r="B35" s="162"/>
      <c r="C35" s="161"/>
      <c r="D35" s="241"/>
      <c r="E35" s="241"/>
      <c r="F35" s="156"/>
    </row>
    <row r="36" spans="1:6" ht="15.75">
      <c r="A36" s="159" t="str">
        <f>IF(inputPrYr!$B54&gt;"  ",(inputPrYr!$B54),"  ")</f>
        <v>  </v>
      </c>
      <c r="B36" s="163"/>
      <c r="C36" s="161"/>
      <c r="D36" s="241"/>
      <c r="E36" s="241"/>
      <c r="F36" s="156"/>
    </row>
    <row r="37" spans="1:6" ht="15.75">
      <c r="A37" s="159" t="str">
        <f>IF(inputPrYr!$B57&gt;"  ",(#REF!),"  ")</f>
        <v>  </v>
      </c>
      <c r="B37" s="163"/>
      <c r="C37" s="161"/>
      <c r="D37" s="241"/>
      <c r="E37" s="241"/>
      <c r="F37" s="156"/>
    </row>
    <row r="38" spans="1:6" ht="15.75">
      <c r="A38" s="159" t="str">
        <f>IF(inputPrYr!$B63&gt;"  ",(#REF!),"  ")</f>
        <v>  </v>
      </c>
      <c r="B38" s="163"/>
      <c r="C38" s="161"/>
      <c r="D38" s="241"/>
      <c r="E38" s="241"/>
      <c r="F38" s="156"/>
    </row>
    <row r="39" spans="1:6" ht="15.75">
      <c r="A39" s="159" t="str">
        <f>IF(inputPrYr!$B69&gt;"  ",(#REF!),"  ")</f>
        <v>  </v>
      </c>
      <c r="B39" s="160"/>
      <c r="C39" s="161"/>
      <c r="D39" s="241"/>
      <c r="E39" s="241"/>
      <c r="F39" s="156"/>
    </row>
    <row r="40" spans="1:6" ht="16.5" thickBot="1">
      <c r="A40" s="159" t="str">
        <f>IF(inputPrYr!$B75&gt;"  ",(#REF!),"  ")</f>
        <v>  </v>
      </c>
      <c r="B40" s="162"/>
      <c r="C40" s="161"/>
      <c r="D40" s="511"/>
      <c r="E40" s="511"/>
      <c r="F40" s="512"/>
    </row>
    <row r="41" spans="1:6" ht="15.75">
      <c r="A41" s="377" t="s">
        <v>764</v>
      </c>
      <c r="B41" s="91"/>
      <c r="C41" s="258" t="s">
        <v>94</v>
      </c>
      <c r="D41" s="509">
        <f>SUM(D19:D40)</f>
        <v>3234581</v>
      </c>
      <c r="E41" s="509">
        <f>SUM(E19:E40)</f>
        <v>525029.0700000001</v>
      </c>
      <c r="F41" s="510">
        <f>IF(SUM(F19:F40)=0,"",SUM(F19:F40))</f>
      </c>
    </row>
    <row r="42" spans="1:6" ht="15.75">
      <c r="A42" s="164" t="s">
        <v>318</v>
      </c>
      <c r="B42" s="165"/>
      <c r="C42" s="166"/>
      <c r="D42" s="167"/>
      <c r="E42" s="168" t="str">
        <f>IF(E41&gt;computation!J40,"Yes","No")</f>
        <v>No</v>
      </c>
      <c r="F42" s="408" t="s">
        <v>238</v>
      </c>
    </row>
    <row r="43" spans="1:6" ht="15.75">
      <c r="A43" s="150" t="s">
        <v>317</v>
      </c>
      <c r="B43" s="91"/>
      <c r="C43" s="151">
        <f>summ!D55</f>
        <v>15</v>
      </c>
      <c r="D43" s="45"/>
      <c r="E43" s="45"/>
      <c r="F43" s="513"/>
    </row>
    <row r="44" spans="1:6" ht="15.75">
      <c r="A44" s="150" t="s">
        <v>16</v>
      </c>
      <c r="B44" s="91"/>
      <c r="C44" s="151">
        <f>IF(nhood!C39&gt;0,nhood!C39,"")</f>
      </c>
      <c r="D44" s="45"/>
      <c r="E44" s="45"/>
      <c r="F44" s="662" t="str">
        <f>CONCATENATE("Nov 1, ",H1-1," Total Assessed Valuation")</f>
        <v>Nov 1, 2011 Total Assessed Valuation</v>
      </c>
    </row>
    <row r="45" spans="1:6" ht="15.75">
      <c r="A45" s="74"/>
      <c r="B45" s="74"/>
      <c r="C45" s="74"/>
      <c r="D45" s="74"/>
      <c r="E45" s="74"/>
      <c r="F45" s="663"/>
    </row>
    <row r="46" spans="1:6" ht="15.75">
      <c r="A46" s="73" t="s">
        <v>95</v>
      </c>
      <c r="B46" s="74"/>
      <c r="C46" s="45"/>
      <c r="D46" s="286"/>
      <c r="E46" s="74"/>
      <c r="F46" s="74"/>
    </row>
    <row r="47" spans="1:6" ht="15.75">
      <c r="A47" s="315"/>
      <c r="B47" s="74"/>
      <c r="C47" s="45"/>
      <c r="D47" s="286"/>
      <c r="E47" s="74"/>
      <c r="F47" s="74"/>
    </row>
    <row r="48" spans="1:6" ht="15.75">
      <c r="A48" s="316"/>
      <c r="B48" s="45"/>
      <c r="C48" s="351" t="s">
        <v>943</v>
      </c>
      <c r="D48" s="350"/>
      <c r="E48" s="111"/>
      <c r="F48" s="111"/>
    </row>
    <row r="49" spans="1:6" ht="15.75">
      <c r="A49" s="73" t="s">
        <v>245</v>
      </c>
      <c r="B49" s="74"/>
      <c r="C49" s="45"/>
      <c r="D49" s="286"/>
      <c r="E49" s="286"/>
      <c r="F49" s="286"/>
    </row>
    <row r="50" spans="1:6" ht="15.75">
      <c r="A50" s="315"/>
      <c r="B50" s="169"/>
      <c r="C50" s="111" t="s">
        <v>942</v>
      </c>
      <c r="D50" s="111"/>
      <c r="E50" s="409"/>
      <c r="F50" s="409"/>
    </row>
    <row r="51" spans="1:6" ht="15.75">
      <c r="A51" s="315"/>
      <c r="B51" s="169"/>
      <c r="C51" s="45"/>
      <c r="D51" s="286"/>
      <c r="E51" s="286"/>
      <c r="F51" s="286"/>
    </row>
    <row r="52" spans="1:6" ht="15.75">
      <c r="A52" s="316"/>
      <c r="B52" s="169"/>
      <c r="C52" s="111" t="s">
        <v>944</v>
      </c>
      <c r="D52" s="111"/>
      <c r="E52" s="409"/>
      <c r="F52" s="409"/>
    </row>
    <row r="53" spans="1:6" ht="15.75">
      <c r="A53" s="316"/>
      <c r="B53" s="171"/>
      <c r="C53" s="634" t="s">
        <v>941</v>
      </c>
      <c r="D53" s="74"/>
      <c r="E53" s="96"/>
      <c r="F53" s="96"/>
    </row>
    <row r="54" spans="1:6" ht="15.75">
      <c r="A54" s="633"/>
      <c r="B54" s="171"/>
      <c r="C54" s="74" t="s">
        <v>945</v>
      </c>
      <c r="D54" s="74"/>
      <c r="E54" s="96"/>
      <c r="F54" s="96"/>
    </row>
    <row r="55" spans="1:6" ht="15.75">
      <c r="A55" s="550" t="s">
        <v>5</v>
      </c>
      <c r="B55" s="172">
        <f>H1-1</f>
        <v>2011</v>
      </c>
      <c r="C55" s="69"/>
      <c r="D55" s="69"/>
      <c r="E55" s="170"/>
      <c r="F55" s="170"/>
    </row>
    <row r="56" spans="1:6" ht="15.75">
      <c r="A56" s="286"/>
      <c r="B56" s="172"/>
      <c r="C56" s="74" t="s">
        <v>946</v>
      </c>
      <c r="D56" s="74"/>
      <c r="E56" s="138"/>
      <c r="F56" s="45"/>
    </row>
    <row r="57" spans="1:6" ht="15.75">
      <c r="A57" s="551"/>
      <c r="B57" s="45"/>
      <c r="C57" s="69"/>
      <c r="D57" s="69"/>
      <c r="E57" s="69"/>
      <c r="F57" s="69"/>
    </row>
    <row r="58" spans="1:6" ht="15.75">
      <c r="A58" s="137" t="s">
        <v>96</v>
      </c>
      <c r="B58" s="45"/>
      <c r="C58" s="660" t="s">
        <v>947</v>
      </c>
      <c r="D58" s="661"/>
      <c r="E58" s="661"/>
      <c r="F58" s="661"/>
    </row>
    <row r="59" ht="15.75">
      <c r="A59" s="30"/>
    </row>
    <row r="69" spans="1:6" ht="15">
      <c r="A69" s="104"/>
      <c r="B69" s="104"/>
      <c r="C69" s="104"/>
      <c r="D69" s="104"/>
      <c r="E69" s="104"/>
      <c r="F69" s="104"/>
    </row>
    <row r="70" spans="1:6" ht="15">
      <c r="A70" s="104"/>
      <c r="B70" s="104"/>
      <c r="C70" s="104"/>
      <c r="D70" s="104"/>
      <c r="E70" s="104"/>
      <c r="F70" s="104"/>
    </row>
    <row r="71" spans="1:6" ht="15">
      <c r="A71" s="104"/>
      <c r="B71" s="104"/>
      <c r="C71" s="104"/>
      <c r="D71" s="104"/>
      <c r="E71" s="104"/>
      <c r="F71" s="104"/>
    </row>
    <row r="72" spans="1:6" ht="15">
      <c r="A72" s="104"/>
      <c r="B72" s="104"/>
      <c r="C72" s="104"/>
      <c r="D72" s="104"/>
      <c r="E72" s="104"/>
      <c r="F72" s="104"/>
    </row>
    <row r="73" spans="1:6" ht="15">
      <c r="A73" s="104"/>
      <c r="B73" s="104"/>
      <c r="C73" s="104"/>
      <c r="D73" s="104"/>
      <c r="E73" s="104"/>
      <c r="F73" s="104"/>
    </row>
    <row r="74" spans="1:6" ht="15">
      <c r="A74" s="104"/>
      <c r="B74" s="104"/>
      <c r="C74" s="104"/>
      <c r="D74" s="104"/>
      <c r="E74" s="104"/>
      <c r="F74" s="104"/>
    </row>
    <row r="75" spans="1:6" ht="15">
      <c r="A75" s="104"/>
      <c r="B75" s="104"/>
      <c r="C75" s="104"/>
      <c r="D75" s="104"/>
      <c r="E75" s="104"/>
      <c r="F75" s="104"/>
    </row>
    <row r="76" spans="1:6" ht="15">
      <c r="A76" s="104"/>
      <c r="B76" s="104"/>
      <c r="C76" s="104"/>
      <c r="D76" s="104"/>
      <c r="E76" s="104"/>
      <c r="F76" s="104"/>
    </row>
    <row r="77" spans="1:6" ht="15">
      <c r="A77" s="104"/>
      <c r="B77" s="104"/>
      <c r="C77" s="104"/>
      <c r="D77" s="104"/>
      <c r="E77" s="104"/>
      <c r="F77" s="104"/>
    </row>
    <row r="78" spans="1:6" ht="15">
      <c r="A78" s="104"/>
      <c r="B78" s="104"/>
      <c r="C78" s="104"/>
      <c r="D78" s="104"/>
      <c r="E78" s="104"/>
      <c r="F78" s="104"/>
    </row>
    <row r="79" spans="1:6" ht="15">
      <c r="A79" s="104"/>
      <c r="B79" s="104"/>
      <c r="C79" s="104"/>
      <c r="D79" s="104"/>
      <c r="E79" s="104"/>
      <c r="F79" s="104"/>
    </row>
    <row r="80" spans="1:6" ht="15">
      <c r="A80" s="104"/>
      <c r="B80" s="104"/>
      <c r="C80" s="104"/>
      <c r="D80" s="104"/>
      <c r="E80" s="104"/>
      <c r="F80" s="104"/>
    </row>
    <row r="81" spans="1:6" ht="15">
      <c r="A81" s="104"/>
      <c r="B81" s="104"/>
      <c r="C81" s="104"/>
      <c r="D81" s="104"/>
      <c r="E81" s="104"/>
      <c r="F81" s="104"/>
    </row>
    <row r="82" spans="1:6" ht="15">
      <c r="A82" s="104"/>
      <c r="B82" s="104"/>
      <c r="C82" s="104"/>
      <c r="D82" s="104"/>
      <c r="E82" s="104"/>
      <c r="F82" s="104"/>
    </row>
    <row r="83" spans="1:6" ht="15">
      <c r="A83" s="104"/>
      <c r="B83" s="104"/>
      <c r="C83" s="104"/>
      <c r="D83" s="104"/>
      <c r="E83" s="104"/>
      <c r="F83" s="104"/>
    </row>
    <row r="84" spans="1:6" ht="15">
      <c r="A84" s="104"/>
      <c r="B84" s="104"/>
      <c r="C84" s="104"/>
      <c r="D84" s="104"/>
      <c r="E84" s="104"/>
      <c r="F84" s="104"/>
    </row>
    <row r="87" spans="1:6" ht="15.75">
      <c r="A87" s="30"/>
      <c r="B87" s="30"/>
      <c r="C87" s="30"/>
      <c r="D87" s="30"/>
      <c r="E87" s="30"/>
      <c r="F87" s="30"/>
    </row>
  </sheetData>
  <sheetProtection/>
  <mergeCells count="4">
    <mergeCell ref="A4:F4"/>
    <mergeCell ref="A2:F2"/>
    <mergeCell ref="C58:F58"/>
    <mergeCell ref="F44:F45"/>
  </mergeCells>
  <printOptions/>
  <pageMargins left="0.5" right="0.5" top="1" bottom="0.5" header="0.5" footer="0.25"/>
  <pageSetup blackAndWhite="1" fitToHeight="1" fitToWidth="1" horizontalDpi="120" verticalDpi="120" orientation="portrait" scale="81"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30" customWidth="1"/>
    <col min="3" max="3" width="31.296875" style="30" customWidth="1"/>
    <col min="4" max="4" width="2.296875" style="30" customWidth="1"/>
    <col min="5" max="5" width="15.796875" style="30" customWidth="1"/>
    <col min="6" max="6" width="2" style="30" customWidth="1"/>
    <col min="7" max="7" width="15.796875" style="30" customWidth="1"/>
    <col min="8" max="8" width="1.8984375" style="30" customWidth="1"/>
    <col min="9" max="9" width="1.796875" style="30" customWidth="1"/>
    <col min="10" max="10" width="15.796875" style="30" customWidth="1"/>
    <col min="11" max="16384" width="8.8984375" style="30" customWidth="1"/>
  </cols>
  <sheetData>
    <row r="1" spans="1:10" ht="15.75" customHeight="1">
      <c r="A1" s="174"/>
      <c r="B1" s="174"/>
      <c r="C1" s="175" t="str">
        <f>inputPrYr!D2</f>
        <v>City of Kechi </v>
      </c>
      <c r="D1" s="174"/>
      <c r="E1" s="174"/>
      <c r="F1" s="174"/>
      <c r="G1" s="174"/>
      <c r="H1" s="174"/>
      <c r="I1" s="174"/>
      <c r="J1" s="174">
        <f>inputPrYr!C5</f>
        <v>2012</v>
      </c>
    </row>
    <row r="2" spans="1:10" ht="15.75" customHeight="1">
      <c r="A2" s="174"/>
      <c r="B2" s="174"/>
      <c r="C2" s="174"/>
      <c r="D2" s="174"/>
      <c r="E2" s="174"/>
      <c r="F2" s="174"/>
      <c r="G2" s="174"/>
      <c r="H2" s="174"/>
      <c r="I2" s="174"/>
      <c r="J2" s="174"/>
    </row>
    <row r="3" spans="1:10" ht="15.75">
      <c r="A3" s="665" t="str">
        <f>CONCATENATE("Computation to Determine Limit for ",J1,"")</f>
        <v>Computation to Determine Limit for 2012</v>
      </c>
      <c r="B3" s="666"/>
      <c r="C3" s="666"/>
      <c r="D3" s="666"/>
      <c r="E3" s="666"/>
      <c r="F3" s="666"/>
      <c r="G3" s="666"/>
      <c r="H3" s="666"/>
      <c r="I3" s="666"/>
      <c r="J3" s="666"/>
    </row>
    <row r="4" spans="1:10" ht="15.75">
      <c r="A4" s="174"/>
      <c r="B4" s="174"/>
      <c r="C4" s="174"/>
      <c r="D4" s="174"/>
      <c r="E4" s="666"/>
      <c r="F4" s="666"/>
      <c r="G4" s="666"/>
      <c r="H4" s="176"/>
      <c r="I4" s="174"/>
      <c r="J4" s="177" t="s">
        <v>182</v>
      </c>
    </row>
    <row r="5" spans="1:10" ht="15.75">
      <c r="A5" s="178" t="s">
        <v>183</v>
      </c>
      <c r="B5" s="174" t="str">
        <f>CONCATENATE("Total Tax Levy Amount in ",J1-1," Budget")</f>
        <v>Total Tax Levy Amount in 2011 Budget</v>
      </c>
      <c r="C5" s="174"/>
      <c r="D5" s="174"/>
      <c r="E5" s="179"/>
      <c r="F5" s="179"/>
      <c r="G5" s="179"/>
      <c r="H5" s="180" t="s">
        <v>184</v>
      </c>
      <c r="I5" s="179" t="s">
        <v>185</v>
      </c>
      <c r="J5" s="181">
        <f>inputPrYr!E31</f>
        <v>522828</v>
      </c>
    </row>
    <row r="6" spans="1:10" ht="15.75">
      <c r="A6" s="178" t="s">
        <v>186</v>
      </c>
      <c r="B6" s="174" t="str">
        <f>CONCATENATE("Debt Service Levy in ",J1-1," Budget")</f>
        <v>Debt Service Levy in 2011 Budget</v>
      </c>
      <c r="C6" s="174"/>
      <c r="D6" s="174"/>
      <c r="E6" s="179"/>
      <c r="F6" s="179"/>
      <c r="G6" s="179"/>
      <c r="H6" s="180" t="s">
        <v>187</v>
      </c>
      <c r="I6" s="179" t="s">
        <v>185</v>
      </c>
      <c r="J6" s="182">
        <f>inputPrYr!E18</f>
        <v>130236</v>
      </c>
    </row>
    <row r="7" spans="1:10" ht="15.75">
      <c r="A7" s="178" t="s">
        <v>214</v>
      </c>
      <c r="B7" s="183" t="s">
        <v>211</v>
      </c>
      <c r="C7" s="174"/>
      <c r="D7" s="174"/>
      <c r="E7" s="179"/>
      <c r="F7" s="179"/>
      <c r="G7" s="179"/>
      <c r="H7" s="179"/>
      <c r="I7" s="179" t="s">
        <v>185</v>
      </c>
      <c r="J7" s="184">
        <f>J5-J6</f>
        <v>392592</v>
      </c>
    </row>
    <row r="8" spans="1:10" ht="15.75">
      <c r="A8" s="174"/>
      <c r="B8" s="174"/>
      <c r="C8" s="174"/>
      <c r="D8" s="174"/>
      <c r="E8" s="179"/>
      <c r="F8" s="179"/>
      <c r="G8" s="179"/>
      <c r="H8" s="179"/>
      <c r="I8" s="179"/>
      <c r="J8" s="179"/>
    </row>
    <row r="9" spans="1:10" ht="15.75">
      <c r="A9" s="174"/>
      <c r="B9" s="183" t="str">
        <f>CONCATENATE("",J1-1," Valuation Information for Valuation Adjustments:")</f>
        <v>2011 Valuation Information for Valuation Adjustments:</v>
      </c>
      <c r="C9" s="174"/>
      <c r="D9" s="174"/>
      <c r="E9" s="179"/>
      <c r="F9" s="179"/>
      <c r="G9" s="179"/>
      <c r="H9" s="179"/>
      <c r="I9" s="179"/>
      <c r="J9" s="179"/>
    </row>
    <row r="10" spans="1:10" ht="15.75">
      <c r="A10" s="174"/>
      <c r="B10" s="174"/>
      <c r="C10" s="183"/>
      <c r="D10" s="174"/>
      <c r="E10" s="179"/>
      <c r="F10" s="179"/>
      <c r="G10" s="179"/>
      <c r="H10" s="179"/>
      <c r="I10" s="179"/>
      <c r="J10" s="179"/>
    </row>
    <row r="11" spans="1:10" ht="15.75">
      <c r="A11" s="178" t="s">
        <v>188</v>
      </c>
      <c r="B11" s="183" t="str">
        <f>CONCATENATE("New Improvements for ",J1-1,":")</f>
        <v>New Improvements for 2011:</v>
      </c>
      <c r="C11" s="174"/>
      <c r="D11" s="174"/>
      <c r="E11" s="180"/>
      <c r="F11" s="180" t="s">
        <v>184</v>
      </c>
      <c r="G11" s="185">
        <f>inputOth!E8</f>
        <v>137546</v>
      </c>
      <c r="H11" s="186"/>
      <c r="I11" s="179"/>
      <c r="J11" s="179"/>
    </row>
    <row r="12" spans="1:10" ht="15.75">
      <c r="A12" s="178"/>
      <c r="B12" s="187"/>
      <c r="C12" s="174"/>
      <c r="D12" s="174"/>
      <c r="E12" s="180"/>
      <c r="F12" s="180"/>
      <c r="G12" s="186"/>
      <c r="H12" s="186"/>
      <c r="I12" s="179"/>
      <c r="J12" s="179"/>
    </row>
    <row r="13" spans="1:10" ht="15.75">
      <c r="A13" s="178" t="s">
        <v>189</v>
      </c>
      <c r="B13" s="183" t="str">
        <f>CONCATENATE("Increase in Personal Property for ",J1-1,":")</f>
        <v>Increase in Personal Property for 2011:</v>
      </c>
      <c r="C13" s="174"/>
      <c r="D13" s="174"/>
      <c r="E13" s="180"/>
      <c r="F13" s="180"/>
      <c r="G13" s="186"/>
      <c r="H13" s="186"/>
      <c r="I13" s="179"/>
      <c r="J13" s="179"/>
    </row>
    <row r="14" spans="1:10" ht="15.75">
      <c r="A14" s="188"/>
      <c r="B14" s="174" t="s">
        <v>190</v>
      </c>
      <c r="C14" s="174" t="str">
        <f>CONCATENATE("Personal Property ",J1-1,"")</f>
        <v>Personal Property 2011</v>
      </c>
      <c r="D14" s="187" t="s">
        <v>184</v>
      </c>
      <c r="E14" s="185">
        <f>inputOth!E9</f>
        <v>393172</v>
      </c>
      <c r="F14" s="180"/>
      <c r="G14" s="179"/>
      <c r="H14" s="179"/>
      <c r="I14" s="186"/>
      <c r="J14" s="179"/>
    </row>
    <row r="15" spans="1:10" ht="15.75">
      <c r="A15" s="187"/>
      <c r="B15" s="174" t="s">
        <v>191</v>
      </c>
      <c r="C15" s="174" t="str">
        <f>CONCATENATE("Personal Property ",J1-2,"")</f>
        <v>Personal Property 2010</v>
      </c>
      <c r="D15" s="187" t="s">
        <v>187</v>
      </c>
      <c r="E15" s="189">
        <f>inputOth!E15</f>
        <v>462505</v>
      </c>
      <c r="F15" s="180"/>
      <c r="G15" s="186"/>
      <c r="H15" s="186"/>
      <c r="I15" s="179"/>
      <c r="J15" s="179"/>
    </row>
    <row r="16" spans="1:10" ht="15.75">
      <c r="A16" s="187"/>
      <c r="B16" s="174" t="s">
        <v>192</v>
      </c>
      <c r="C16" s="174" t="s">
        <v>213</v>
      </c>
      <c r="D16" s="174"/>
      <c r="E16" s="179"/>
      <c r="F16" s="179" t="s">
        <v>184</v>
      </c>
      <c r="G16" s="181">
        <f>IF(E14&gt;E15,E14-E15,0)</f>
        <v>0</v>
      </c>
      <c r="H16" s="186"/>
      <c r="I16" s="179"/>
      <c r="J16" s="179"/>
    </row>
    <row r="17" spans="1:10" ht="15.75">
      <c r="A17" s="187"/>
      <c r="B17" s="187"/>
      <c r="C17" s="174"/>
      <c r="D17" s="174"/>
      <c r="E17" s="179"/>
      <c r="F17" s="179"/>
      <c r="G17" s="186" t="s">
        <v>205</v>
      </c>
      <c r="H17" s="186"/>
      <c r="I17" s="179"/>
      <c r="J17" s="179"/>
    </row>
    <row r="18" spans="1:10" ht="15.75">
      <c r="A18" s="187" t="s">
        <v>193</v>
      </c>
      <c r="B18" s="183" t="str">
        <f>CONCATENATE("Valuation of annexed territory for ",J1-1,"")</f>
        <v>Valuation of annexed territory for 2011</v>
      </c>
      <c r="C18" s="174"/>
      <c r="D18" s="174"/>
      <c r="E18" s="186"/>
      <c r="F18" s="179"/>
      <c r="G18" s="179"/>
      <c r="H18" s="179"/>
      <c r="I18" s="179"/>
      <c r="J18" s="179"/>
    </row>
    <row r="19" spans="1:10" ht="15.75">
      <c r="A19" s="187"/>
      <c r="B19" s="174" t="s">
        <v>194</v>
      </c>
      <c r="C19" s="174" t="s">
        <v>215</v>
      </c>
      <c r="D19" s="187" t="s">
        <v>184</v>
      </c>
      <c r="E19" s="185">
        <f>inputOth!E11</f>
        <v>14451019</v>
      </c>
      <c r="F19" s="179"/>
      <c r="G19" s="179"/>
      <c r="H19" s="179"/>
      <c r="I19" s="179"/>
      <c r="J19" s="179"/>
    </row>
    <row r="20" spans="1:10" ht="15.75">
      <c r="A20" s="187"/>
      <c r="B20" s="174" t="s">
        <v>195</v>
      </c>
      <c r="C20" s="174" t="s">
        <v>216</v>
      </c>
      <c r="D20" s="187" t="s">
        <v>184</v>
      </c>
      <c r="E20" s="185">
        <f>inputOth!E12</f>
        <v>695380</v>
      </c>
      <c r="F20" s="179"/>
      <c r="G20" s="186"/>
      <c r="H20" s="186"/>
      <c r="I20" s="179"/>
      <c r="J20" s="179"/>
    </row>
    <row r="21" spans="1:10" ht="15.75">
      <c r="A21" s="187"/>
      <c r="B21" s="174" t="s">
        <v>196</v>
      </c>
      <c r="C21" s="174" t="s">
        <v>212</v>
      </c>
      <c r="D21" s="187" t="s">
        <v>187</v>
      </c>
      <c r="E21" s="185">
        <f>inputOth!E13</f>
        <v>137546</v>
      </c>
      <c r="F21" s="179"/>
      <c r="G21" s="186"/>
      <c r="H21" s="186"/>
      <c r="I21" s="179"/>
      <c r="J21" s="179"/>
    </row>
    <row r="22" spans="1:10" ht="15.75">
      <c r="A22" s="187"/>
      <c r="B22" s="174" t="s">
        <v>197</v>
      </c>
      <c r="C22" s="174" t="s">
        <v>217</v>
      </c>
      <c r="D22" s="187"/>
      <c r="E22" s="186"/>
      <c r="F22" s="179" t="s">
        <v>184</v>
      </c>
      <c r="G22" s="181">
        <f>E19+E20-E21</f>
        <v>15008853</v>
      </c>
      <c r="H22" s="186"/>
      <c r="I22" s="179"/>
      <c r="J22" s="179"/>
    </row>
    <row r="23" spans="1:10" ht="15.75">
      <c r="A23" s="187"/>
      <c r="B23" s="187"/>
      <c r="C23" s="174"/>
      <c r="D23" s="187"/>
      <c r="E23" s="186"/>
      <c r="F23" s="179"/>
      <c r="G23" s="186"/>
      <c r="H23" s="186"/>
      <c r="I23" s="179"/>
      <c r="J23" s="179"/>
    </row>
    <row r="24" spans="1:10" ht="15.75">
      <c r="A24" s="187" t="s">
        <v>198</v>
      </c>
      <c r="B24" s="183" t="str">
        <f>CONCATENATE("Valuation of Property that has Changed in Use during ",J1-1,"")</f>
        <v>Valuation of Property that has Changed in Use during 2011</v>
      </c>
      <c r="C24" s="174"/>
      <c r="D24" s="174"/>
      <c r="E24" s="179"/>
      <c r="F24" s="179"/>
      <c r="G24" s="95">
        <f>inputOth!E14</f>
        <v>978</v>
      </c>
      <c r="H24" s="179"/>
      <c r="I24" s="179"/>
      <c r="J24" s="179"/>
    </row>
    <row r="25" spans="1:10" ht="15.75">
      <c r="A25" s="174" t="s">
        <v>82</v>
      </c>
      <c r="B25" s="174"/>
      <c r="C25" s="174"/>
      <c r="D25" s="187"/>
      <c r="E25" s="186"/>
      <c r="F25" s="179"/>
      <c r="G25" s="190"/>
      <c r="H25" s="186"/>
      <c r="I25" s="179"/>
      <c r="J25" s="179"/>
    </row>
    <row r="26" spans="1:10" ht="15.75">
      <c r="A26" s="187" t="s">
        <v>199</v>
      </c>
      <c r="B26" s="183" t="s">
        <v>218</v>
      </c>
      <c r="C26" s="174"/>
      <c r="D26" s="174"/>
      <c r="E26" s="179"/>
      <c r="F26" s="179"/>
      <c r="G26" s="181">
        <f>G11+G16+G22+G24</f>
        <v>15147377</v>
      </c>
      <c r="H26" s="186"/>
      <c r="I26" s="179"/>
      <c r="J26" s="179"/>
    </row>
    <row r="27" spans="1:10" ht="15.75">
      <c r="A27" s="187"/>
      <c r="B27" s="187"/>
      <c r="C27" s="183"/>
      <c r="D27" s="174"/>
      <c r="E27" s="179"/>
      <c r="F27" s="179"/>
      <c r="G27" s="186"/>
      <c r="H27" s="186"/>
      <c r="I27" s="179"/>
      <c r="J27" s="179"/>
    </row>
    <row r="28" spans="1:10" ht="15.75">
      <c r="A28" s="187" t="s">
        <v>200</v>
      </c>
      <c r="B28" s="174" t="str">
        <f>CONCATENATE("Total Estimated Valuation July 1,",J1-1,"")</f>
        <v>Total Estimated Valuation July 1,2011</v>
      </c>
      <c r="C28" s="174"/>
      <c r="D28" s="174"/>
      <c r="E28" s="181">
        <f>inputOth!E7</f>
        <v>15545668</v>
      </c>
      <c r="F28" s="179"/>
      <c r="G28" s="179"/>
      <c r="H28" s="179"/>
      <c r="I28" s="180"/>
      <c r="J28" s="179"/>
    </row>
    <row r="29" spans="1:10" ht="15.75">
      <c r="A29" s="187"/>
      <c r="B29" s="187"/>
      <c r="C29" s="174"/>
      <c r="D29" s="174"/>
      <c r="E29" s="186"/>
      <c r="F29" s="179"/>
      <c r="G29" s="179"/>
      <c r="H29" s="179"/>
      <c r="I29" s="180"/>
      <c r="J29" s="179"/>
    </row>
    <row r="30" spans="1:10" ht="15.75">
      <c r="A30" s="187" t="s">
        <v>201</v>
      </c>
      <c r="B30" s="183" t="s">
        <v>219</v>
      </c>
      <c r="C30" s="174"/>
      <c r="D30" s="174"/>
      <c r="E30" s="179"/>
      <c r="F30" s="179"/>
      <c r="G30" s="181">
        <f>E28-G26</f>
        <v>398291</v>
      </c>
      <c r="H30" s="186"/>
      <c r="I30" s="180"/>
      <c r="J30" s="179"/>
    </row>
    <row r="31" spans="1:10" ht="15.75">
      <c r="A31" s="187"/>
      <c r="B31" s="187"/>
      <c r="C31" s="183"/>
      <c r="D31" s="174"/>
      <c r="E31" s="174"/>
      <c r="F31" s="174"/>
      <c r="G31" s="191"/>
      <c r="H31" s="192"/>
      <c r="I31" s="187"/>
      <c r="J31" s="174"/>
    </row>
    <row r="32" spans="1:10" ht="15.75">
      <c r="A32" s="187" t="s">
        <v>202</v>
      </c>
      <c r="B32" s="174" t="s">
        <v>220</v>
      </c>
      <c r="C32" s="174"/>
      <c r="D32" s="174"/>
      <c r="E32" s="174"/>
      <c r="F32" s="174"/>
      <c r="G32" s="193">
        <f>IF(G30&gt;0,G26/G30,0)</f>
        <v>38.03092964691645</v>
      </c>
      <c r="H32" s="192"/>
      <c r="I32" s="174"/>
      <c r="J32" s="174"/>
    </row>
    <row r="33" spans="1:10" ht="15.75">
      <c r="A33" s="187"/>
      <c r="B33" s="187"/>
      <c r="C33" s="174"/>
      <c r="D33" s="174"/>
      <c r="E33" s="174"/>
      <c r="F33" s="174"/>
      <c r="G33" s="192"/>
      <c r="H33" s="192"/>
      <c r="I33" s="174"/>
      <c r="J33" s="174"/>
    </row>
    <row r="34" spans="1:10" ht="15.75">
      <c r="A34" s="187" t="s">
        <v>203</v>
      </c>
      <c r="B34" s="174" t="s">
        <v>221</v>
      </c>
      <c r="C34" s="174"/>
      <c r="D34" s="174"/>
      <c r="E34" s="174"/>
      <c r="F34" s="174"/>
      <c r="G34" s="192"/>
      <c r="H34" s="194" t="s">
        <v>184</v>
      </c>
      <c r="I34" s="174" t="s">
        <v>185</v>
      </c>
      <c r="J34" s="181">
        <f>ROUND(G32*J7,0)</f>
        <v>14930639</v>
      </c>
    </row>
    <row r="35" spans="1:10" ht="15.75">
      <c r="A35" s="187"/>
      <c r="B35" s="187"/>
      <c r="C35" s="174"/>
      <c r="D35" s="174"/>
      <c r="E35" s="174"/>
      <c r="F35" s="174"/>
      <c r="G35" s="192"/>
      <c r="H35" s="194"/>
      <c r="I35" s="174"/>
      <c r="J35" s="186"/>
    </row>
    <row r="36" spans="1:10" ht="16.5" thickBot="1">
      <c r="A36" s="187" t="s">
        <v>204</v>
      </c>
      <c r="B36" s="183" t="s">
        <v>227</v>
      </c>
      <c r="C36" s="174"/>
      <c r="D36" s="174"/>
      <c r="E36" s="174"/>
      <c r="F36" s="174"/>
      <c r="G36" s="174"/>
      <c r="H36" s="174"/>
      <c r="I36" s="174" t="s">
        <v>185</v>
      </c>
      <c r="J36" s="195">
        <f>J7+J34</f>
        <v>15323231</v>
      </c>
    </row>
    <row r="37" spans="1:10" ht="16.5" thickTop="1">
      <c r="A37" s="174"/>
      <c r="B37" s="174"/>
      <c r="C37" s="174"/>
      <c r="D37" s="174"/>
      <c r="E37" s="174"/>
      <c r="F37" s="174"/>
      <c r="G37" s="174"/>
      <c r="H37" s="174"/>
      <c r="I37" s="174"/>
      <c r="J37" s="174"/>
    </row>
    <row r="38" spans="1:10" ht="15.75">
      <c r="A38" s="187" t="s">
        <v>225</v>
      </c>
      <c r="B38" s="183" t="str">
        <f>CONCATENATE("Debt Service in this ",J1," Budget")</f>
        <v>Debt Service in this 2012 Budget</v>
      </c>
      <c r="C38" s="174"/>
      <c r="D38" s="174"/>
      <c r="E38" s="174"/>
      <c r="F38" s="174"/>
      <c r="G38" s="174"/>
      <c r="H38" s="174"/>
      <c r="I38" s="174"/>
      <c r="J38" s="196">
        <f>'DebtSvs-levy page 8'!E42</f>
        <v>130788</v>
      </c>
    </row>
    <row r="39" spans="1:10" ht="15.75">
      <c r="A39" s="187"/>
      <c r="B39" s="183"/>
      <c r="C39" s="174"/>
      <c r="D39" s="174"/>
      <c r="E39" s="174"/>
      <c r="F39" s="174"/>
      <c r="G39" s="174"/>
      <c r="H39" s="174"/>
      <c r="I39" s="174"/>
      <c r="J39" s="192"/>
    </row>
    <row r="40" spans="1:10" ht="16.5" thickBot="1">
      <c r="A40" s="187" t="s">
        <v>226</v>
      </c>
      <c r="B40" s="183" t="s">
        <v>228</v>
      </c>
      <c r="C40" s="174"/>
      <c r="D40" s="174"/>
      <c r="E40" s="174"/>
      <c r="F40" s="174"/>
      <c r="G40" s="174"/>
      <c r="H40" s="174"/>
      <c r="I40" s="174"/>
      <c r="J40" s="195">
        <f>J36+J38</f>
        <v>15454019</v>
      </c>
    </row>
    <row r="41" spans="1:10" ht="16.5" thickTop="1">
      <c r="A41" s="174"/>
      <c r="B41" s="174"/>
      <c r="C41" s="174"/>
      <c r="D41" s="174"/>
      <c r="E41" s="174"/>
      <c r="F41" s="174"/>
      <c r="G41" s="174"/>
      <c r="H41" s="174"/>
      <c r="I41" s="174"/>
      <c r="J41" s="174"/>
    </row>
    <row r="42" spans="1:10" s="197" customFormat="1" ht="18.75">
      <c r="A42" s="664" t="str">
        <f>CONCATENATE("If the ",J1," budget includes tax levies exceeding the total on line 15, you must")</f>
        <v>If the 2012 budget includes tax levies exceeding the total on line 15, you must</v>
      </c>
      <c r="B42" s="664"/>
      <c r="C42" s="664"/>
      <c r="D42" s="664"/>
      <c r="E42" s="664"/>
      <c r="F42" s="664"/>
      <c r="G42" s="664"/>
      <c r="H42" s="664"/>
      <c r="I42" s="664"/>
      <c r="J42" s="664"/>
    </row>
    <row r="43" spans="1:10" s="197" customFormat="1" ht="18.75">
      <c r="A43" s="664" t="s">
        <v>284</v>
      </c>
      <c r="B43" s="664"/>
      <c r="C43" s="664"/>
      <c r="D43" s="664"/>
      <c r="E43" s="664"/>
      <c r="F43" s="664"/>
      <c r="G43" s="664"/>
      <c r="H43" s="664"/>
      <c r="I43" s="664"/>
      <c r="J43" s="664"/>
    </row>
    <row r="44" spans="1:10" s="197" customFormat="1" ht="18.75">
      <c r="A44" s="664" t="s">
        <v>285</v>
      </c>
      <c r="B44" s="664"/>
      <c r="C44" s="664"/>
      <c r="D44" s="664"/>
      <c r="E44" s="664"/>
      <c r="F44" s="664"/>
      <c r="G44" s="664"/>
      <c r="H44" s="664"/>
      <c r="I44" s="664"/>
      <c r="J44" s="664"/>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9" sqref="C19"/>
    </sheetView>
  </sheetViews>
  <sheetFormatPr defaultColWidth="8.796875" defaultRowHeight="15"/>
  <cols>
    <col min="1" max="1" width="17.8984375" style="43" customWidth="1"/>
    <col min="2" max="2" width="16.09765625" style="43" customWidth="1"/>
    <col min="3" max="5" width="12.796875" style="43" customWidth="1"/>
    <col min="6" max="6" width="10.19921875" style="43" customWidth="1"/>
    <col min="7" max="16384" width="8.8984375" style="43" customWidth="1"/>
  </cols>
  <sheetData>
    <row r="1" spans="1:6" ht="15.75">
      <c r="A1" s="198" t="str">
        <f>inputPrYr!D2</f>
        <v>City of Kechi </v>
      </c>
      <c r="B1" s="198"/>
      <c r="C1" s="45"/>
      <c r="D1" s="45"/>
      <c r="E1" s="45"/>
      <c r="F1" s="45">
        <f>inputPrYr!C5</f>
        <v>2012</v>
      </c>
    </row>
    <row r="2" spans="1:6" ht="15.75">
      <c r="A2" s="45"/>
      <c r="B2" s="45"/>
      <c r="C2" s="45"/>
      <c r="D2" s="45"/>
      <c r="E2" s="45"/>
      <c r="F2" s="45"/>
    </row>
    <row r="3" spans="1:6" ht="15.75">
      <c r="A3" s="667" t="s">
        <v>11</v>
      </c>
      <c r="B3" s="667"/>
      <c r="C3" s="667"/>
      <c r="D3" s="667"/>
      <c r="E3" s="667"/>
      <c r="F3" s="45"/>
    </row>
    <row r="4" spans="1:6" ht="15.75">
      <c r="A4" s="45"/>
      <c r="B4" s="199"/>
      <c r="C4" s="199"/>
      <c r="D4" s="199"/>
      <c r="E4" s="45"/>
      <c r="F4" s="45"/>
    </row>
    <row r="5" spans="1:6" ht="21" customHeight="1">
      <c r="A5" s="200" t="s">
        <v>283</v>
      </c>
      <c r="B5" s="201" t="s">
        <v>282</v>
      </c>
      <c r="C5" s="668" t="str">
        <f>CONCATENATE("Allocation for Year ",F1,"")</f>
        <v>Allocation for Year 2012</v>
      </c>
      <c r="D5" s="669"/>
      <c r="E5" s="669"/>
      <c r="F5" s="670"/>
    </row>
    <row r="6" spans="1:6" ht="15.75">
      <c r="A6" s="202" t="str">
        <f>CONCATENATE("for ",F1-1,"")</f>
        <v>for 2011</v>
      </c>
      <c r="B6" s="202" t="str">
        <f>CONCATENATE("for ",F1-2,"")</f>
        <v>for 2010</v>
      </c>
      <c r="C6" s="148" t="s">
        <v>178</v>
      </c>
      <c r="D6" s="148" t="s">
        <v>179</v>
      </c>
      <c r="E6" s="148" t="s">
        <v>177</v>
      </c>
      <c r="F6" s="156" t="s">
        <v>254</v>
      </c>
    </row>
    <row r="7" spans="1:6" ht="15.75">
      <c r="A7" s="85" t="str">
        <f>(inputPrYr!B17)</f>
        <v>General</v>
      </c>
      <c r="B7" s="151">
        <f>(inputPrYr!E17)</f>
        <v>392592</v>
      </c>
      <c r="C7" s="151">
        <f>IF(inputPrYr!E17=0,0,C22-SUM(C8:C19))</f>
        <v>57285</v>
      </c>
      <c r="D7" s="151">
        <f>IF(inputPrYr!E17=0,0,D23-SUM(D8:D19))</f>
        <v>1109</v>
      </c>
      <c r="E7" s="151">
        <f>IF(inputPrYr!E17=0,0,E24-SUM(E8:E19))</f>
        <v>629</v>
      </c>
      <c r="F7" s="151">
        <f>IF(inputPrYr!E17=0,0,F25-SUM(F8:F18))</f>
        <v>0</v>
      </c>
    </row>
    <row r="8" spans="1:6" ht="15.75">
      <c r="A8" s="85" t="str">
        <f>IF(inputPrYr!$B18&gt;"  ",(inputPrYr!$B18),"  ")</f>
        <v>Debt Service</v>
      </c>
      <c r="B8" s="151">
        <f>IF(inputPrYr!$E18&gt;0,(inputPrYr!$E18),"  ")</f>
        <v>130236</v>
      </c>
      <c r="C8" s="151">
        <f>IF(inputPrYr!E18&gt;0,ROUND(B8*$C$26,0),"  ")</f>
        <v>19003</v>
      </c>
      <c r="D8" s="151">
        <f>IF(inputPrYr!E18&gt;0,ROUND(+B8*D$27,0)," ")</f>
        <v>368</v>
      </c>
      <c r="E8" s="151">
        <f>IF(inputPrYr!E18&gt;0,ROUND(B8*E$28,0)," ")</f>
        <v>208</v>
      </c>
      <c r="F8" s="151">
        <f>IF(inputPrYr!E18&gt;0,ROUND(B8*F$29,0)," ")</f>
        <v>0</v>
      </c>
    </row>
    <row r="9" spans="1:6" ht="15.75">
      <c r="A9" s="85" t="str">
        <f>IF(inputPrYr!$B20&gt;"  ",(inputPrYr!$B20),"  ")</f>
        <v>  </v>
      </c>
      <c r="B9" s="151" t="str">
        <f>IF(inputPrYr!$E20&gt;0,(inputPrYr!$E20),"  ")</f>
        <v>  </v>
      </c>
      <c r="C9" s="151" t="str">
        <f>IF(inputPrYr!E20&gt;0,ROUND(B9*$C$26,0),"  ")</f>
        <v>  </v>
      </c>
      <c r="D9" s="151" t="str">
        <f>IF(inputPrYr!E20&gt;0,ROUND(+B9*D$27,0)," ")</f>
        <v> </v>
      </c>
      <c r="E9" s="151" t="str">
        <f>IF(inputPrYr!E20&gt;0,ROUND(+B9*E$28,0)," ")</f>
        <v> </v>
      </c>
      <c r="F9" s="151" t="str">
        <f>IF(inputPrYr!E20&gt;0,ROUND(+B9*F$29,0)," ")</f>
        <v> </v>
      </c>
    </row>
    <row r="10" spans="1:6" ht="15.75">
      <c r="A10" s="85" t="str">
        <f>IF(inputPrYr!$B21&gt;"  ",(inputPrYr!$B21),"  ")</f>
        <v>  </v>
      </c>
      <c r="B10" s="151" t="str">
        <f>IF(inputPrYr!$E21&gt;0,(inputPrYr!$E21),"  ")</f>
        <v>  </v>
      </c>
      <c r="C10" s="151" t="str">
        <f>IF(inputPrYr!E21&gt;0,ROUND(B10*$C$26,0),"  ")</f>
        <v>  </v>
      </c>
      <c r="D10" s="151" t="str">
        <f>IF(inputPrYr!E21&gt;0,ROUND(+B10*D$27,0)," ")</f>
        <v> </v>
      </c>
      <c r="E10" s="151" t="str">
        <f>IF(inputPrYr!E21&gt;0,ROUND(+B10*E$28,0)," ")</f>
        <v> </v>
      </c>
      <c r="F10" s="151" t="str">
        <f>IF(inputPrYr!E21&gt;0,ROUND(+B10*F$29,0)," ")</f>
        <v> </v>
      </c>
    </row>
    <row r="11" spans="1:6" ht="15.75">
      <c r="A11" s="85" t="str">
        <f>IF(inputPrYr!$B22&gt;"  ",(inputPrYr!$B22),"  ")</f>
        <v>  </v>
      </c>
      <c r="B11" s="151" t="str">
        <f>IF(inputPrYr!$E22&gt;0,(inputPrYr!$E22),"  ")</f>
        <v>  </v>
      </c>
      <c r="C11" s="151" t="str">
        <f>IF(inputPrYr!E22&gt;0,ROUND(B11*$C$26,0),"  ")</f>
        <v>  </v>
      </c>
      <c r="D11" s="151" t="str">
        <f>IF(inputPrYr!E22&gt;0,ROUND(+B11*D$27,0)," ")</f>
        <v> </v>
      </c>
      <c r="E11" s="151" t="str">
        <f>IF(inputPrYr!E22&gt;0,ROUND(+B11*E$28,0)," ")</f>
        <v> </v>
      </c>
      <c r="F11" s="151" t="str">
        <f>IF(inputPrYr!E22&gt;0,ROUND(+B11*F$29,0)," ")</f>
        <v> </v>
      </c>
    </row>
    <row r="12" spans="1:6" ht="15.75">
      <c r="A12" s="85" t="str">
        <f>IF(inputPrYr!$B23&gt;"  ",(inputPrYr!$B23),"  ")</f>
        <v>  </v>
      </c>
      <c r="B12" s="151" t="str">
        <f>IF(inputPrYr!$E23&gt;0,(inputPrYr!$E23),"  ")</f>
        <v>  </v>
      </c>
      <c r="C12" s="151" t="str">
        <f>IF(inputPrYr!E23&gt;0,ROUND(B12*$C$26,0),"  ")</f>
        <v>  </v>
      </c>
      <c r="D12" s="151" t="str">
        <f>IF(inputPrYr!E23&gt;0,ROUND(+B12*D$27,0)," ")</f>
        <v> </v>
      </c>
      <c r="E12" s="151" t="str">
        <f>IF(inputPrYr!E23&gt;0,ROUND(+B12*E$28,0)," ")</f>
        <v> </v>
      </c>
      <c r="F12" s="151" t="str">
        <f>IF(inputPrYr!E23&gt;0,ROUND(+B12*F$29,0)," ")</f>
        <v> </v>
      </c>
    </row>
    <row r="13" spans="1:6" ht="15.75">
      <c r="A13" s="85" t="str">
        <f>IF(inputPrYr!$B24&gt;"  ",(inputPrYr!$B24),"  ")</f>
        <v>  </v>
      </c>
      <c r="B13" s="151" t="str">
        <f>IF(inputPrYr!$E24&gt;0,(inputPrYr!$E24),"  ")</f>
        <v>  </v>
      </c>
      <c r="C13" s="151" t="str">
        <f>IF(inputPrYr!E24&gt;0,ROUND(B13*$C$26,0),"  ")</f>
        <v>  </v>
      </c>
      <c r="D13" s="151" t="str">
        <f>IF(inputPrYr!E24&gt;0,ROUND(+B13*D$27,0)," ")</f>
        <v> </v>
      </c>
      <c r="E13" s="151" t="str">
        <f>IF(inputPrYr!E24&gt;0,ROUND(+B13*E$28,0)," ")</f>
        <v> </v>
      </c>
      <c r="F13" s="151" t="str">
        <f>IF(inputPrYr!E24&gt;0,ROUND(+B13*F$29,0)," ")</f>
        <v> </v>
      </c>
    </row>
    <row r="14" spans="1:6" ht="15.75">
      <c r="A14" s="85" t="str">
        <f>IF(inputPrYr!$B25&gt;"  ",(inputPrYr!$B25),"  ")</f>
        <v>  </v>
      </c>
      <c r="B14" s="151" t="str">
        <f>IF(inputPrYr!$E25&gt;0,(inputPrYr!$E25),"  ")</f>
        <v>  </v>
      </c>
      <c r="C14" s="151" t="str">
        <f>IF(inputPrYr!E25&gt;0,ROUND(B14*$C$26,0),"  ")</f>
        <v>  </v>
      </c>
      <c r="D14" s="151" t="str">
        <f>IF(inputPrYr!E25&gt;0,ROUND(+B14*D$27,0)," ")</f>
        <v> </v>
      </c>
      <c r="E14" s="151" t="str">
        <f>IF(inputPrYr!E25&gt;0,ROUND(+B14*E$28,0)," ")</f>
        <v> </v>
      </c>
      <c r="F14" s="151" t="str">
        <f>IF(inputPrYr!E25&gt;0,ROUND(+B14*F$29,0)," ")</f>
        <v> </v>
      </c>
    </row>
    <row r="15" spans="1:6" ht="15.75">
      <c r="A15" s="85" t="str">
        <f>IF(inputPrYr!$B26&gt;"  ",(inputPrYr!$B26),"  ")</f>
        <v>  </v>
      </c>
      <c r="B15" s="151" t="str">
        <f>IF(inputPrYr!$E26&gt;0,(inputPrYr!$E26),"  ")</f>
        <v>  </v>
      </c>
      <c r="C15" s="151" t="str">
        <f>IF(inputPrYr!E26&gt;0,ROUND(B15*$C$26,0),"  ")</f>
        <v>  </v>
      </c>
      <c r="D15" s="151" t="str">
        <f>IF(inputPrYr!E26&gt;0,ROUND(+B15*D$27,0)," ")</f>
        <v> </v>
      </c>
      <c r="E15" s="151" t="str">
        <f>IF(inputPrYr!E26&gt;0,ROUND(+B15*E$28,0)," ")</f>
        <v> </v>
      </c>
      <c r="F15" s="151" t="str">
        <f>IF(inputPrYr!E26&gt;0,ROUND(+B15*F$29,0)," ")</f>
        <v> </v>
      </c>
    </row>
    <row r="16" spans="1:6" ht="15.75">
      <c r="A16" s="85" t="str">
        <f>IF(inputPrYr!$B27&gt;"  ",(inputPrYr!$B27),"  ")</f>
        <v>  </v>
      </c>
      <c r="B16" s="151" t="str">
        <f>IF(inputPrYr!$E27&gt;0,(inputPrYr!$E27),"  ")</f>
        <v>  </v>
      </c>
      <c r="C16" s="151" t="str">
        <f>IF(inputPrYr!E27&gt;0,ROUND(B16*$C$26,0),"  ")</f>
        <v>  </v>
      </c>
      <c r="D16" s="151" t="str">
        <f>IF(inputPrYr!E27&gt;0,ROUND(+B16*D$27,0)," ")</f>
        <v> </v>
      </c>
      <c r="E16" s="151" t="str">
        <f>IF(inputPrYr!E27&gt;0,ROUND(+B16*E$28,0)," ")</f>
        <v> </v>
      </c>
      <c r="F16" s="151" t="str">
        <f>IF(inputPrYr!E27&gt;0,ROUND(+B16*F$29,0)," ")</f>
        <v> </v>
      </c>
    </row>
    <row r="17" spans="1:6" ht="15.75">
      <c r="A17" s="85" t="str">
        <f>IF(inputPrYr!$B28&gt;"  ",(inputPrYr!$B28),"  ")</f>
        <v>  </v>
      </c>
      <c r="B17" s="151" t="str">
        <f>IF(inputPrYr!$E28&gt;0,(inputPrYr!$E28),"  ")</f>
        <v>  </v>
      </c>
      <c r="C17" s="151" t="str">
        <f>IF(inputPrYr!E28&gt;0,ROUND(B17*$C$26,0),"  ")</f>
        <v>  </v>
      </c>
      <c r="D17" s="151" t="str">
        <f>IF(inputPrYr!E28&gt;0,ROUND(+B17*D$27,0)," ")</f>
        <v> </v>
      </c>
      <c r="E17" s="151" t="str">
        <f>IF(inputPrYr!E28&gt;0,ROUND(+B17*E$28,0)," ")</f>
        <v> </v>
      </c>
      <c r="F17" s="151" t="str">
        <f>IF(inputPrYr!E28&gt;0,ROUND(+B17*F$29,0)," ")</f>
        <v> </v>
      </c>
    </row>
    <row r="18" spans="1:6" ht="15.75">
      <c r="A18" s="85" t="str">
        <f>IF(inputPrYr!$B29&gt;"  ",(inputPrYr!$B29),"  ")</f>
        <v>  </v>
      </c>
      <c r="B18" s="151" t="str">
        <f>IF(inputPrYr!$E29&gt;0,(inputPrYr!$E29),"  ")</f>
        <v>  </v>
      </c>
      <c r="C18" s="151" t="str">
        <f>IF(inputPrYr!E29&gt;0,ROUND(B18*$C$26,0),"  ")</f>
        <v>  </v>
      </c>
      <c r="D18" s="151" t="str">
        <f>IF(inputPrYr!E29&gt;0,ROUND(+B18*D$27,0)," ")</f>
        <v> </v>
      </c>
      <c r="E18" s="151" t="str">
        <f>IF(inputPrYr!E29&gt;0,ROUND(+B18*E$28,0)," ")</f>
        <v> </v>
      </c>
      <c r="F18" s="151" t="str">
        <f>IF(inputPrYr!E29&gt;0,ROUND(+B18*F$29,0)," ")</f>
        <v> </v>
      </c>
    </row>
    <row r="19" spans="1:6" ht="15.75">
      <c r="A19" s="85" t="str">
        <f>IF(inputPrYr!$B30&gt;"  ",(inputPrYr!$B30),"  ")</f>
        <v>  </v>
      </c>
      <c r="B19" s="151" t="str">
        <f>IF(inputPrYr!$E30&gt;0,(inputPrYr!$E30),"  ")</f>
        <v>  </v>
      </c>
      <c r="C19" s="151" t="str">
        <f>IF(inputPrYr!E30&gt;0,ROUND(B19*$C$26,0),"  ")</f>
        <v>  </v>
      </c>
      <c r="D19" s="151" t="str">
        <f>IF(inputPrYr!E30&gt;0,ROUND(+B19*D$27,0)," ")</f>
        <v> </v>
      </c>
      <c r="E19" s="151" t="str">
        <f>IF(inputPrYr!E30&gt;0,ROUND(+B19*E$28,0)," ")</f>
        <v> </v>
      </c>
      <c r="F19" s="151" t="str">
        <f>IF(inputPrYr!E30&gt;0,ROUND(+B19*F$29,0)," ")</f>
        <v> </v>
      </c>
    </row>
    <row r="20" spans="1:6" ht="16.5" thickBot="1">
      <c r="A20" s="45" t="s">
        <v>99</v>
      </c>
      <c r="B20" s="203">
        <f>SUM(B7:B19)</f>
        <v>522828</v>
      </c>
      <c r="C20" s="203">
        <f>SUM(C7:C19)</f>
        <v>76288</v>
      </c>
      <c r="D20" s="203">
        <f>SUM(D7:D19)</f>
        <v>1477</v>
      </c>
      <c r="E20" s="203">
        <f>SUM(E7:E19)</f>
        <v>837</v>
      </c>
      <c r="F20" s="204">
        <f>SUM(F7:F19)</f>
        <v>0</v>
      </c>
    </row>
    <row r="21" spans="1:6" ht="16.5" thickTop="1">
      <c r="A21" s="45"/>
      <c r="B21" s="75"/>
      <c r="C21" s="75"/>
      <c r="D21" s="75"/>
      <c r="E21" s="75"/>
      <c r="F21" s="45"/>
    </row>
    <row r="22" spans="1:6" ht="15.75">
      <c r="A22" s="50" t="s">
        <v>100</v>
      </c>
      <c r="B22" s="205"/>
      <c r="C22" s="206">
        <f>(inputOth!E39)</f>
        <v>76288</v>
      </c>
      <c r="D22" s="205"/>
      <c r="E22" s="45"/>
      <c r="F22" s="45"/>
    </row>
    <row r="23" spans="1:6" ht="15.75">
      <c r="A23" s="50" t="s">
        <v>101</v>
      </c>
      <c r="B23" s="45"/>
      <c r="C23" s="45"/>
      <c r="D23" s="206">
        <f>(inputOth!E40)</f>
        <v>1477</v>
      </c>
      <c r="E23" s="45"/>
      <c r="F23" s="45"/>
    </row>
    <row r="24" spans="1:6" ht="15.75">
      <c r="A24" s="50" t="s">
        <v>180</v>
      </c>
      <c r="B24" s="45"/>
      <c r="C24" s="45"/>
      <c r="D24" s="45"/>
      <c r="E24" s="206">
        <f>inputOth!E41</f>
        <v>837</v>
      </c>
      <c r="F24" s="45"/>
    </row>
    <row r="25" spans="1:6" ht="15.75">
      <c r="A25" s="50" t="s">
        <v>7</v>
      </c>
      <c r="B25" s="45"/>
      <c r="C25" s="45"/>
      <c r="D25" s="45"/>
      <c r="E25" s="75"/>
      <c r="F25" s="185">
        <f>inputOth!E44</f>
        <v>0</v>
      </c>
    </row>
    <row r="26" spans="1:6" ht="15.75">
      <c r="A26" s="50" t="s">
        <v>102</v>
      </c>
      <c r="B26" s="45"/>
      <c r="C26" s="207">
        <f>IF(B20=0,0,C22/B20)</f>
        <v>0.14591414384845494</v>
      </c>
      <c r="D26" s="45"/>
      <c r="E26" s="45"/>
      <c r="F26" s="45"/>
    </row>
    <row r="27" spans="1:6" ht="15.75">
      <c r="A27" s="45"/>
      <c r="B27" s="50" t="s">
        <v>103</v>
      </c>
      <c r="C27" s="45"/>
      <c r="D27" s="207">
        <f>IF(B20=0,0,D23/B20)</f>
        <v>0.0028250208481565638</v>
      </c>
      <c r="E27" s="45"/>
      <c r="F27" s="45"/>
    </row>
    <row r="28" spans="1:6" ht="15.75">
      <c r="A28" s="45"/>
      <c r="B28" s="45"/>
      <c r="C28" s="50" t="s">
        <v>181</v>
      </c>
      <c r="D28" s="45"/>
      <c r="E28" s="207">
        <f>IF(B20=0,0,E24/B20)</f>
        <v>0.0016009089031191902</v>
      </c>
      <c r="F28" s="45"/>
    </row>
    <row r="29" spans="1:6" ht="15.75">
      <c r="A29" s="45"/>
      <c r="B29" s="45"/>
      <c r="C29" s="45"/>
      <c r="D29" s="45" t="s">
        <v>8</v>
      </c>
      <c r="E29" s="45"/>
      <c r="F29" s="207">
        <f>IF(B20=0,0,F25/B20)</f>
        <v>0</v>
      </c>
    </row>
    <row r="30" spans="1:6" ht="15.75">
      <c r="A30" s="66"/>
      <c r="B30" s="66"/>
      <c r="C30" s="66"/>
      <c r="D30" s="66"/>
      <c r="E30" s="66"/>
      <c r="F30" s="66"/>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0">
      <selection activeCell="A35" sqref="A35"/>
    </sheetView>
  </sheetViews>
  <sheetFormatPr defaultColWidth="8.796875" defaultRowHeight="15"/>
  <cols>
    <col min="1" max="2" width="17.796875" style="30" customWidth="1"/>
    <col min="3" max="6" width="12.796875" style="30" customWidth="1"/>
    <col min="7" max="16384" width="8.8984375" style="30" customWidth="1"/>
  </cols>
  <sheetData>
    <row r="1" spans="1:6" ht="15.75">
      <c r="A1" s="175" t="str">
        <f>inputPrYr!D2</f>
        <v>City of Kechi </v>
      </c>
      <c r="B1" s="175"/>
      <c r="C1" s="174"/>
      <c r="D1" s="174"/>
      <c r="E1" s="174"/>
      <c r="F1" s="174">
        <f>inputPrYr!$C$5</f>
        <v>2012</v>
      </c>
    </row>
    <row r="2" spans="1:6" ht="15.75">
      <c r="A2" s="174"/>
      <c r="B2" s="174"/>
      <c r="C2" s="174"/>
      <c r="D2" s="174"/>
      <c r="E2" s="174"/>
      <c r="F2" s="174"/>
    </row>
    <row r="3" spans="1:6" ht="15.75">
      <c r="A3" s="660" t="s">
        <v>234</v>
      </c>
      <c r="B3" s="660"/>
      <c r="C3" s="660"/>
      <c r="D3" s="660"/>
      <c r="E3" s="660"/>
      <c r="F3" s="660"/>
    </row>
    <row r="4" spans="1:6" ht="15.75">
      <c r="A4" s="208"/>
      <c r="B4" s="208"/>
      <c r="C4" s="208"/>
      <c r="D4" s="208"/>
      <c r="E4" s="208"/>
      <c r="F4" s="208"/>
    </row>
    <row r="5" spans="1:6" ht="15.75">
      <c r="A5" s="209" t="s">
        <v>620</v>
      </c>
      <c r="B5" s="209" t="s">
        <v>621</v>
      </c>
      <c r="C5" s="209" t="s">
        <v>127</v>
      </c>
      <c r="D5" s="209" t="s">
        <v>242</v>
      </c>
      <c r="E5" s="209" t="s">
        <v>243</v>
      </c>
      <c r="F5" s="209" t="s">
        <v>274</v>
      </c>
    </row>
    <row r="6" spans="1:6" ht="15.75">
      <c r="A6" s="210" t="s">
        <v>622</v>
      </c>
      <c r="B6" s="210" t="s">
        <v>623</v>
      </c>
      <c r="C6" s="210" t="s">
        <v>275</v>
      </c>
      <c r="D6" s="210" t="s">
        <v>275</v>
      </c>
      <c r="E6" s="210" t="s">
        <v>275</v>
      </c>
      <c r="F6" s="210" t="s">
        <v>276</v>
      </c>
    </row>
    <row r="7" spans="1:6" ht="15" customHeight="1">
      <c r="A7" s="211" t="s">
        <v>277</v>
      </c>
      <c r="B7" s="211" t="s">
        <v>278</v>
      </c>
      <c r="C7" s="212">
        <f>F1-2</f>
        <v>2010</v>
      </c>
      <c r="D7" s="212">
        <f>F1-1</f>
        <v>2011</v>
      </c>
      <c r="E7" s="212">
        <f>F1</f>
        <v>2012</v>
      </c>
      <c r="F7" s="211" t="s">
        <v>279</v>
      </c>
    </row>
    <row r="8" spans="1:6" ht="14.25" customHeight="1">
      <c r="A8" s="635" t="s">
        <v>960</v>
      </c>
      <c r="B8" s="635" t="s">
        <v>961</v>
      </c>
      <c r="C8" s="636">
        <v>13363.2</v>
      </c>
      <c r="D8" s="636"/>
      <c r="E8" s="636"/>
      <c r="F8" s="637" t="s">
        <v>962</v>
      </c>
    </row>
    <row r="9" spans="1:6" ht="15" customHeight="1">
      <c r="A9" s="638"/>
      <c r="B9" s="638"/>
      <c r="C9" s="639"/>
      <c r="D9" s="639"/>
      <c r="E9" s="639"/>
      <c r="F9" s="637"/>
    </row>
    <row r="10" spans="1:6" ht="15" customHeight="1">
      <c r="A10" s="638" t="s">
        <v>963</v>
      </c>
      <c r="B10" s="638" t="s">
        <v>964</v>
      </c>
      <c r="C10" s="639">
        <v>20000</v>
      </c>
      <c r="D10" s="639">
        <v>20000</v>
      </c>
      <c r="E10" s="639">
        <v>15000</v>
      </c>
      <c r="F10" s="637" t="s">
        <v>965</v>
      </c>
    </row>
    <row r="11" spans="1:6" ht="15" customHeight="1">
      <c r="A11" s="638"/>
      <c r="B11" s="638" t="s">
        <v>821</v>
      </c>
      <c r="C11" s="639">
        <v>10000</v>
      </c>
      <c r="D11" s="639">
        <v>15000</v>
      </c>
      <c r="E11" s="639">
        <v>10000</v>
      </c>
      <c r="F11" s="637" t="s">
        <v>971</v>
      </c>
    </row>
    <row r="12" spans="1:6" ht="15" customHeight="1">
      <c r="A12" s="638"/>
      <c r="B12" s="638" t="s">
        <v>820</v>
      </c>
      <c r="C12" s="639"/>
      <c r="D12" s="639">
        <v>25000</v>
      </c>
      <c r="E12" s="639">
        <v>25000</v>
      </c>
      <c r="F12" s="637"/>
    </row>
    <row r="13" spans="1:6" ht="15" customHeight="1">
      <c r="A13" s="638"/>
      <c r="B13" s="638"/>
      <c r="C13" s="639"/>
      <c r="D13" s="639"/>
      <c r="E13" s="639"/>
      <c r="F13" s="637"/>
    </row>
    <row r="14" spans="1:6" ht="15" customHeight="1">
      <c r="A14" s="638" t="s">
        <v>966</v>
      </c>
      <c r="B14" s="638" t="s">
        <v>964</v>
      </c>
      <c r="C14" s="639">
        <v>6500</v>
      </c>
      <c r="D14" s="639"/>
      <c r="E14" s="639">
        <v>10000</v>
      </c>
      <c r="F14" s="637" t="s">
        <v>965</v>
      </c>
    </row>
    <row r="15" spans="1:6" ht="15" customHeight="1">
      <c r="A15" s="638"/>
      <c r="B15" s="638" t="s">
        <v>821</v>
      </c>
      <c r="C15" s="639">
        <v>6000</v>
      </c>
      <c r="D15" s="639"/>
      <c r="E15" s="639">
        <v>15000</v>
      </c>
      <c r="F15" s="637" t="s">
        <v>971</v>
      </c>
    </row>
    <row r="16" spans="1:6" ht="15" customHeight="1">
      <c r="A16" s="638"/>
      <c r="B16" s="638" t="s">
        <v>816</v>
      </c>
      <c r="C16" s="639">
        <v>7500</v>
      </c>
      <c r="D16" s="639">
        <v>15000</v>
      </c>
      <c r="E16" s="639">
        <v>70000</v>
      </c>
      <c r="F16" s="637" t="s">
        <v>969</v>
      </c>
    </row>
    <row r="17" spans="1:6" ht="15" customHeight="1">
      <c r="A17" s="638"/>
      <c r="B17" s="638"/>
      <c r="C17" s="639"/>
      <c r="D17" s="639"/>
      <c r="E17" s="639"/>
      <c r="F17" s="637"/>
    </row>
    <row r="18" spans="1:6" ht="15" customHeight="1">
      <c r="A18" s="638" t="s">
        <v>967</v>
      </c>
      <c r="B18" s="638" t="s">
        <v>968</v>
      </c>
      <c r="C18" s="639">
        <v>55000</v>
      </c>
      <c r="D18" s="639">
        <v>60000</v>
      </c>
      <c r="E18" s="639">
        <v>60000</v>
      </c>
      <c r="F18" s="637"/>
    </row>
    <row r="19" spans="1:6" ht="15" customHeight="1">
      <c r="A19" s="638"/>
      <c r="B19" s="638" t="s">
        <v>964</v>
      </c>
      <c r="C19" s="639"/>
      <c r="D19" s="639"/>
      <c r="E19" s="639">
        <v>10000</v>
      </c>
      <c r="F19" s="637" t="s">
        <v>965</v>
      </c>
    </row>
    <row r="20" spans="1:6" ht="15" customHeight="1">
      <c r="A20" s="638"/>
      <c r="B20" s="638" t="s">
        <v>821</v>
      </c>
      <c r="C20" s="639"/>
      <c r="D20" s="639"/>
      <c r="E20" s="639">
        <v>10000</v>
      </c>
      <c r="F20" s="637" t="s">
        <v>971</v>
      </c>
    </row>
    <row r="21" spans="1:6" ht="15" customHeight="1">
      <c r="A21" s="638"/>
      <c r="B21" s="638" t="s">
        <v>818</v>
      </c>
      <c r="C21" s="639"/>
      <c r="D21" s="639"/>
      <c r="E21" s="639">
        <v>2500</v>
      </c>
      <c r="F21" s="637" t="s">
        <v>973</v>
      </c>
    </row>
    <row r="22" spans="1:6" ht="15" customHeight="1">
      <c r="A22" s="638"/>
      <c r="B22" s="638"/>
      <c r="C22" s="639"/>
      <c r="D22" s="639"/>
      <c r="E22" s="639"/>
      <c r="F22" s="637"/>
    </row>
    <row r="23" spans="1:6" ht="15" customHeight="1">
      <c r="A23" s="638" t="s">
        <v>972</v>
      </c>
      <c r="B23" s="638" t="s">
        <v>968</v>
      </c>
      <c r="C23" s="639">
        <v>0</v>
      </c>
      <c r="D23" s="639">
        <v>5000</v>
      </c>
      <c r="E23" s="639">
        <v>10000</v>
      </c>
      <c r="F23" s="637"/>
    </row>
    <row r="24" spans="1:6" ht="15" customHeight="1">
      <c r="A24" s="638"/>
      <c r="B24" s="638"/>
      <c r="C24" s="639">
        <v>0</v>
      </c>
      <c r="D24" s="639"/>
      <c r="E24" s="639"/>
      <c r="F24" s="637"/>
    </row>
    <row r="25" spans="1:6" ht="15" customHeight="1">
      <c r="A25" s="638"/>
      <c r="B25" s="638"/>
      <c r="C25" s="639"/>
      <c r="D25" s="639"/>
      <c r="E25" s="639"/>
      <c r="F25" s="637"/>
    </row>
    <row r="26" spans="1:6" ht="15" customHeight="1">
      <c r="A26" s="638" t="s">
        <v>970</v>
      </c>
      <c r="B26" s="638" t="s">
        <v>964</v>
      </c>
      <c r="C26" s="639">
        <v>0</v>
      </c>
      <c r="D26" s="639"/>
      <c r="E26" s="639">
        <v>19550</v>
      </c>
      <c r="F26" s="637" t="s">
        <v>965</v>
      </c>
    </row>
    <row r="27" spans="1:6" ht="15" customHeight="1">
      <c r="A27" s="638"/>
      <c r="B27" s="638" t="s">
        <v>821</v>
      </c>
      <c r="C27" s="639">
        <v>0</v>
      </c>
      <c r="D27" s="639"/>
      <c r="E27" s="639">
        <v>30000</v>
      </c>
      <c r="F27" s="637" t="s">
        <v>971</v>
      </c>
    </row>
    <row r="28" spans="1:6" ht="15" customHeight="1">
      <c r="A28" s="638"/>
      <c r="B28" s="638" t="s">
        <v>968</v>
      </c>
      <c r="C28" s="639"/>
      <c r="D28" s="639">
        <v>50000</v>
      </c>
      <c r="E28" s="639">
        <v>19250</v>
      </c>
      <c r="F28" s="637"/>
    </row>
    <row r="29" spans="1:6" ht="15" customHeight="1">
      <c r="A29" s="638"/>
      <c r="B29" s="638"/>
      <c r="C29" s="639"/>
      <c r="D29" s="639"/>
      <c r="E29" s="639"/>
      <c r="F29" s="637"/>
    </row>
    <row r="30" spans="1:6" ht="15" customHeight="1">
      <c r="A30" s="96"/>
      <c r="B30" s="214" t="s">
        <v>93</v>
      </c>
      <c r="C30" s="215">
        <f>SUM(C8:C29)</f>
        <v>118363.2</v>
      </c>
      <c r="D30" s="215">
        <f>SUM(D8:D29)</f>
        <v>190000</v>
      </c>
      <c r="E30" s="215">
        <f>SUM(E8:E29)</f>
        <v>306300</v>
      </c>
      <c r="F30" s="216"/>
    </row>
    <row r="31" spans="1:6" ht="15" customHeight="1">
      <c r="A31" s="96"/>
      <c r="B31" s="217" t="s">
        <v>280</v>
      </c>
      <c r="C31" s="156"/>
      <c r="D31" s="218"/>
      <c r="E31" s="218"/>
      <c r="F31" s="216"/>
    </row>
    <row r="32" spans="1:6" ht="15" customHeight="1">
      <c r="A32" s="96"/>
      <c r="B32" s="214" t="s">
        <v>281</v>
      </c>
      <c r="C32" s="215">
        <f>C30</f>
        <v>118363.2</v>
      </c>
      <c r="D32" s="215">
        <f>SUM(D30-D31)</f>
        <v>190000</v>
      </c>
      <c r="E32" s="215">
        <f>SUM(E30-E31)</f>
        <v>306300</v>
      </c>
      <c r="F32" s="216"/>
    </row>
    <row r="33" spans="1:6" ht="15" customHeight="1">
      <c r="A33" s="96"/>
      <c r="B33" s="96"/>
      <c r="C33" s="96"/>
      <c r="D33" s="96"/>
      <c r="E33" s="96"/>
      <c r="F33" s="96"/>
    </row>
    <row r="34" spans="1:6" ht="15" customHeight="1">
      <c r="A34" s="96"/>
      <c r="B34" s="96"/>
      <c r="C34" s="96"/>
      <c r="D34" s="96"/>
      <c r="E34" s="96"/>
      <c r="F34" s="96"/>
    </row>
    <row r="35" spans="1:6" ht="15" customHeight="1">
      <c r="A35" s="344" t="s">
        <v>619</v>
      </c>
      <c r="B35" s="345" t="str">
        <f>CONCATENATE("Adjustments are required only if the transfer is being made in ",D7," and/or ",E7," from a non-budgeted fund.")</f>
        <v>Adjustments are required only if the transfer is being made in 2011 and/or 2012 from a non-budgeted fund.</v>
      </c>
      <c r="C35" s="96"/>
      <c r="D35" s="96"/>
      <c r="E35" s="96"/>
      <c r="F35" s="96"/>
    </row>
    <row r="36" ht="15" customHeight="1"/>
  </sheetData>
  <sheetProtection/>
  <mergeCells count="1">
    <mergeCell ref="A3:F3"/>
  </mergeCells>
  <printOptions/>
  <pageMargins left="0.75" right="0.75" top="1" bottom="1" header="0.5" footer="0.5"/>
  <pageSetup blackAndWhite="1" fitToHeight="1" fitToWidth="1" horizontalDpi="600" verticalDpi="600" orientation="landscape" scale="9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43">
      <selection activeCell="A3" sqref="A3"/>
    </sheetView>
  </sheetViews>
  <sheetFormatPr defaultColWidth="8.796875" defaultRowHeight="15"/>
  <cols>
    <col min="1" max="1" width="70.59765625" style="473" customWidth="1"/>
    <col min="2" max="16384" width="8.8984375" style="473" customWidth="1"/>
  </cols>
  <sheetData>
    <row r="1" ht="18.75">
      <c r="A1" s="474" t="s">
        <v>340</v>
      </c>
    </row>
    <row r="2" ht="18.75">
      <c r="A2" s="474"/>
    </row>
    <row r="3" ht="18.75">
      <c r="A3" s="474"/>
    </row>
    <row r="4" ht="51.75" customHeight="1">
      <c r="A4" s="484" t="s">
        <v>746</v>
      </c>
    </row>
    <row r="5" ht="18.75">
      <c r="A5" s="474"/>
    </row>
    <row r="6" ht="15.75">
      <c r="A6" s="475"/>
    </row>
    <row r="7" ht="47.25">
      <c r="A7" s="476" t="s">
        <v>341</v>
      </c>
    </row>
    <row r="8" ht="15.75">
      <c r="A8" s="475"/>
    </row>
    <row r="9" ht="15.75">
      <c r="A9" s="475"/>
    </row>
    <row r="10" ht="63">
      <c r="A10" s="476" t="s">
        <v>342</v>
      </c>
    </row>
    <row r="11" ht="15.75">
      <c r="A11" s="477"/>
    </row>
    <row r="12" ht="15.75">
      <c r="A12" s="475"/>
    </row>
    <row r="13" ht="47.25">
      <c r="A13" s="476" t="s">
        <v>343</v>
      </c>
    </row>
    <row r="14" ht="15.75">
      <c r="A14" s="477"/>
    </row>
    <row r="15" ht="15.75">
      <c r="A15" s="475"/>
    </row>
    <row r="16" ht="47.25">
      <c r="A16" s="476" t="s">
        <v>344</v>
      </c>
    </row>
    <row r="17" ht="15.75">
      <c r="A17" s="477"/>
    </row>
    <row r="18" ht="15.75">
      <c r="A18" s="477"/>
    </row>
    <row r="19" ht="47.25">
      <c r="A19" s="476" t="s">
        <v>345</v>
      </c>
    </row>
    <row r="20" ht="15.75">
      <c r="A20" s="477"/>
    </row>
    <row r="21" ht="15.75">
      <c r="A21" s="477"/>
    </row>
    <row r="22" ht="47.25">
      <c r="A22" s="476" t="s">
        <v>346</v>
      </c>
    </row>
    <row r="23" ht="15.75">
      <c r="A23" s="477"/>
    </row>
    <row r="24" ht="15.75">
      <c r="A24" s="477"/>
    </row>
    <row r="25" ht="31.5">
      <c r="A25" s="476" t="s">
        <v>347</v>
      </c>
    </row>
    <row r="26" ht="15.75">
      <c r="A26" s="475"/>
    </row>
    <row r="27" ht="15.75">
      <c r="A27" s="475"/>
    </row>
    <row r="28" ht="60">
      <c r="A28" s="478" t="s">
        <v>348</v>
      </c>
    </row>
    <row r="29" ht="15">
      <c r="A29" s="479"/>
    </row>
    <row r="30" ht="15">
      <c r="A30" s="479"/>
    </row>
    <row r="31" ht="47.25">
      <c r="A31" s="476" t="s">
        <v>349</v>
      </c>
    </row>
    <row r="32" ht="15.75">
      <c r="A32" s="475"/>
    </row>
    <row r="33" ht="15.75">
      <c r="A33" s="475"/>
    </row>
    <row r="34" ht="66.75" customHeight="1">
      <c r="A34" s="483" t="s">
        <v>747</v>
      </c>
    </row>
    <row r="35" ht="15.75">
      <c r="A35" s="475"/>
    </row>
    <row r="36" ht="15.75">
      <c r="A36" s="475"/>
    </row>
    <row r="37" ht="63">
      <c r="A37" s="480" t="s">
        <v>350</v>
      </c>
    </row>
    <row r="38" ht="15.75">
      <c r="A38" s="477"/>
    </row>
    <row r="39" ht="15.75">
      <c r="A39" s="475"/>
    </row>
    <row r="40" ht="63">
      <c r="A40" s="476" t="s">
        <v>351</v>
      </c>
    </row>
    <row r="41" ht="15.75">
      <c r="A41" s="477"/>
    </row>
    <row r="42" ht="15.75">
      <c r="A42" s="477"/>
    </row>
    <row r="43" ht="82.5" customHeight="1">
      <c r="A43" s="472" t="s">
        <v>748</v>
      </c>
    </row>
    <row r="44" ht="15.75">
      <c r="A44" s="477"/>
    </row>
    <row r="45" ht="15.75">
      <c r="A45" s="477"/>
    </row>
    <row r="46" ht="69" customHeight="1">
      <c r="A46" s="472" t="s">
        <v>749</v>
      </c>
    </row>
    <row r="47" ht="15.75">
      <c r="A47" s="477"/>
    </row>
    <row r="48" ht="15.75">
      <c r="A48" s="477"/>
    </row>
    <row r="49" ht="69" customHeight="1">
      <c r="A49" s="472" t="s">
        <v>750</v>
      </c>
    </row>
    <row r="50" ht="15.75">
      <c r="A50" s="477"/>
    </row>
    <row r="51" ht="15.75">
      <c r="A51" s="477"/>
    </row>
    <row r="52" ht="63">
      <c r="A52" s="476" t="s">
        <v>352</v>
      </c>
    </row>
    <row r="53" ht="15.75">
      <c r="A53" s="477"/>
    </row>
    <row r="54" ht="15.75">
      <c r="A54" s="477"/>
    </row>
    <row r="55" ht="63">
      <c r="A55" s="476" t="s">
        <v>353</v>
      </c>
    </row>
    <row r="56" ht="15.75">
      <c r="A56" s="477"/>
    </row>
    <row r="57" ht="15.75">
      <c r="A57" s="477"/>
    </row>
    <row r="58" ht="47.25">
      <c r="A58" s="476" t="s">
        <v>354</v>
      </c>
    </row>
    <row r="59" ht="15.75">
      <c r="A59" s="477"/>
    </row>
    <row r="60" ht="15.75">
      <c r="A60" s="477"/>
    </row>
    <row r="61" ht="47.25">
      <c r="A61" s="476" t="s">
        <v>355</v>
      </c>
    </row>
    <row r="62" ht="15.75">
      <c r="A62" s="477"/>
    </row>
    <row r="63" ht="15.75">
      <c r="A63" s="477"/>
    </row>
    <row r="64" ht="78.75">
      <c r="A64" s="476" t="s">
        <v>356</v>
      </c>
    </row>
    <row r="65" ht="15">
      <c r="A65" s="481"/>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2011-08-16T20:59:45Z</cp:lastPrinted>
  <dcterms:created xsi:type="dcterms:W3CDTF">1999-08-03T13:11:47Z</dcterms:created>
  <dcterms:modified xsi:type="dcterms:W3CDTF">2012-02-14T19:10:06Z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