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2" activeTab="12"/>
  </bookViews>
  <sheets>
    <sheet name="inputPrYr" sheetId="1" r:id="rId1"/>
    <sheet name="inputOth" sheetId="2" r:id="rId2"/>
    <sheet name="inputBudSum" sheetId="3" r:id="rId3"/>
    <sheet name="cert" sheetId="4" r:id="rId4"/>
    <sheet name="computation" sheetId="5" r:id="rId5"/>
    <sheet name="Mvalloc" sheetId="6" r:id="rId6"/>
    <sheet name="general" sheetId="7" r:id="rId7"/>
    <sheet name="SpecHwy" sheetId="8" r:id="rId8"/>
    <sheet name="summ" sheetId="9" r:id="rId9"/>
    <sheet name="Nhood" sheetId="10" r:id="rId10"/>
    <sheet name="ordinance" sheetId="11" r:id="rId11"/>
    <sheet name="Signature" sheetId="12" r:id="rId12"/>
    <sheet name="Publication" sheetId="13" r:id="rId13"/>
  </sheets>
  <definedNames>
    <definedName name="_xlnm.Print_Area" localSheetId="6">'general'!$B$1:$E$45</definedName>
    <definedName name="_xlnm.Print_Area" localSheetId="0">'inputPrYr'!$A$1:$E$54</definedName>
    <definedName name="_xlnm.Print_Area" localSheetId="8">'summ'!$A$1:$H$48</definedName>
  </definedNames>
  <calcPr fullCalcOnLoad="1"/>
</workbook>
</file>

<file path=xl/sharedStrings.xml><?xml version="1.0" encoding="utf-8"?>
<sst xmlns="http://schemas.openxmlformats.org/spreadsheetml/2006/main" count="307" uniqueCount="242">
  <si>
    <t xml:space="preserve">adopt an ordinance to exceed this limit, publish the ordinance, and </t>
  </si>
  <si>
    <t>attach a copy of the published ordinance to this budget.</t>
  </si>
  <si>
    <t xml:space="preserve"> Expenditures</t>
  </si>
  <si>
    <t>Estimate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</si>
  <si>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</si>
  <si>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</si>
  <si>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</si>
  <si>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</si>
  <si>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Note:  All amounts are to be entered in as whole numbers only.</t>
  </si>
  <si>
    <t xml:space="preserve">The input for the following comes directly from </t>
  </si>
  <si>
    <t>Date Attested:________________,</t>
  </si>
  <si>
    <t>Budget Summary</t>
  </si>
  <si>
    <t>Non-budgeted funds:</t>
  </si>
  <si>
    <t>Is an Ordinance required  to be passed, published, and attached to the budget?</t>
  </si>
  <si>
    <t>Outstanding Indebtedness, January 1:</t>
  </si>
  <si>
    <t>From the League of Municipalities' Budget Tips (Special City and County Highway Fund)</t>
  </si>
  <si>
    <t xml:space="preserve">Neighborhood Revitalization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</si>
  <si>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</si>
  <si>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</si>
  <si>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</si>
  <si>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</si>
  <si>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</si>
  <si>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</si>
  <si>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</si>
  <si>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</si>
  <si>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</si>
  <si>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Enter City Name (City of)</t>
  </si>
  <si>
    <t>Enter County Name followed by "County"</t>
  </si>
  <si>
    <t>Single No Tax Levy Fund:</t>
  </si>
  <si>
    <t xml:space="preserve">Ad Valorem Tax </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</si>
  <si>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</si>
  <si>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</si>
  <si>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</si>
  <si>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</si>
  <si>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</si>
  <si>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</si>
  <si>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</si>
  <si>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</si>
  <si>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</si>
  <si>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</si>
  <si>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</si>
  <si>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</si>
  <si>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</si>
  <si>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</si>
  <si>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</si>
  <si>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</si>
  <si>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</si>
  <si>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</si>
  <si>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</si>
  <si>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</si>
  <si>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</si>
  <si>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</si>
  <si>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</si>
  <si>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</si>
  <si>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</si>
  <si>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</si>
  <si>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</si>
  <si>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</si>
  <si>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Fund</t>
  </si>
  <si>
    <t>K.S.A.</t>
  </si>
  <si>
    <t>x</t>
  </si>
  <si>
    <t>Assisted by:</t>
  </si>
  <si>
    <t>Governing Body</t>
  </si>
  <si>
    <t>County Clerk</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</si>
  <si>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</si>
  <si>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</si>
  <si>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</si>
  <si>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</si>
  <si>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</si>
  <si>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</si>
  <si>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</si>
  <si>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</si>
  <si>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</si>
  <si>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</si>
  <si>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</si>
  <si>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Total Receipts</t>
  </si>
  <si>
    <t>Resources Available:</t>
  </si>
  <si>
    <t>Expenditures:</t>
  </si>
  <si>
    <t>Total Expenditures</t>
  </si>
  <si>
    <t>Tax Required</t>
  </si>
  <si>
    <t>Page No.</t>
  </si>
  <si>
    <t>Actual</t>
  </si>
  <si>
    <t>State of Kansas Gas Tax</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</si>
  <si>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</si>
  <si>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</si>
  <si>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</si>
  <si>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</si>
  <si>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</si>
  <si>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</si>
  <si>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</si>
  <si>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</si>
  <si>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</si>
  <si>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</si>
  <si>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</si>
  <si>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</si>
  <si>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</si>
  <si>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</si>
  <si>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</si>
  <si>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Rate</t>
  </si>
  <si>
    <t>Other</t>
  </si>
  <si>
    <t>16/20M Vehicle Tax</t>
  </si>
  <si>
    <t>CERTIFICATE</t>
  </si>
  <si>
    <t>NOTICE OF BUDGET HEARING</t>
  </si>
  <si>
    <t>BUDGET SUMMARY</t>
  </si>
  <si>
    <t>FUND PAGE FOR FUNDS WITH NO TAX LEVY</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</si>
  <si>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</si>
  <si>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</si>
  <si>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</si>
  <si>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</si>
  <si>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</si>
  <si>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</si>
  <si>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</si>
  <si>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</si>
  <si>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</si>
  <si>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</si>
  <si>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</si>
  <si>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</si>
  <si>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</si>
  <si>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</si>
  <si>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</si>
  <si>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</si>
  <si>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</si>
  <si>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</si>
  <si>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</si>
  <si>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</si>
  <si>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</si>
  <si>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</si>
  <si>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</si>
  <si>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</si>
  <si>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</si>
  <si>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</si>
  <si>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</si>
  <si>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</si>
  <si>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</si>
  <si>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</si>
  <si>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Miscellaneous</t>
  </si>
  <si>
    <t xml:space="preserve">  3.</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</si>
  <si>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</si>
  <si>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</si>
  <si>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</si>
  <si>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</si>
  <si>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</si>
  <si>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</si>
  <si>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</si>
  <si>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</si>
  <si>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</si>
  <si>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</si>
  <si>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</si>
  <si>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</si>
  <si>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</si>
  <si>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</si>
  <si>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</si>
  <si>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</si>
  <si>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</si>
  <si>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</si>
  <si>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</si>
  <si>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</si>
  <si>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</si>
  <si>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</si>
  <si>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</si>
  <si>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</si>
  <si>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</si>
  <si>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</si>
  <si>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</si>
  <si>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</si>
  <si>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</si>
  <si>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</si>
  <si>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</si>
  <si>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</si>
  <si>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</si>
  <si>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</si>
  <si>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</si>
  <si>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</si>
  <si>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</si>
  <si>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Address:</t>
  </si>
  <si>
    <t>Enter year being budgeted (YYYY)</t>
  </si>
  <si>
    <t>Current Year Estimate</t>
  </si>
  <si>
    <t>Proposed Budget Year</t>
  </si>
  <si>
    <t xml:space="preserve">Computation to Determine Limit for </t>
  </si>
  <si>
    <t>Budgeted Funds for</t>
  </si>
  <si>
    <t>Budget Tax Levy Amt for</t>
  </si>
  <si>
    <t xml:space="preserve">  G.O. Bonds</t>
  </si>
  <si>
    <t xml:space="preserve">  Revenue Bonds</t>
  </si>
  <si>
    <t xml:space="preserve">  Other</t>
  </si>
  <si>
    <t xml:space="preserve">  Lease Purchase Principal</t>
  </si>
  <si>
    <t>County Transfers Gas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</si>
  <si>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</si>
  <si>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</si>
  <si>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</si>
  <si>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</si>
  <si>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</si>
  <si>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</si>
  <si>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</si>
  <si>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</si>
  <si>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</si>
  <si>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</si>
  <si>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</si>
  <si>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</si>
  <si>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</si>
  <si>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</si>
  <si>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</si>
  <si>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</si>
  <si>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</si>
  <si>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answering objections of taxpayers relating to the proposed use of all funds and the amount of ad valorem tax.</t>
  </si>
  <si>
    <t>the Neighborhood Revitalization Rebate table.</t>
  </si>
  <si>
    <t>We, the undersigned, officers of</t>
  </si>
  <si>
    <t>Capital Outlay</t>
  </si>
  <si>
    <t>Official Title:</t>
  </si>
  <si>
    <t>City Clerk, City Treasurer, Mayor</t>
  </si>
  <si>
    <t>Does miscellaneous exceed 10% of Total Exp</t>
  </si>
  <si>
    <t>Does miscellaneous exceed 10% of Total Rec</t>
  </si>
  <si>
    <t>Non-Appropriated Balance</t>
  </si>
  <si>
    <t>Total Expenditure/Non-Appr Balance</t>
  </si>
  <si>
    <t>Delinquent Comp Rate:</t>
  </si>
  <si>
    <t>for Expenditures</t>
  </si>
  <si>
    <t>Estimated Mill Rate Impact:</t>
  </si>
  <si>
    <t>Desired Carryover Amount:</t>
  </si>
  <si>
    <t>City Official Title:</t>
  </si>
  <si>
    <t>Change in Ad Valorem Tax Revenue:</t>
  </si>
  <si>
    <t>What Mill Rate Would Be Desired?</t>
  </si>
  <si>
    <t xml:space="preserve">Totals </t>
  </si>
  <si>
    <t>Smith County</t>
  </si>
  <si>
    <t>Noxious Weed</t>
  </si>
  <si>
    <t>Library</t>
  </si>
  <si>
    <t>2-1318</t>
  </si>
  <si>
    <t>12-1220</t>
  </si>
  <si>
    <t>_______________</t>
  </si>
  <si>
    <t>________</t>
  </si>
  <si>
    <t>ADAMS, BROWN, BERAN</t>
  </si>
  <si>
    <t>&amp; BALL, CHTD.</t>
  </si>
  <si>
    <t>PO BOX 1186</t>
  </si>
  <si>
    <t>HAYS, KS 67601</t>
  </si>
  <si>
    <t>Contractual</t>
  </si>
  <si>
    <t>Commodities</t>
  </si>
  <si>
    <t>FUND PAGE - GENERAL</t>
  </si>
  <si>
    <t>Transfer Out To General Fund</t>
  </si>
  <si>
    <t>Street Repair and Maintenance</t>
  </si>
  <si>
    <t>City of Cedar</t>
  </si>
  <si>
    <t>Streets</t>
  </si>
  <si>
    <t>Fuel Tax</t>
  </si>
  <si>
    <t>Transfer In From Special Highway</t>
  </si>
  <si>
    <t>xxxxxxxxxxxxxxxx</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</si>
</sst>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53">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sz val="12"/>
      <color indexed="10"/>
      <name val="Courier"/>
      <family val="3"/>
    </font>
    <font>
      <b/>
      <sz val="12"/>
      <color indexed="10"/>
      <name val="Times New Roman"/>
      <family val="1"/>
    </font>
    <font>
      <sz val="12"/>
      <name val="Courier New"/>
      <family val="3"/>
    </font>
    <font>
      <u val="single"/>
      <sz val="12"/>
      <color indexed="12"/>
      <name val="Courier New"/>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8"/>
      <color indexed="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color indexed="63"/>
      </bottom>
    </border>
  </borders>
  <cellStyleXfs count="3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4"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5" fillId="17" borderId="0" applyNumberFormat="0" applyBorder="0" applyAlignment="0" applyProtection="0"/>
    <xf numFmtId="0" fontId="35" fillId="18" borderId="1" applyNumberFormat="0" applyAlignment="0" applyProtection="0"/>
    <xf numFmtId="0" fontId="4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9" borderId="1" applyNumberFormat="0" applyAlignment="0" applyProtection="0"/>
    <xf numFmtId="0" fontId="26" fillId="0" borderId="6" applyNumberFormat="0" applyFill="0" applyAlignment="0" applyProtection="0"/>
    <xf numFmtId="0" fontId="40" fillId="20"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21" borderId="7" applyNumberFormat="0" applyFont="0" applyAlignment="0" applyProtection="0"/>
    <xf numFmtId="0" fontId="50" fillId="18"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6"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6"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7"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6"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6" xfId="0" applyNumberFormat="1" applyFont="1" applyFill="1" applyBorder="1" applyAlignment="1">
      <alignment horizontal="center"/>
    </xf>
    <xf numFmtId="0" fontId="0" fillId="4" borderId="0" xfId="0" applyFill="1" applyAlignment="1">
      <alignment horizontal="center"/>
    </xf>
    <xf numFmtId="0" fontId="6" fillId="4" borderId="16"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8" xfId="0" applyNumberFormat="1" applyFont="1" applyFill="1" applyBorder="1" applyAlignment="1" applyProtection="1">
      <alignment horizontal="left"/>
      <protection/>
    </xf>
    <xf numFmtId="0" fontId="6" fillId="0" borderId="0" xfId="0" applyFont="1" applyAlignment="1">
      <alignment vertical="center"/>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6"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6" fillId="24"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3"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3"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4" borderId="20"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3" borderId="0" xfId="0" applyNumberFormat="1" applyFont="1" applyFill="1" applyAlignment="1" applyProtection="1">
      <alignment horizontal="center" vertical="center"/>
      <protection/>
    </xf>
    <xf numFmtId="0" fontId="6" fillId="23" borderId="16"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3" borderId="16" xfId="0" applyNumberFormat="1" applyFont="1" applyFill="1" applyBorder="1" applyAlignment="1" applyProtection="1">
      <alignment horizontal="left" vertical="center"/>
      <protection/>
    </xf>
    <xf numFmtId="0" fontId="6" fillId="23" borderId="16"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3"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protection locked="0"/>
    </xf>
    <xf numFmtId="0" fontId="6" fillId="23" borderId="16"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3"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6"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169" fontId="6" fillId="22" borderId="21"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6"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6" fillId="23" borderId="0" xfId="0" applyNumberFormat="1" applyFont="1" applyFill="1" applyAlignment="1" applyProtection="1">
      <alignment vertical="center"/>
      <protection/>
    </xf>
    <xf numFmtId="3" fontId="6" fillId="4"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3" borderId="0" xfId="0" applyFont="1" applyFill="1" applyAlignment="1">
      <alignment vertical="center"/>
    </xf>
    <xf numFmtId="0" fontId="1" fillId="23" borderId="0" xfId="0" applyFont="1" applyFill="1" applyAlignment="1">
      <alignment vertical="center"/>
    </xf>
    <xf numFmtId="0" fontId="0" fillId="23" borderId="0" xfId="0" applyFill="1" applyAlignment="1" applyProtection="1">
      <alignment vertical="center"/>
      <protection locked="0"/>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20"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5" borderId="14" xfId="0" applyFont="1" applyFill="1" applyBorder="1" applyAlignment="1">
      <alignment horizontal="center" vertical="center"/>
    </xf>
    <xf numFmtId="0" fontId="6" fillId="25" borderId="15"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6" xfId="0" applyFont="1" applyFill="1" applyBorder="1" applyAlignment="1" applyProtection="1">
      <alignment vertical="center"/>
      <protection/>
    </xf>
    <xf numFmtId="0" fontId="6" fillId="4" borderId="18"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6"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9"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6"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4"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0" fontId="8" fillId="0" borderId="0" xfId="0" applyFont="1" applyAlignment="1">
      <alignment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1" fontId="6"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3" fontId="6" fillId="22" borderId="20"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0"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166" fontId="6" fillId="4" borderId="16" xfId="0" applyNumberFormat="1" applyFont="1" applyFill="1" applyBorder="1" applyAlignment="1" applyProtection="1">
      <alignment vertical="center"/>
      <protection/>
    </xf>
    <xf numFmtId="37" fontId="6" fillId="4" borderId="16"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vertical="center"/>
      <protection locked="0"/>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21" fillId="0" borderId="0" xfId="381">
      <alignment/>
      <protection/>
    </xf>
    <xf numFmtId="0" fontId="6" fillId="0" borderId="0" xfId="381" applyFont="1" applyAlignment="1">
      <alignment horizontal="left" vertical="center"/>
      <protection/>
    </xf>
    <xf numFmtId="0" fontId="21"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1" fillId="22" borderId="0" xfId="381" applyFill="1" applyAlignment="1" applyProtection="1">
      <alignment horizontal="left" vertical="center"/>
      <protection locked="0"/>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22" borderId="11" xfId="152" applyFont="1" applyFill="1" applyBorder="1" applyProtection="1">
      <alignment/>
      <protection locked="0"/>
    </xf>
    <xf numFmtId="37" fontId="6" fillId="22" borderId="16"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18" fillId="26" borderId="11" xfId="0" applyNumberFormat="1" applyFont="1" applyFill="1" applyBorder="1" applyAlignment="1" applyProtection="1">
      <alignment horizontal="center" vertical="center"/>
      <protection/>
    </xf>
    <xf numFmtId="0" fontId="6" fillId="4" borderId="25"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20" fillId="4" borderId="0" xfId="0" applyFont="1" applyFill="1" applyAlignment="1" applyProtection="1">
      <alignment horizontal="center" vertical="center"/>
      <protection/>
    </xf>
    <xf numFmtId="0" fontId="4" fillId="25" borderId="15" xfId="0" applyFont="1" applyFill="1" applyBorder="1" applyAlignment="1" applyProtection="1">
      <alignment horizontal="center" vertical="center" shrinkToFit="1"/>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0"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20" fillId="0" borderId="0" xfId="0" applyFont="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3" fontId="2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0" fontId="20"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19" xfId="0" applyNumberFormat="1" applyFont="1" applyFill="1" applyBorder="1" applyAlignment="1" applyProtection="1">
      <alignment horizontal="center" vertical="center"/>
      <protection/>
    </xf>
    <xf numFmtId="0" fontId="4" fillId="4" borderId="18"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5" xfId="0" applyNumberFormat="1" applyFont="1" applyFill="1" applyBorder="1" applyAlignment="1" applyProtection="1">
      <alignment horizontal="center" vertical="center"/>
      <protection/>
    </xf>
    <xf numFmtId="197" fontId="4" fillId="4" borderId="19" xfId="0" applyNumberFormat="1" applyFont="1" applyFill="1" applyBorder="1" applyAlignment="1" applyProtection="1">
      <alignment vertical="center"/>
      <protection/>
    </xf>
    <xf numFmtId="0" fontId="31" fillId="27" borderId="16" xfId="0" applyFont="1" applyFill="1" applyBorder="1" applyAlignment="1" applyProtection="1">
      <alignment vertical="center"/>
      <protection/>
    </xf>
    <xf numFmtId="0" fontId="4" fillId="27" borderId="20" xfId="0" applyFont="1" applyFill="1" applyBorder="1" applyAlignment="1" applyProtection="1">
      <alignment vertical="center"/>
      <protection/>
    </xf>
    <xf numFmtId="0" fontId="6" fillId="27" borderId="20" xfId="0"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197" fontId="31" fillId="27" borderId="25"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29"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6" fillId="0" borderId="0" xfId="0" applyFont="1" applyBorder="1" applyAlignment="1" applyProtection="1">
      <alignment/>
      <protection locked="0"/>
    </xf>
    <xf numFmtId="179" fontId="6" fillId="22" borderId="18" xfId="0" applyNumberFormat="1" applyFont="1" applyFill="1" applyBorder="1" applyAlignment="1" applyProtection="1">
      <alignment horizontal="center"/>
      <protection locked="0"/>
    </xf>
    <xf numFmtId="0" fontId="6" fillId="4" borderId="0" xfId="0" applyFont="1" applyFill="1" applyBorder="1" applyAlignment="1" applyProtection="1">
      <alignment/>
      <protection/>
    </xf>
    <xf numFmtId="197" fontId="6" fillId="4" borderId="18" xfId="0" applyNumberFormat="1" applyFont="1" applyFill="1" applyBorder="1" applyAlignment="1" applyProtection="1">
      <alignment horizontal="center"/>
      <protection/>
    </xf>
    <xf numFmtId="197" fontId="6" fillId="27" borderId="20"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9" xfId="0" applyFont="1" applyFill="1" applyBorder="1" applyAlignment="1" applyProtection="1">
      <alignment/>
      <protection/>
    </xf>
    <xf numFmtId="0" fontId="6" fillId="4" borderId="18" xfId="0" applyFont="1" applyFill="1" applyBorder="1" applyAlignment="1" applyProtection="1">
      <alignment/>
      <protection/>
    </xf>
    <xf numFmtId="169" fontId="6" fillId="4" borderId="18" xfId="0" applyNumberFormat="1" applyFont="1" applyFill="1" applyBorder="1" applyAlignment="1" applyProtection="1">
      <alignment horizontal="center"/>
      <protection/>
    </xf>
    <xf numFmtId="0" fontId="6" fillId="27" borderId="25" xfId="0" applyFont="1" applyFill="1" applyBorder="1" applyAlignment="1" applyProtection="1">
      <alignment/>
      <protection/>
    </xf>
    <xf numFmtId="0" fontId="6" fillId="27" borderId="16" xfId="0" applyFont="1" applyFill="1" applyBorder="1" applyAlignment="1" applyProtection="1">
      <alignment/>
      <protection/>
    </xf>
    <xf numFmtId="0" fontId="6" fillId="0" borderId="0" xfId="0" applyFont="1" applyAlignment="1" applyProtection="1">
      <alignment/>
      <protection/>
    </xf>
    <xf numFmtId="197" fontId="6" fillId="4" borderId="20" xfId="0" applyNumberFormat="1" applyFont="1" applyFill="1" applyBorder="1" applyAlignment="1" applyProtection="1">
      <alignment horizontal="center"/>
      <protection/>
    </xf>
    <xf numFmtId="0" fontId="4" fillId="4" borderId="19"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31" fillId="27" borderId="25" xfId="0" applyFont="1" applyFill="1" applyBorder="1" applyAlignment="1" applyProtection="1">
      <alignment vertical="center"/>
      <protection/>
    </xf>
    <xf numFmtId="0" fontId="6" fillId="27" borderId="16" xfId="0" applyFont="1" applyFill="1" applyBorder="1" applyAlignment="1" applyProtection="1">
      <alignment vertical="center"/>
      <protection/>
    </xf>
    <xf numFmtId="0" fontId="4" fillId="27" borderId="16" xfId="0" applyFont="1" applyFill="1" applyBorder="1" applyAlignment="1" applyProtection="1">
      <alignment vertical="center"/>
      <protection/>
    </xf>
    <xf numFmtId="0" fontId="31" fillId="4" borderId="20" xfId="0" applyFont="1" applyFill="1" applyBorder="1" applyAlignment="1" applyProtection="1">
      <alignment horizontal="center" vertical="center"/>
      <protection/>
    </xf>
    <xf numFmtId="197" fontId="31" fillId="27" borderId="20" xfId="0" applyNumberFormat="1"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7" fontId="6" fillId="4" borderId="14" xfId="0" applyNumberFormat="1" applyFont="1" applyFill="1" applyBorder="1" applyAlignment="1" applyProtection="1">
      <alignment horizontal="left"/>
      <protection/>
    </xf>
    <xf numFmtId="37" fontId="6" fillId="4" borderId="0" xfId="0" applyNumberFormat="1" applyFont="1" applyFill="1" applyBorder="1" applyAlignment="1" applyProtection="1">
      <alignment horizontal="left"/>
      <protection/>
    </xf>
    <xf numFmtId="169" fontId="6" fillId="22" borderId="10" xfId="0" applyNumberFormat="1" applyFont="1" applyFill="1" applyBorder="1" applyAlignment="1" applyProtection="1">
      <alignment vertical="center"/>
      <protection locked="0"/>
    </xf>
    <xf numFmtId="37" fontId="6" fillId="4" borderId="16"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9" fontId="6" fillId="4" borderId="0" xfId="0" applyNumberFormat="1" applyFont="1" applyFill="1" applyAlignment="1" applyProtection="1">
      <alignment vertical="center"/>
      <protection/>
    </xf>
    <xf numFmtId="0" fontId="5" fillId="22" borderId="16" xfId="0" applyFont="1" applyFill="1" applyBorder="1" applyAlignment="1" applyProtection="1">
      <alignment vertical="center"/>
      <protection locked="0"/>
    </xf>
    <xf numFmtId="0" fontId="5" fillId="22" borderId="12" xfId="0" applyFont="1" applyFill="1" applyBorder="1" applyAlignment="1" applyProtection="1">
      <alignment vertical="center"/>
      <protection locked="0"/>
    </xf>
    <xf numFmtId="37" fontId="5" fillId="4" borderId="25" xfId="0" applyNumberFormat="1" applyFont="1" applyFill="1" applyBorder="1" applyAlignment="1" applyProtection="1">
      <alignment horizontal="left" vertical="center"/>
      <protection/>
    </xf>
    <xf numFmtId="37" fontId="5" fillId="4" borderId="0" xfId="0" applyNumberFormat="1" applyFont="1" applyFill="1" applyAlignment="1" applyProtection="1">
      <alignment vertical="center"/>
      <protection/>
    </xf>
    <xf numFmtId="0" fontId="5" fillId="0" borderId="0" xfId="0" applyFont="1" applyAlignment="1" applyProtection="1">
      <alignment vertical="center"/>
      <protection locked="0"/>
    </xf>
    <xf numFmtId="3" fontId="5" fillId="4" borderId="13" xfId="0" applyNumberFormat="1" applyFont="1" applyFill="1" applyBorder="1" applyAlignment="1" applyProtection="1">
      <alignment horizontal="fill" vertical="center"/>
      <protection/>
    </xf>
    <xf numFmtId="197" fontId="31" fillId="4" borderId="19" xfId="0" applyNumberFormat="1" applyFont="1" applyFill="1" applyBorder="1" applyAlignment="1" applyProtection="1">
      <alignment horizontal="center" vertical="center"/>
      <protection/>
    </xf>
    <xf numFmtId="0" fontId="31" fillId="4" borderId="0" xfId="0" applyFont="1" applyFill="1" applyBorder="1" applyAlignment="1" applyProtection="1">
      <alignment horizontal="left" vertical="center"/>
      <protection/>
    </xf>
    <xf numFmtId="0" fontId="31" fillId="4" borderId="18" xfId="0" applyFont="1" applyFill="1" applyBorder="1" applyAlignment="1" applyProtection="1">
      <alignment vertical="center"/>
      <protection/>
    </xf>
    <xf numFmtId="0" fontId="5" fillId="4" borderId="18" xfId="0" applyFont="1" applyFill="1" applyBorder="1" applyAlignment="1" applyProtection="1">
      <alignment vertical="center"/>
      <protection/>
    </xf>
    <xf numFmtId="0" fontId="6" fillId="22" borderId="0" xfId="0" applyFont="1" applyFill="1" applyAlignment="1" applyProtection="1">
      <alignment horizontal="center" vertical="center"/>
      <protection locked="0"/>
    </xf>
    <xf numFmtId="0" fontId="6" fillId="22" borderId="0" xfId="0" applyFont="1" applyFill="1" applyAlignment="1" applyProtection="1">
      <alignment horizontal="center"/>
      <protection locked="0"/>
    </xf>
    <xf numFmtId="3" fontId="6" fillId="4" borderId="10" xfId="0" applyNumberFormat="1" applyFont="1" applyFill="1" applyBorder="1" applyAlignment="1" applyProtection="1">
      <alignment horizontal="right"/>
      <protection/>
    </xf>
    <xf numFmtId="169" fontId="6" fillId="4" borderId="10" xfId="0" applyNumberFormat="1" applyFont="1" applyFill="1" applyBorder="1" applyAlignment="1" applyProtection="1">
      <alignment horizontal="right"/>
      <protection/>
    </xf>
    <xf numFmtId="0" fontId="6" fillId="4" borderId="10" xfId="0" applyFont="1" applyFill="1" applyBorder="1" applyAlignment="1" applyProtection="1">
      <alignment horizontal="right"/>
      <protection/>
    </xf>
    <xf numFmtId="3" fontId="6" fillId="9" borderId="10" xfId="0" applyNumberFormat="1" applyFont="1" applyFill="1" applyBorder="1" applyAlignment="1" applyProtection="1">
      <alignment horizontal="right"/>
      <protection/>
    </xf>
    <xf numFmtId="169" fontId="6" fillId="9" borderId="10" xfId="0" applyNumberFormat="1" applyFont="1" applyFill="1" applyBorder="1" applyAlignment="1" applyProtection="1">
      <alignment horizontal="right"/>
      <protection/>
    </xf>
    <xf numFmtId="3" fontId="6" fillId="4" borderId="15" xfId="0" applyNumberFormat="1" applyFont="1" applyFill="1" applyBorder="1" applyAlignment="1" applyProtection="1">
      <alignment horizontal="right"/>
      <protection/>
    </xf>
    <xf numFmtId="183" fontId="6" fillId="4" borderId="0" xfId="0" applyNumberFormat="1" applyFont="1" applyFill="1" applyBorder="1" applyAlignment="1" applyProtection="1">
      <alignment horizontal="right"/>
      <protection/>
    </xf>
    <xf numFmtId="179" fontId="6" fillId="4" borderId="0" xfId="0" applyNumberFormat="1" applyFont="1" applyFill="1" applyBorder="1" applyAlignment="1" applyProtection="1">
      <alignment horizontal="right"/>
      <protection/>
    </xf>
    <xf numFmtId="3" fontId="6" fillId="4" borderId="0" xfId="0" applyNumberFormat="1" applyFont="1" applyFill="1" applyBorder="1" applyAlignment="1" applyProtection="1">
      <alignment horizontal="right"/>
      <protection/>
    </xf>
    <xf numFmtId="169" fontId="6" fillId="4" borderId="0" xfId="0" applyNumberFormat="1" applyFont="1" applyFill="1" applyBorder="1" applyAlignment="1" applyProtection="1">
      <alignment horizontal="right"/>
      <protection/>
    </xf>
    <xf numFmtId="3" fontId="6" fillId="9" borderId="17" xfId="0" applyNumberFormat="1" applyFont="1" applyFill="1" applyBorder="1" applyAlignment="1" applyProtection="1">
      <alignment horizontal="right"/>
      <protection/>
    </xf>
    <xf numFmtId="1" fontId="6" fillId="4" borderId="0" xfId="0" applyNumberFormat="1" applyFont="1" applyFill="1" applyAlignment="1" applyProtection="1">
      <alignment horizontal="right"/>
      <protection/>
    </xf>
    <xf numFmtId="166" fontId="6" fillId="4" borderId="0" xfId="0" applyNumberFormat="1" applyFont="1" applyFill="1" applyAlignment="1" applyProtection="1">
      <alignment horizontal="right"/>
      <protection/>
    </xf>
    <xf numFmtId="0" fontId="6" fillId="4" borderId="22" xfId="0" applyFont="1" applyFill="1" applyBorder="1" applyAlignment="1" applyProtection="1">
      <alignment horizontal="right"/>
      <protection/>
    </xf>
    <xf numFmtId="1" fontId="6" fillId="4" borderId="22" xfId="0" applyNumberFormat="1" applyFont="1" applyFill="1" applyBorder="1" applyAlignment="1" applyProtection="1">
      <alignment horizontal="right"/>
      <protection/>
    </xf>
    <xf numFmtId="0" fontId="6" fillId="4" borderId="0" xfId="0" applyFont="1" applyFill="1" applyBorder="1" applyAlignment="1" applyProtection="1">
      <alignment horizontal="right"/>
      <protection/>
    </xf>
    <xf numFmtId="1" fontId="7" fillId="4" borderId="16" xfId="0" applyNumberFormat="1" applyFont="1" applyFill="1" applyBorder="1" applyAlignment="1" applyProtection="1">
      <alignment horizontal="right"/>
      <protection/>
    </xf>
    <xf numFmtId="3" fontId="6" fillId="4" borderId="10" xfId="0" applyNumberFormat="1" applyFont="1" applyFill="1" applyBorder="1" applyAlignment="1" applyProtection="1">
      <alignment horizontal="right"/>
      <protection locked="0"/>
    </xf>
    <xf numFmtId="37" fontId="5" fillId="4" borderId="0" xfId="0" applyNumberFormat="1" applyFont="1" applyFill="1" applyAlignment="1" applyProtection="1">
      <alignment/>
      <protection locked="0"/>
    </xf>
    <xf numFmtId="0" fontId="5" fillId="4" borderId="12" xfId="0" applyFont="1" applyFill="1" applyBorder="1" applyAlignment="1" applyProtection="1">
      <alignment vertical="center"/>
      <protection/>
    </xf>
    <xf numFmtId="37" fontId="5" fillId="4" borderId="11" xfId="0" applyNumberFormat="1" applyFont="1" applyFill="1" applyBorder="1" applyAlignment="1" applyProtection="1">
      <alignment horizontal="fill" vertical="center"/>
      <protection/>
    </xf>
    <xf numFmtId="0" fontId="31" fillId="0" borderId="0" xfId="0" applyFont="1" applyAlignment="1" applyProtection="1">
      <alignment vertical="center"/>
      <protection locked="0"/>
    </xf>
    <xf numFmtId="202" fontId="6" fillId="4" borderId="10" xfId="0" applyNumberFormat="1" applyFont="1" applyFill="1" applyBorder="1" applyAlignment="1" applyProtection="1">
      <alignment horizontal="right" vertical="center"/>
      <protection/>
    </xf>
    <xf numFmtId="179" fontId="6" fillId="4" borderId="10" xfId="103" applyNumberFormat="1" applyFont="1" applyFill="1" applyBorder="1" applyAlignment="1" applyProtection="1">
      <alignment horizontal="right" vertical="center"/>
      <protection/>
    </xf>
    <xf numFmtId="3" fontId="5" fillId="9" borderId="15" xfId="0" applyNumberFormat="1" applyFont="1" applyFill="1" applyBorder="1" applyAlignment="1" applyProtection="1">
      <alignment horizontal="right" vertical="center"/>
      <protection/>
    </xf>
    <xf numFmtId="179" fontId="5" fillId="9" borderId="15" xfId="0" applyNumberFormat="1" applyFont="1" applyFill="1" applyBorder="1" applyAlignment="1" applyProtection="1">
      <alignment horizontal="right" vertical="center"/>
      <protection/>
    </xf>
    <xf numFmtId="0" fontId="5" fillId="4" borderId="10" xfId="0" applyFont="1" applyFill="1" applyBorder="1" applyAlignment="1" applyProtection="1">
      <alignment vertical="center"/>
      <protection/>
    </xf>
    <xf numFmtId="3" fontId="5" fillId="4" borderId="17" xfId="0" applyNumberFormat="1" applyFont="1" applyFill="1" applyBorder="1" applyAlignment="1" applyProtection="1">
      <alignment horizontal="right" vertical="center"/>
      <protection/>
    </xf>
    <xf numFmtId="3" fontId="5" fillId="22" borderId="26" xfId="0" applyNumberFormat="1" applyFont="1" applyFill="1" applyBorder="1" applyAlignment="1" applyProtection="1">
      <alignment horizontal="right" vertical="center"/>
      <protection locked="0"/>
    </xf>
    <xf numFmtId="3" fontId="5" fillId="4" borderId="10" xfId="42" applyNumberFormat="1" applyFont="1" applyFill="1" applyBorder="1" applyAlignment="1" applyProtection="1">
      <alignment horizontal="right" vertical="center"/>
      <protection/>
    </xf>
    <xf numFmtId="3" fontId="5" fillId="4" borderId="20" xfId="42" applyNumberFormat="1" applyFont="1" applyFill="1" applyBorder="1" applyAlignment="1" applyProtection="1">
      <alignment horizontal="right" vertical="center"/>
      <protection/>
    </xf>
    <xf numFmtId="3" fontId="5" fillId="4" borderId="10" xfId="0" applyNumberFormat="1" applyFont="1" applyFill="1" applyBorder="1" applyAlignment="1" applyProtection="1">
      <alignment vertical="center"/>
      <protection/>
    </xf>
    <xf numFmtId="3" fontId="5" fillId="22" borderId="10" xfId="0" applyNumberFormat="1" applyFont="1" applyFill="1" applyBorder="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6" fillId="0" borderId="0" xfId="381" applyFont="1" applyAlignment="1">
      <alignment horizontal="left" vertical="center" wrapText="1"/>
      <protection/>
    </xf>
    <xf numFmtId="0" fontId="21"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6" fillId="4" borderId="21" xfId="0" applyFont="1" applyFill="1" applyBorder="1" applyAlignment="1" applyProtection="1">
      <alignment horizontal="center" vertical="center"/>
      <protection locked="0"/>
    </xf>
    <xf numFmtId="0" fontId="0" fillId="0" borderId="21" xfId="0" applyBorder="1" applyAlignment="1">
      <alignment vertical="center"/>
    </xf>
    <xf numFmtId="0" fontId="4" fillId="25"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29" fillId="4" borderId="26" xfId="0" applyFont="1" applyFill="1" applyBorder="1" applyAlignment="1" applyProtection="1">
      <alignment horizontal="center" vertical="center"/>
      <protection/>
    </xf>
    <xf numFmtId="0" fontId="30" fillId="0" borderId="21" xfId="0" applyFont="1" applyBorder="1" applyAlignment="1" applyProtection="1">
      <alignment horizontal="center" vertical="center"/>
      <protection/>
    </xf>
    <xf numFmtId="0" fontId="0" fillId="0" borderId="23" xfId="0" applyBorder="1" applyAlignment="1" applyProtection="1">
      <alignment vertical="center"/>
      <protection/>
    </xf>
    <xf numFmtId="0" fontId="2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29" fillId="4" borderId="21"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1"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8" xfId="103" applyFont="1" applyBorder="1" applyAlignment="1">
      <alignment horizontal="right" vertic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5" fillId="4" borderId="16" xfId="0" applyFont="1" applyFill="1" applyBorder="1" applyAlignment="1" applyProtection="1">
      <alignment horizontal="center"/>
      <protection locked="0"/>
    </xf>
    <xf numFmtId="0" fontId="1" fillId="0" borderId="16"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cellXfs>
  <cellStyles count="3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te" xfId="391"/>
    <cellStyle name="Output" xfId="392"/>
    <cellStyle name="Percent" xfId="393"/>
    <cellStyle name="Title" xfId="394"/>
    <cellStyle name="Total" xfId="395"/>
    <cellStyle name="Warning Text" xfId="396"/>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238125</xdr:colOff>
      <xdr:row>90</xdr:row>
      <xdr:rowOff>9525</xdr:rowOff>
    </xdr:to>
    <xdr:pic>
      <xdr:nvPicPr>
        <xdr:cNvPr id="1" name="Picture 1"/>
        <xdr:cNvPicPr preferRelativeResize="1">
          <a:picLocks noChangeAspect="1"/>
        </xdr:cNvPicPr>
      </xdr:nvPicPr>
      <xdr:blipFill>
        <a:blip r:embed="rId1"/>
        <a:stretch>
          <a:fillRect/>
        </a:stretch>
      </xdr:blipFill>
      <xdr:spPr>
        <a:xfrm>
          <a:off x="0" y="0"/>
          <a:ext cx="17002125" cy="17154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657225</xdr:colOff>
      <xdr:row>74</xdr:row>
      <xdr:rowOff>38100</xdr:rowOff>
    </xdr:to>
    <xdr:pic>
      <xdr:nvPicPr>
        <xdr:cNvPr id="1" name="Picture 1"/>
        <xdr:cNvPicPr preferRelativeResize="1">
          <a:picLocks noChangeAspect="1"/>
        </xdr:cNvPicPr>
      </xdr:nvPicPr>
      <xdr:blipFill>
        <a:blip r:embed="rId1"/>
        <a:stretch>
          <a:fillRect/>
        </a:stretch>
      </xdr:blipFill>
      <xdr:spPr>
        <a:xfrm>
          <a:off x="0" y="0"/>
          <a:ext cx="10715625" cy="14135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14">
      <selection activeCell="E54" sqref="E54"/>
    </sheetView>
  </sheetViews>
  <sheetFormatPr defaultColWidth="8.8984375" defaultRowHeight="15"/>
  <cols>
    <col min="1" max="1" width="15.69921875" style="57" customWidth="1"/>
    <col min="2" max="2" width="20.69921875" style="57" customWidth="1"/>
    <col min="3" max="3" width="9.69921875" style="57" customWidth="1"/>
    <col min="4" max="4" width="15.09765625" style="57" customWidth="1"/>
    <col min="5" max="5" width="15.69921875" style="57" customWidth="1"/>
    <col min="6" max="16384" width="8.8984375" style="57" customWidth="1"/>
  </cols>
  <sheetData>
    <row r="1" spans="1:5" ht="15">
      <c r="A1" s="55" t="s">
        <v>37</v>
      </c>
      <c r="B1" s="56"/>
      <c r="C1" s="56"/>
      <c r="D1" s="56"/>
      <c r="E1" s="56"/>
    </row>
    <row r="2" spans="1:5" ht="15">
      <c r="A2" s="58" t="s">
        <v>26</v>
      </c>
      <c r="B2" s="56"/>
      <c r="C2" s="56"/>
      <c r="D2" s="257" t="s">
        <v>237</v>
      </c>
      <c r="E2" s="59"/>
    </row>
    <row r="3" spans="1:5" ht="15">
      <c r="A3" s="58" t="s">
        <v>27</v>
      </c>
      <c r="B3" s="56"/>
      <c r="C3" s="56"/>
      <c r="D3" s="258" t="s">
        <v>221</v>
      </c>
      <c r="E3" s="60"/>
    </row>
    <row r="4" spans="1:5" ht="15">
      <c r="A4" s="61"/>
      <c r="B4" s="56"/>
      <c r="C4" s="56"/>
      <c r="D4" s="62"/>
      <c r="E4" s="56"/>
    </row>
    <row r="5" spans="1:5" ht="15">
      <c r="A5" s="58" t="s">
        <v>175</v>
      </c>
      <c r="B5" s="56"/>
      <c r="C5" s="63">
        <v>2012</v>
      </c>
      <c r="D5" s="62"/>
      <c r="E5" s="56"/>
    </row>
    <row r="6" spans="1:5" ht="15">
      <c r="A6" s="56"/>
      <c r="B6" s="56"/>
      <c r="C6" s="56"/>
      <c r="D6" s="56"/>
      <c r="E6" s="56"/>
    </row>
    <row r="7" spans="1:5" ht="15">
      <c r="A7" s="64" t="s">
        <v>189</v>
      </c>
      <c r="B7" s="65"/>
      <c r="C7" s="65"/>
      <c r="D7" s="65"/>
      <c r="E7" s="65"/>
    </row>
    <row r="8" spans="1:5" ht="15">
      <c r="A8" s="64" t="s">
        <v>188</v>
      </c>
      <c r="B8" s="65"/>
      <c r="C8" s="65"/>
      <c r="D8" s="65"/>
      <c r="E8" s="65"/>
    </row>
    <row r="9" spans="1:5" ht="15">
      <c r="A9" s="66"/>
      <c r="B9" s="65"/>
      <c r="C9" s="65"/>
      <c r="D9" s="65"/>
      <c r="E9" s="65"/>
    </row>
    <row r="10" spans="1:5" ht="15">
      <c r="A10" s="406" t="s">
        <v>8</v>
      </c>
      <c r="B10" s="407"/>
      <c r="C10" s="407"/>
      <c r="D10" s="407"/>
      <c r="E10" s="407"/>
    </row>
    <row r="11" spans="1:5" ht="15">
      <c r="A11" s="66"/>
      <c r="B11" s="65"/>
      <c r="C11" s="65"/>
      <c r="D11" s="65"/>
      <c r="E11" s="65"/>
    </row>
    <row r="12" spans="1:5" ht="15">
      <c r="A12" s="68" t="s">
        <v>9</v>
      </c>
      <c r="B12" s="69"/>
      <c r="C12" s="56"/>
      <c r="D12" s="56"/>
      <c r="E12" s="56"/>
    </row>
    <row r="13" spans="1:5" ht="15">
      <c r="A13" s="70" t="str">
        <f>CONCATENATE("the ",C5-1," Budget, Certificate Page:")</f>
        <v>the 2011 Budget, Certificate Page:</v>
      </c>
      <c r="B13" s="71"/>
      <c r="C13" s="72"/>
      <c r="D13" s="56"/>
      <c r="E13" s="56"/>
    </row>
    <row r="14" spans="1:5" ht="15">
      <c r="A14" s="70" t="s">
        <v>187</v>
      </c>
      <c r="B14" s="71"/>
      <c r="C14" s="72"/>
      <c r="D14" s="56"/>
      <c r="E14" s="360">
        <v>0.98</v>
      </c>
    </row>
    <row r="15" spans="1:5" ht="15">
      <c r="A15" s="73"/>
      <c r="B15" s="56"/>
      <c r="C15" s="56"/>
      <c r="D15" s="74">
        <f>$C$5-1</f>
        <v>2011</v>
      </c>
      <c r="E15" s="74">
        <f>$C$5-2</f>
        <v>2010</v>
      </c>
    </row>
    <row r="16" spans="1:5" ht="15">
      <c r="A16" s="61" t="s">
        <v>38</v>
      </c>
      <c r="B16" s="56"/>
      <c r="C16" s="75" t="s">
        <v>39</v>
      </c>
      <c r="D16" s="76" t="s">
        <v>186</v>
      </c>
      <c r="E16" s="76" t="s">
        <v>29</v>
      </c>
    </row>
    <row r="17" spans="1:5" ht="15">
      <c r="A17" s="56"/>
      <c r="B17" s="77" t="s">
        <v>40</v>
      </c>
      <c r="C17" s="180" t="s">
        <v>161</v>
      </c>
      <c r="D17" s="79">
        <v>5367</v>
      </c>
      <c r="E17" s="79">
        <v>2019</v>
      </c>
    </row>
    <row r="18" spans="1:5" ht="15">
      <c r="A18" s="61" t="s">
        <v>41</v>
      </c>
      <c r="B18" s="56"/>
      <c r="C18" s="56"/>
      <c r="D18" s="80"/>
      <c r="E18" s="80"/>
    </row>
    <row r="19" spans="1:5" ht="15">
      <c r="A19" s="61"/>
      <c r="B19" s="81" t="s">
        <v>222</v>
      </c>
      <c r="C19" s="350" t="s">
        <v>224</v>
      </c>
      <c r="D19" s="79">
        <v>0</v>
      </c>
      <c r="E19" s="79"/>
    </row>
    <row r="20" spans="1:5" ht="15">
      <c r="A20" s="56"/>
      <c r="B20" s="81" t="s">
        <v>223</v>
      </c>
      <c r="C20" s="350" t="s">
        <v>225</v>
      </c>
      <c r="D20" s="79"/>
      <c r="E20" s="79"/>
    </row>
    <row r="21" spans="1:5" ht="15">
      <c r="A21" s="56"/>
      <c r="B21" s="82"/>
      <c r="C21" s="351"/>
      <c r="D21" s="79"/>
      <c r="E21" s="79"/>
    </row>
    <row r="22" spans="1:5" ht="15">
      <c r="A22" s="56"/>
      <c r="B22" s="82"/>
      <c r="C22" s="350"/>
      <c r="D22" s="79"/>
      <c r="E22" s="79"/>
    </row>
    <row r="23" spans="1:5" ht="15">
      <c r="A23" s="83" t="str">
        <f>CONCATENATE("Total Ad Valorem Tax Levy Funds for ",C5-1," Budgeted Year")</f>
        <v>Total Ad Valorem Tax Levy Funds for 2011 Budgeted Year</v>
      </c>
      <c r="B23" s="84"/>
      <c r="C23" s="84"/>
      <c r="D23" s="85"/>
      <c r="E23" s="86">
        <f>SUM(E17:E22)</f>
        <v>2019</v>
      </c>
    </row>
    <row r="24" spans="1:5" ht="15">
      <c r="A24" s="91"/>
      <c r="B24" s="88"/>
      <c r="C24" s="88"/>
      <c r="D24" s="198"/>
      <c r="E24" s="88"/>
    </row>
    <row r="25" spans="1:5" ht="15">
      <c r="A25" s="61" t="s">
        <v>42</v>
      </c>
      <c r="B25" s="56"/>
      <c r="C25" s="56"/>
      <c r="D25" s="56"/>
      <c r="E25" s="56"/>
    </row>
    <row r="26" spans="1:5" ht="15">
      <c r="A26" s="56"/>
      <c r="B26" s="87" t="s">
        <v>43</v>
      </c>
      <c r="C26" s="88"/>
      <c r="D26" s="79">
        <v>620</v>
      </c>
      <c r="E26" s="88"/>
    </row>
    <row r="27" spans="1:5" ht="15">
      <c r="A27" s="56"/>
      <c r="B27" s="259"/>
      <c r="C27" s="88"/>
      <c r="D27" s="79"/>
      <c r="E27" s="88"/>
    </row>
    <row r="28" spans="1:5" ht="15">
      <c r="A28" s="56"/>
      <c r="B28" s="259"/>
      <c r="C28" s="88"/>
      <c r="D28" s="79"/>
      <c r="E28" s="88"/>
    </row>
    <row r="29" spans="1:5" ht="15">
      <c r="A29" s="56"/>
      <c r="B29" s="259"/>
      <c r="C29" s="88"/>
      <c r="D29" s="79"/>
      <c r="E29" s="88"/>
    </row>
    <row r="30" spans="1:5" ht="15">
      <c r="A30" s="56"/>
      <c r="B30" s="89"/>
      <c r="C30" s="88"/>
      <c r="D30" s="79"/>
      <c r="E30" s="88"/>
    </row>
    <row r="31" spans="1:5" ht="15">
      <c r="A31" s="56"/>
      <c r="B31" s="89"/>
      <c r="C31" s="88"/>
      <c r="D31" s="79"/>
      <c r="E31" s="88"/>
    </row>
    <row r="32" spans="1:5" ht="15">
      <c r="A32" s="56" t="s">
        <v>28</v>
      </c>
      <c r="B32" s="90"/>
      <c r="C32" s="88"/>
      <c r="D32" s="88"/>
      <c r="E32" s="88"/>
    </row>
    <row r="33" spans="1:5" ht="15">
      <c r="A33" s="91"/>
      <c r="B33" s="81"/>
      <c r="C33" s="92"/>
      <c r="D33" s="79"/>
      <c r="E33" s="93"/>
    </row>
    <row r="34" spans="1:5" ht="15">
      <c r="A34" s="83" t="str">
        <f>CONCATENATE("Total Expenditures for ",C5-1," Budgeted Year")</f>
        <v>Total Expenditures for 2011 Budgeted Year</v>
      </c>
      <c r="B34" s="94"/>
      <c r="C34" s="95"/>
      <c r="D34" s="86">
        <f>SUM(D17,D19:D22,D26:D31,D33)</f>
        <v>5987</v>
      </c>
      <c r="E34" s="93"/>
    </row>
    <row r="35" spans="1:5" ht="15">
      <c r="A35" s="91" t="s">
        <v>12</v>
      </c>
      <c r="B35" s="88"/>
      <c r="C35" s="88"/>
      <c r="D35" s="88"/>
      <c r="E35" s="56"/>
    </row>
    <row r="36" spans="1:5" ht="15">
      <c r="A36" s="96">
        <v>1</v>
      </c>
      <c r="B36" s="81"/>
      <c r="C36" s="88"/>
      <c r="D36" s="88"/>
      <c r="E36" s="56"/>
    </row>
    <row r="37" spans="1:5" ht="15">
      <c r="A37" s="96">
        <v>2</v>
      </c>
      <c r="B37" s="81"/>
      <c r="C37" s="88"/>
      <c r="D37" s="88"/>
      <c r="E37" s="56"/>
    </row>
    <row r="38" spans="1:5" ht="15">
      <c r="A38" s="96">
        <v>3</v>
      </c>
      <c r="B38" s="81"/>
      <c r="C38" s="88"/>
      <c r="D38" s="88"/>
      <c r="E38" s="56"/>
    </row>
    <row r="39" spans="1:5" ht="15">
      <c r="A39" s="96">
        <v>4</v>
      </c>
      <c r="B39" s="81"/>
      <c r="C39" s="88"/>
      <c r="D39" s="88"/>
      <c r="E39" s="56"/>
    </row>
    <row r="40" spans="1:5" ht="15">
      <c r="A40" s="96">
        <v>5</v>
      </c>
      <c r="B40" s="81"/>
      <c r="C40" s="88"/>
      <c r="D40" s="88"/>
      <c r="E40" s="56"/>
    </row>
    <row r="41" spans="1:5" ht="15">
      <c r="A41" s="97"/>
      <c r="B41" s="88"/>
      <c r="C41" s="88"/>
      <c r="D41" s="88"/>
      <c r="E41" s="56"/>
    </row>
    <row r="42" spans="1:5" ht="18" customHeight="1">
      <c r="A42" s="56"/>
      <c r="B42" s="56"/>
      <c r="C42" s="56"/>
      <c r="D42" s="56"/>
      <c r="E42" s="56"/>
    </row>
    <row r="43" spans="1:5" ht="15">
      <c r="A43" s="68" t="s">
        <v>9</v>
      </c>
      <c r="B43" s="69"/>
      <c r="C43" s="56"/>
      <c r="D43" s="98" t="str">
        <f>CONCATENATE("",C5-3," Tax Rate")</f>
        <v>2009 Tax Rate</v>
      </c>
      <c r="E43" s="56"/>
    </row>
    <row r="44" spans="1:5" ht="15">
      <c r="A44" s="70" t="str">
        <f>CONCATENATE("the ",C5-1," Budget, Budget Summary Page")</f>
        <v>the 2011 Budget, Budget Summary Page</v>
      </c>
      <c r="B44" s="71"/>
      <c r="C44" s="56"/>
      <c r="D44" s="99" t="str">
        <f>CONCATENATE("(",C5-2," Column)")</f>
        <v>(2010 Column)</v>
      </c>
      <c r="E44" s="56"/>
    </row>
    <row r="45" spans="1:5" ht="15">
      <c r="A45" s="56"/>
      <c r="B45" s="100" t="str">
        <f>B17</f>
        <v>General</v>
      </c>
      <c r="C45" s="101"/>
      <c r="D45" s="102">
        <v>26.655</v>
      </c>
      <c r="E45" s="56"/>
    </row>
    <row r="46" spans="1:5" ht="15">
      <c r="A46" s="56"/>
      <c r="B46" s="100" t="str">
        <f>B19</f>
        <v>Noxious Weed</v>
      </c>
      <c r="C46" s="101"/>
      <c r="D46" s="102">
        <v>0</v>
      </c>
      <c r="E46" s="56"/>
    </row>
    <row r="47" spans="1:5" ht="15.75" customHeight="1">
      <c r="A47" s="56"/>
      <c r="B47" s="100" t="str">
        <f>B20</f>
        <v>Library</v>
      </c>
      <c r="C47" s="78"/>
      <c r="D47" s="102"/>
      <c r="E47" s="56"/>
    </row>
    <row r="48" spans="1:5" ht="15">
      <c r="A48" s="56"/>
      <c r="B48" s="100">
        <f>B21</f>
        <v>0</v>
      </c>
      <c r="C48" s="78"/>
      <c r="D48" s="102"/>
      <c r="E48" s="56"/>
    </row>
    <row r="49" spans="1:5" ht="15">
      <c r="A49" s="56"/>
      <c r="B49" s="100">
        <f>B22</f>
        <v>0</v>
      </c>
      <c r="C49" s="78"/>
      <c r="D49" s="102"/>
      <c r="E49" s="56"/>
    </row>
    <row r="50" spans="1:5" ht="15">
      <c r="A50" s="83" t="s">
        <v>44</v>
      </c>
      <c r="B50" s="84"/>
      <c r="C50" s="95"/>
      <c r="D50" s="103">
        <f>SUM(D45:D49)</f>
        <v>26.655</v>
      </c>
      <c r="E50" s="56"/>
    </row>
    <row r="51" spans="1:5" ht="15">
      <c r="A51" s="56"/>
      <c r="B51" s="56"/>
      <c r="C51" s="56"/>
      <c r="D51" s="56"/>
      <c r="E51" s="56"/>
    </row>
    <row r="52" spans="1:5" ht="15">
      <c r="A52" s="104" t="str">
        <f>CONCATENATE("Total Tax Levied (",C5-2," budget column)")</f>
        <v>Total Tax Levied (2010 budget column)</v>
      </c>
      <c r="B52" s="105"/>
      <c r="C52" s="84"/>
      <c r="D52" s="95"/>
      <c r="E52" s="79">
        <v>1918</v>
      </c>
    </row>
    <row r="53" spans="1:5" ht="15">
      <c r="A53" s="104" t="str">
        <f>CONCATENATE("Assessed Valuation  (",C5-2," budget column)")</f>
        <v>Assessed Valuation  (2010 budget column)</v>
      </c>
      <c r="B53" s="106"/>
      <c r="C53" s="107"/>
      <c r="D53" s="108"/>
      <c r="E53" s="79">
        <v>71957</v>
      </c>
    </row>
    <row r="54" spans="1:5" ht="15">
      <c r="A54" s="56"/>
      <c r="B54" s="56"/>
      <c r="C54" s="56"/>
      <c r="D54" s="72"/>
      <c r="E54" s="80"/>
    </row>
    <row r="55" spans="1:5" ht="15">
      <c r="A55" s="109" t="s">
        <v>14</v>
      </c>
      <c r="B55" s="109"/>
      <c r="C55" s="110"/>
      <c r="D55" s="111">
        <f>C5-3</f>
        <v>2009</v>
      </c>
      <c r="E55" s="112">
        <f>C5-2</f>
        <v>2010</v>
      </c>
    </row>
    <row r="56" spans="1:5" ht="15">
      <c r="A56" s="113" t="s">
        <v>181</v>
      </c>
      <c r="B56" s="113"/>
      <c r="C56" s="114"/>
      <c r="D56" s="115"/>
      <c r="E56" s="115"/>
    </row>
    <row r="57" spans="1:5" ht="15">
      <c r="A57" s="116" t="s">
        <v>182</v>
      </c>
      <c r="B57" s="116"/>
      <c r="C57" s="117"/>
      <c r="D57" s="115"/>
      <c r="E57" s="115"/>
    </row>
    <row r="58" spans="1:5" ht="15">
      <c r="A58" s="116" t="s">
        <v>183</v>
      </c>
      <c r="B58" s="116"/>
      <c r="C58" s="117"/>
      <c r="D58" s="115"/>
      <c r="E58" s="115"/>
    </row>
    <row r="59" spans="1:5" ht="15">
      <c r="A59" s="116" t="s">
        <v>184</v>
      </c>
      <c r="B59" s="116"/>
      <c r="C59" s="117"/>
      <c r="D59" s="115"/>
      <c r="E59" s="115"/>
    </row>
    <row r="66" spans="1:5" s="118" customFormat="1" ht="15">
      <c r="A66" s="57"/>
      <c r="B66" s="57"/>
      <c r="C66" s="57"/>
      <c r="D66" s="57"/>
      <c r="E66" s="57"/>
    </row>
  </sheetData>
  <sheetProtection/>
  <mergeCells count="1">
    <mergeCell ref="A10:E10"/>
  </mergeCells>
  <printOptions/>
  <pageMargins left="0.5" right="0.5" top="0.75" bottom="0.5" header="0.5" footer="0.5"/>
  <pageSetup blackAndWhite="1" fitToHeight="1"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B23" sqref="B23"/>
    </sheetView>
  </sheetViews>
  <sheetFormatPr defaultColWidth="8.796875" defaultRowHeight="15"/>
  <cols>
    <col min="1" max="1" width="12.69921875" style="0" customWidth="1"/>
    <col min="2" max="2" width="18.09765625" style="0" customWidth="1"/>
    <col min="3" max="3" width="15.69921875" style="0" customWidth="1"/>
    <col min="4" max="5" width="11.69921875" style="0" customWidth="1"/>
  </cols>
  <sheetData>
    <row r="1" spans="1:6" ht="15">
      <c r="A1" s="391" t="str">
        <f>inputPrYr!D2</f>
        <v>City of Cedar</v>
      </c>
      <c r="B1" s="3"/>
      <c r="C1" s="3"/>
      <c r="D1" s="3"/>
      <c r="E1" s="3"/>
      <c r="F1" s="3">
        <f>inputPrYr!C5</f>
        <v>2012</v>
      </c>
    </row>
    <row r="2" spans="1:6" ht="15">
      <c r="A2" s="46"/>
      <c r="B2" s="3"/>
      <c r="C2" s="3"/>
      <c r="D2" s="3"/>
      <c r="E2" s="3"/>
      <c r="F2" s="3"/>
    </row>
    <row r="3" spans="1:6" ht="15">
      <c r="A3" s="3"/>
      <c r="B3" s="3"/>
      <c r="C3" s="3"/>
      <c r="D3" s="3"/>
      <c r="E3" s="3"/>
      <c r="F3" s="3"/>
    </row>
    <row r="4" spans="1:6" ht="15">
      <c r="A4" s="6"/>
      <c r="B4" s="457" t="str">
        <f>CONCATENATE("",F1," Neighborhood Revitalization Rebate")</f>
        <v>2012 Neighborhood Revitalization Rebate</v>
      </c>
      <c r="C4" s="458"/>
      <c r="D4" s="458"/>
      <c r="E4" s="459"/>
      <c r="F4" s="3"/>
    </row>
    <row r="5" spans="1:6" ht="15">
      <c r="A5" s="6"/>
      <c r="B5" s="6"/>
      <c r="C5" s="6"/>
      <c r="D5" s="6"/>
      <c r="E5" s="6"/>
      <c r="F5" s="3"/>
    </row>
    <row r="6" spans="1:6" ht="51.75" customHeight="1">
      <c r="A6" s="6"/>
      <c r="B6" s="253" t="str">
        <f>CONCATENATE("Budgeted Funds                      for ",F1,"")</f>
        <v>Budgeted Funds                      for 2012</v>
      </c>
      <c r="C6" s="253" t="str">
        <f>CONCATENATE("",F1-1," Ad Valorem before Rebate**")</f>
        <v>2011 Ad Valorem before Rebate**</v>
      </c>
      <c r="D6" s="254" t="str">
        <f>CONCATENATE("",F1-1," Mil Rate before Rebate")</f>
        <v>2011 Mil Rate before Rebate</v>
      </c>
      <c r="E6" s="255" t="str">
        <f>CONCATENATE("Estimate ",F1," NR Rebate")</f>
        <v>Estimate 2012 NR Rebate</v>
      </c>
      <c r="F6" s="3"/>
    </row>
    <row r="7" spans="1:6" ht="15">
      <c r="A7" s="6"/>
      <c r="B7" s="4" t="s">
        <v>40</v>
      </c>
      <c r="C7" s="52">
        <v>2143</v>
      </c>
      <c r="D7" s="42">
        <f>IF(C7&gt;0,C7/$D$15,"")</f>
        <v>27.123148968485</v>
      </c>
      <c r="E7" s="31">
        <f>IF(C7&gt;0,ROUND(D7*$D$19,0),"")</f>
        <v>0</v>
      </c>
      <c r="F7" s="3"/>
    </row>
    <row r="8" spans="1:6" ht="15">
      <c r="A8" s="6"/>
      <c r="B8" s="5" t="str">
        <f>IF((inputPrYr!$B21&gt;"  "),(inputPrYr!$B21),"  ")</f>
        <v>  </v>
      </c>
      <c r="C8" s="52"/>
      <c r="D8" s="42">
        <f>IF(C8&gt;0,C8/$D$15,"")</f>
      </c>
      <c r="E8" s="31">
        <f>IF(C8&gt;0,ROUND(D8*$D$19,0),"")</f>
      </c>
      <c r="F8" s="3"/>
    </row>
    <row r="9" spans="1:6" ht="15">
      <c r="A9" s="6"/>
      <c r="B9" s="5" t="str">
        <f>IF((inputPrYr!$B22&gt;"  "),(inputPrYr!$B22),"  ")</f>
        <v>  </v>
      </c>
      <c r="C9" s="52"/>
      <c r="D9" s="42">
        <f>IF(C9&gt;0,C9/$D$15,"")</f>
      </c>
      <c r="E9" s="31">
        <f>IF(C9&gt;0,ROUND(D9*$D$19,0),"")</f>
      </c>
      <c r="F9" s="3"/>
    </row>
    <row r="10" spans="1:6" ht="15.75" thickBot="1">
      <c r="A10" s="6"/>
      <c r="B10" s="15" t="s">
        <v>65</v>
      </c>
      <c r="C10" s="32">
        <f>SUM(C7:C9)</f>
        <v>2143</v>
      </c>
      <c r="D10" s="43">
        <f>SUM(D7:D9)</f>
        <v>27.123148968485</v>
      </c>
      <c r="E10" s="32">
        <f>SUM(E7:E9)</f>
        <v>0</v>
      </c>
      <c r="F10" s="3"/>
    </row>
    <row r="11" spans="1:6" ht="15.75" thickTop="1">
      <c r="A11" s="6"/>
      <c r="B11" s="6"/>
      <c r="C11" s="6"/>
      <c r="D11" s="6"/>
      <c r="E11" s="6"/>
      <c r="F11" s="3"/>
    </row>
    <row r="12" spans="1:6" ht="15">
      <c r="A12" s="6"/>
      <c r="B12" s="6"/>
      <c r="C12" s="6"/>
      <c r="D12" s="6"/>
      <c r="E12" s="6"/>
      <c r="F12" s="3"/>
    </row>
    <row r="13" spans="1:6" ht="15">
      <c r="A13" s="462" t="str">
        <f>CONCATENATE("",F1-1," July 1 Valuation:")</f>
        <v>2011 July 1 Valuation:</v>
      </c>
      <c r="B13" s="461"/>
      <c r="C13" s="462"/>
      <c r="D13" s="40">
        <f>inputOth!E7</f>
        <v>79010</v>
      </c>
      <c r="E13" s="6"/>
      <c r="F13" s="3"/>
    </row>
    <row r="14" spans="1:6" ht="15">
      <c r="A14" s="6"/>
      <c r="B14" s="6"/>
      <c r="C14" s="6"/>
      <c r="D14" s="6"/>
      <c r="E14" s="6"/>
      <c r="F14" s="3"/>
    </row>
    <row r="15" spans="1:6" ht="15">
      <c r="A15" s="6"/>
      <c r="B15" s="462" t="s">
        <v>190</v>
      </c>
      <c r="C15" s="462"/>
      <c r="D15" s="47">
        <f>IF(D13&gt;0,(D13*0.001),"")</f>
        <v>79.01</v>
      </c>
      <c r="E15" s="6"/>
      <c r="F15" s="3"/>
    </row>
    <row r="16" spans="1:6" ht="15">
      <c r="A16" s="6"/>
      <c r="B16" s="17"/>
      <c r="C16" s="17"/>
      <c r="D16" s="48"/>
      <c r="E16" s="6"/>
      <c r="F16" s="3"/>
    </row>
    <row r="17" spans="1:6" ht="15">
      <c r="A17" s="460" t="s">
        <v>191</v>
      </c>
      <c r="B17" s="459"/>
      <c r="C17" s="459"/>
      <c r="D17" s="49">
        <f>inputOth!E17</f>
        <v>0</v>
      </c>
      <c r="E17" s="29"/>
      <c r="F17" s="29"/>
    </row>
    <row r="18" spans="1:6" ht="15">
      <c r="A18" s="29"/>
      <c r="B18" s="29"/>
      <c r="C18" s="29"/>
      <c r="D18" s="50"/>
      <c r="E18" s="29"/>
      <c r="F18" s="29"/>
    </row>
    <row r="19" spans="1:6" ht="15">
      <c r="A19" s="29"/>
      <c r="B19" s="460" t="s">
        <v>192</v>
      </c>
      <c r="C19" s="461"/>
      <c r="D19" s="51" t="str">
        <f>IF(D17&gt;0,(D17*0.001),"0")</f>
        <v>0</v>
      </c>
      <c r="E19" s="29"/>
      <c r="F19" s="29"/>
    </row>
    <row r="20" spans="1:6" ht="15">
      <c r="A20" s="29"/>
      <c r="B20" s="29"/>
      <c r="C20" s="29"/>
      <c r="D20" s="29"/>
      <c r="E20" s="29"/>
      <c r="F20" s="29"/>
    </row>
    <row r="21" spans="1:6" ht="15">
      <c r="A21" s="29"/>
      <c r="B21" s="29"/>
      <c r="C21" s="29"/>
      <c r="D21" s="29"/>
      <c r="E21" s="29"/>
      <c r="F21" s="29"/>
    </row>
    <row r="22" spans="1:6" ht="15">
      <c r="A22" s="252" t="str">
        <f>CONCATENATE("**This information comes from the ",F1," Budget Summary page.  See instructions tab #12 for completing")</f>
        <v>**This information comes from the 2012 Budget Summary page.  See instructions tab #12 for completing</v>
      </c>
      <c r="B22" s="29"/>
      <c r="C22" s="29"/>
      <c r="D22" s="29"/>
      <c r="E22" s="29"/>
      <c r="F22" s="29"/>
    </row>
    <row r="23" spans="1:6" ht="15">
      <c r="A23" s="252" t="s">
        <v>204</v>
      </c>
      <c r="B23" s="29"/>
      <c r="C23" s="29"/>
      <c r="D23" s="29"/>
      <c r="E23" s="29"/>
      <c r="F23" s="29"/>
    </row>
    <row r="24" spans="1:6" ht="15">
      <c r="A24" s="252"/>
      <c r="B24" s="29"/>
      <c r="C24" s="29"/>
      <c r="D24" s="29"/>
      <c r="E24" s="29"/>
      <c r="F24" s="29"/>
    </row>
    <row r="25" spans="1:6" ht="15">
      <c r="A25" s="252"/>
      <c r="B25" s="29"/>
      <c r="C25" s="29"/>
      <c r="D25" s="29"/>
      <c r="E25" s="29"/>
      <c r="F25" s="29"/>
    </row>
    <row r="26" spans="1:6" ht="15">
      <c r="A26" s="29"/>
      <c r="B26" s="29"/>
      <c r="C26" s="29"/>
      <c r="D26" s="29"/>
      <c r="E26" s="29"/>
      <c r="F26" s="50"/>
    </row>
    <row r="27" spans="1:6" ht="15">
      <c r="A27" s="29"/>
      <c r="B27" s="29"/>
      <c r="C27" s="29"/>
      <c r="D27" s="29"/>
      <c r="E27" s="29"/>
      <c r="F27" s="29"/>
    </row>
    <row r="28" spans="1:6" ht="15">
      <c r="A28" s="29"/>
      <c r="B28" s="29"/>
      <c r="C28" s="29"/>
      <c r="D28" s="29"/>
      <c r="E28" s="29"/>
      <c r="F28" s="29"/>
    </row>
    <row r="29" spans="1:6" ht="15">
      <c r="A29" s="29"/>
      <c r="B29" s="29"/>
      <c r="C29" s="29"/>
      <c r="D29" s="29"/>
      <c r="E29" s="29"/>
      <c r="F29" s="29"/>
    </row>
    <row r="30" spans="1:6" ht="15">
      <c r="A30" s="29"/>
      <c r="B30" s="29"/>
      <c r="C30" s="29"/>
      <c r="D30" s="29"/>
      <c r="E30" s="29"/>
      <c r="F30" s="29"/>
    </row>
    <row r="31" spans="1:6" ht="15">
      <c r="A31" s="29"/>
      <c r="B31" s="29"/>
      <c r="C31" s="29"/>
      <c r="D31" s="29"/>
      <c r="E31" s="29"/>
      <c r="F31" s="29"/>
    </row>
    <row r="32" spans="1:6" ht="15">
      <c r="A32" s="29"/>
      <c r="B32" s="29"/>
      <c r="C32" s="29"/>
      <c r="D32" s="29"/>
      <c r="E32" s="29"/>
      <c r="F32" s="29"/>
    </row>
    <row r="33" spans="1:6" ht="15">
      <c r="A33" s="29"/>
      <c r="B33" s="29"/>
      <c r="C33" s="29"/>
      <c r="D33" s="29"/>
      <c r="E33" s="29"/>
      <c r="F33" s="29"/>
    </row>
    <row r="34" spans="1:6" ht="15">
      <c r="A34" s="29"/>
      <c r="B34" s="29"/>
      <c r="C34" s="29"/>
      <c r="D34" s="29"/>
      <c r="E34" s="29"/>
      <c r="F34" s="29"/>
    </row>
    <row r="35" spans="1:6" ht="15">
      <c r="A35" s="29"/>
      <c r="B35" s="29"/>
      <c r="C35" s="29"/>
      <c r="D35" s="29"/>
      <c r="E35" s="29"/>
      <c r="F35" s="29"/>
    </row>
    <row r="36" spans="1:6" ht="15">
      <c r="A36" s="29"/>
      <c r="B36" s="29"/>
      <c r="C36" s="29"/>
      <c r="D36" s="29"/>
      <c r="E36" s="29"/>
      <c r="F36" s="29"/>
    </row>
    <row r="37" spans="1:6" ht="15">
      <c r="A37" s="29"/>
      <c r="B37" s="29"/>
      <c r="C37" s="29"/>
      <c r="D37" s="29"/>
      <c r="E37" s="29"/>
      <c r="F37" s="29"/>
    </row>
    <row r="38" spans="1:6" ht="15">
      <c r="A38" s="29"/>
      <c r="B38" s="29"/>
      <c r="C38" s="29"/>
      <c r="D38" s="29"/>
      <c r="E38" s="29"/>
      <c r="F38" s="29"/>
    </row>
    <row r="39" spans="1:6" ht="15">
      <c r="A39" s="29"/>
      <c r="B39" s="29"/>
      <c r="C39" s="29"/>
      <c r="D39" s="29"/>
      <c r="E39" s="29"/>
      <c r="F39" s="29"/>
    </row>
    <row r="40" spans="1:6" ht="15">
      <c r="A40" s="29"/>
      <c r="B40" s="29"/>
      <c r="C40" s="29"/>
      <c r="D40" s="29"/>
      <c r="E40" s="29"/>
      <c r="F40" s="29"/>
    </row>
    <row r="41" spans="1:6" ht="15">
      <c r="A41" s="29"/>
      <c r="B41" s="29"/>
      <c r="C41" s="29"/>
      <c r="D41" s="29"/>
      <c r="E41" s="29"/>
      <c r="F41" s="29"/>
    </row>
    <row r="42" spans="1:6" ht="15">
      <c r="A42" s="29"/>
      <c r="B42" s="29"/>
      <c r="C42" s="29"/>
      <c r="D42" s="29"/>
      <c r="E42" s="29"/>
      <c r="F42" s="29"/>
    </row>
    <row r="43" spans="1:6" ht="15">
      <c r="A43" s="29"/>
      <c r="B43" s="29"/>
      <c r="C43" s="29"/>
      <c r="D43" s="29"/>
      <c r="E43" s="29"/>
      <c r="F43" s="29"/>
    </row>
    <row r="44" spans="1:6" ht="15">
      <c r="A44" s="29"/>
      <c r="B44" s="29"/>
      <c r="C44" s="29"/>
      <c r="D44" s="29"/>
      <c r="E44" s="29"/>
      <c r="F44" s="29"/>
    </row>
    <row r="45" spans="1:6" ht="15">
      <c r="A45" s="29"/>
      <c r="B45" s="29"/>
      <c r="C45" s="29"/>
      <c r="D45" s="29"/>
      <c r="E45" s="29"/>
      <c r="F45" s="29"/>
    </row>
    <row r="46" spans="1:6" ht="15">
      <c r="A46" s="29"/>
      <c r="B46" s="29"/>
      <c r="C46" s="29"/>
      <c r="D46" s="29"/>
      <c r="E46" s="29"/>
      <c r="F46" s="29"/>
    </row>
    <row r="47" spans="1:6" ht="15">
      <c r="A47" s="29"/>
      <c r="B47" s="29"/>
      <c r="C47" s="29"/>
      <c r="D47" s="29"/>
      <c r="E47" s="29"/>
      <c r="F47" s="29"/>
    </row>
    <row r="48" spans="1:6" ht="15">
      <c r="A48" s="29"/>
      <c r="B48" s="29"/>
      <c r="C48" s="29"/>
      <c r="D48" s="29"/>
      <c r="E48" s="29"/>
      <c r="F48" s="29"/>
    </row>
    <row r="49" spans="1:6" ht="15">
      <c r="A49" s="29"/>
      <c r="B49" s="41" t="s">
        <v>80</v>
      </c>
      <c r="C49" s="372">
        <v>7</v>
      </c>
      <c r="D49" s="29"/>
      <c r="E49" s="29"/>
      <c r="F49" s="29"/>
    </row>
  </sheetData>
  <sheetProtection/>
  <mergeCells count="5">
    <mergeCell ref="B4:E4"/>
    <mergeCell ref="B19:C19"/>
    <mergeCell ref="A13:C13"/>
    <mergeCell ref="B15:C15"/>
    <mergeCell ref="A17:C17"/>
  </mergeCells>
  <printOptions/>
  <pageMargins left="0.5" right="0.5" top="0.5" bottom="0.5" header="0" footer="0.5"/>
  <pageSetup blackAndWhite="1" fitToHeight="1" fitToWidth="1" horizontalDpi="600" verticalDpi="600" orientation="portrait" scale="94" r:id="rId1"/>
  <headerFooter alignWithMargins="0">
    <oddHeader>&amp;R&amp;10State of Kansas
City</oddHeader>
  </headerFooter>
</worksheet>
</file>

<file path=xl/worksheets/sheet11.xml><?xml version="1.0" encoding="utf-8"?>
<worksheet xmlns="http://schemas.openxmlformats.org/spreadsheetml/2006/main" xmlns:r="http://schemas.openxmlformats.org/officeDocument/2006/relationships">
  <dimension ref="A1:N43"/>
  <sheetViews>
    <sheetView zoomScalePageLayoutView="0" workbookViewId="0" topLeftCell="A13">
      <selection activeCell="C12" sqref="C12"/>
    </sheetView>
  </sheetViews>
  <sheetFormatPr defaultColWidth="8.796875" defaultRowHeight="15"/>
  <sheetData>
    <row r="1" spans="1:7" ht="16.5" customHeight="1">
      <c r="A1" s="465" t="s">
        <v>165</v>
      </c>
      <c r="B1" s="465"/>
      <c r="C1" s="465"/>
      <c r="D1" s="465"/>
      <c r="E1" s="465"/>
      <c r="F1" s="465"/>
      <c r="G1" s="465"/>
    </row>
    <row r="2" spans="1:7" ht="16.5" customHeight="1">
      <c r="A2" s="465"/>
      <c r="B2" s="465"/>
      <c r="C2" s="465"/>
      <c r="D2" s="465"/>
      <c r="E2" s="465"/>
      <c r="F2" s="465"/>
      <c r="G2" s="465"/>
    </row>
    <row r="3" spans="1:7" ht="16.5" customHeight="1">
      <c r="A3" s="466"/>
      <c r="B3" s="466"/>
      <c r="C3" s="466"/>
      <c r="D3" s="466"/>
      <c r="E3" s="466"/>
      <c r="F3" s="466"/>
      <c r="G3" s="466"/>
    </row>
    <row r="4" spans="1:7" ht="16.5" customHeight="1">
      <c r="A4" s="463" t="str">
        <f>CONCATENATE("AN ORDINANCE ATTESTING TO AN INCREASE IN TAX REVENUES FOR BUDGET YEAR ",(inputPrYr!$C$5)," FOR THE ",(inputPrYr!$D$2))</f>
        <v>AN ORDINANCE ATTESTING TO AN INCREASE IN TAX REVENUES FOR BUDGET YEAR 2012 FOR THE City of Cedar</v>
      </c>
      <c r="B4" s="463"/>
      <c r="C4" s="463"/>
      <c r="D4" s="463"/>
      <c r="E4" s="463"/>
      <c r="F4" s="463"/>
      <c r="G4" s="463"/>
    </row>
    <row r="5" spans="1:7" ht="16.5" customHeight="1">
      <c r="A5" s="463"/>
      <c r="B5" s="463"/>
      <c r="C5" s="463"/>
      <c r="D5" s="463"/>
      <c r="E5" s="463"/>
      <c r="F5" s="463"/>
      <c r="G5" s="463"/>
    </row>
    <row r="6" spans="1:7" ht="16.5" customHeight="1">
      <c r="A6" s="465"/>
      <c r="B6" s="465"/>
      <c r="C6" s="465"/>
      <c r="D6" s="465"/>
      <c r="E6" s="465"/>
      <c r="F6" s="465"/>
      <c r="G6" s="465"/>
    </row>
    <row r="7" spans="1:14" ht="16.5" customHeight="1">
      <c r="A7" s="463" t="str">
        <f>CONCATENATE("WHEREAS, the  ",(inputPrYr!$D$2)," must continue to provide services to protect the health, safety, and welfare of the citizens of this community; and")</f>
        <v>WHEREAS, the  City of Cedar must continue to provide services to protect the health, safety, and welfare of the citizens of this community; and</v>
      </c>
      <c r="B7" s="463"/>
      <c r="C7" s="463"/>
      <c r="D7" s="463"/>
      <c r="E7" s="463"/>
      <c r="F7" s="463"/>
      <c r="G7" s="463"/>
      <c r="H7" s="25"/>
      <c r="I7" s="25"/>
      <c r="J7" s="25"/>
      <c r="K7" s="25"/>
      <c r="L7" s="25"/>
      <c r="M7" s="25"/>
      <c r="N7" s="25"/>
    </row>
    <row r="8" spans="1:14" ht="16.5" customHeight="1">
      <c r="A8" s="463"/>
      <c r="B8" s="463"/>
      <c r="C8" s="463"/>
      <c r="D8" s="463"/>
      <c r="E8" s="463"/>
      <c r="F8" s="463"/>
      <c r="G8" s="463"/>
      <c r="H8" s="25"/>
      <c r="I8" s="25"/>
      <c r="J8" s="25"/>
      <c r="K8" s="25"/>
      <c r="L8" s="25"/>
      <c r="M8" s="25"/>
      <c r="N8" s="25"/>
    </row>
    <row r="9" spans="1:7" ht="16.5" customHeight="1">
      <c r="A9" s="34"/>
      <c r="B9" s="34"/>
      <c r="C9" s="34"/>
      <c r="D9" s="34"/>
      <c r="E9" s="34"/>
      <c r="F9" s="34"/>
      <c r="G9" s="34"/>
    </row>
    <row r="10" spans="1:7" ht="16.5" customHeight="1">
      <c r="A10" s="463" t="s">
        <v>166</v>
      </c>
      <c r="B10" s="463"/>
      <c r="C10" s="463"/>
      <c r="D10" s="463"/>
      <c r="E10" s="463"/>
      <c r="F10" s="463"/>
      <c r="G10" s="463"/>
    </row>
    <row r="11" spans="1:7" ht="16.5" customHeight="1">
      <c r="A11" s="463"/>
      <c r="B11" s="463"/>
      <c r="C11" s="463"/>
      <c r="D11" s="463"/>
      <c r="E11" s="463"/>
      <c r="F11" s="463"/>
      <c r="G11" s="463"/>
    </row>
    <row r="12" spans="1:7" ht="16.5" customHeight="1">
      <c r="A12" s="34"/>
      <c r="B12" s="34"/>
      <c r="C12" s="34"/>
      <c r="D12" s="34"/>
      <c r="E12" s="34"/>
      <c r="F12" s="34"/>
      <c r="G12" s="34"/>
    </row>
    <row r="13" spans="1:14" ht="16.5" customHeight="1">
      <c r="A13" s="463" t="str">
        <f>CONCATENATE("NOW THEREFORE, be it ordained by the Governing Body of the ",(inputPrYr!$D$2),":")</f>
        <v>NOW THEREFORE, be it ordained by the Governing Body of the City of Cedar:</v>
      </c>
      <c r="B13" s="463"/>
      <c r="C13" s="463"/>
      <c r="D13" s="463"/>
      <c r="E13" s="463"/>
      <c r="F13" s="463"/>
      <c r="G13" s="463"/>
      <c r="H13" s="25"/>
      <c r="I13" s="25"/>
      <c r="J13" s="25"/>
      <c r="K13" s="25"/>
      <c r="L13" s="25"/>
      <c r="M13" s="25"/>
      <c r="N13" s="25"/>
    </row>
    <row r="14" spans="1:14" ht="16.5" customHeight="1">
      <c r="A14" s="463"/>
      <c r="B14" s="463"/>
      <c r="C14" s="463"/>
      <c r="D14" s="463"/>
      <c r="E14" s="463"/>
      <c r="F14" s="463"/>
      <c r="G14" s="463"/>
      <c r="H14" s="25"/>
      <c r="I14" s="25"/>
      <c r="J14" s="25"/>
      <c r="K14" s="25"/>
      <c r="L14" s="25"/>
      <c r="M14" s="25"/>
      <c r="N14" s="25"/>
    </row>
    <row r="15" spans="1:14" ht="16.5" customHeight="1">
      <c r="A15" s="46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Cedar  has scheduled a public hearing and has prepared the proposed budget necessary to fund city services from January 1, 2012 until December 31, 2012.</v>
      </c>
      <c r="B15" s="463"/>
      <c r="C15" s="463"/>
      <c r="D15" s="463"/>
      <c r="E15" s="463"/>
      <c r="F15" s="463"/>
      <c r="G15" s="463"/>
      <c r="H15" s="25"/>
      <c r="I15" s="25"/>
      <c r="J15" s="25"/>
      <c r="K15" s="25"/>
      <c r="L15" s="25"/>
      <c r="M15" s="25"/>
      <c r="N15" s="25"/>
    </row>
    <row r="16" spans="1:14" ht="16.5" customHeight="1">
      <c r="A16" s="463"/>
      <c r="B16" s="463"/>
      <c r="C16" s="463"/>
      <c r="D16" s="463"/>
      <c r="E16" s="463"/>
      <c r="F16" s="463"/>
      <c r="G16" s="463"/>
      <c r="H16" s="25"/>
      <c r="I16" s="25"/>
      <c r="J16" s="25"/>
      <c r="K16" s="25"/>
      <c r="L16" s="25"/>
      <c r="M16" s="25"/>
      <c r="N16" s="25"/>
    </row>
    <row r="17" spans="1:14" ht="16.5" customHeight="1">
      <c r="A17" s="463"/>
      <c r="B17" s="463"/>
      <c r="C17" s="463"/>
      <c r="D17" s="463"/>
      <c r="E17" s="463"/>
      <c r="F17" s="463"/>
      <c r="G17" s="463"/>
      <c r="H17" s="26"/>
      <c r="I17" s="26"/>
      <c r="J17" s="26"/>
      <c r="K17" s="26"/>
      <c r="L17" s="26"/>
      <c r="M17" s="26"/>
      <c r="N17" s="26"/>
    </row>
    <row r="18" spans="1:7" ht="16.5" customHeight="1">
      <c r="A18" s="35"/>
      <c r="B18" s="35"/>
      <c r="C18" s="35"/>
      <c r="D18" s="35"/>
      <c r="E18" s="35"/>
      <c r="F18" s="35"/>
      <c r="G18" s="35"/>
    </row>
    <row r="19" spans="1:7" ht="16.5" customHeight="1">
      <c r="A19" s="36" t="s">
        <v>30</v>
      </c>
      <c r="B19" s="36"/>
      <c r="C19" s="36"/>
      <c r="D19" s="36"/>
      <c r="E19" s="36"/>
      <c r="F19" s="36"/>
      <c r="G19" s="36"/>
    </row>
    <row r="20" spans="1:7" ht="16.5" customHeight="1">
      <c r="A20" s="36" t="s">
        <v>31</v>
      </c>
      <c r="B20" s="36"/>
      <c r="C20" s="36"/>
      <c r="D20" s="36"/>
      <c r="E20" s="36"/>
      <c r="F20" s="36"/>
      <c r="G20" s="36"/>
    </row>
    <row r="21" spans="1:7" ht="16.5" customHeight="1">
      <c r="A21" s="33" t="str">
        <f>CONCATENATE("necessary to budget property tax revenues in an amount exceeding the levy in the ",inputPrYr!$C$5-1,"")</f>
        <v>necessary to budget property tax revenues in an amount exceeding the levy in the 2011</v>
      </c>
      <c r="B21" s="33"/>
      <c r="C21" s="33"/>
      <c r="D21" s="33"/>
      <c r="E21" s="33"/>
      <c r="F21" s="33"/>
      <c r="G21" s="33"/>
    </row>
    <row r="22" spans="1:7" ht="16.5" customHeight="1">
      <c r="A22" s="33" t="s">
        <v>32</v>
      </c>
      <c r="B22" s="33"/>
      <c r="C22" s="33"/>
      <c r="D22" s="33"/>
      <c r="E22" s="33"/>
      <c r="F22" s="33"/>
      <c r="G22" s="33"/>
    </row>
    <row r="23" spans="1:7" ht="16.5" customHeight="1">
      <c r="A23" s="35"/>
      <c r="B23" s="35"/>
      <c r="C23" s="35"/>
      <c r="D23" s="35"/>
      <c r="E23" s="35"/>
      <c r="F23" s="35"/>
      <c r="G23" s="35"/>
    </row>
    <row r="24" spans="1:7" ht="16.5" customHeight="1">
      <c r="A24" s="463" t="s">
        <v>167</v>
      </c>
      <c r="B24" s="463"/>
      <c r="C24" s="463"/>
      <c r="D24" s="463"/>
      <c r="E24" s="463"/>
      <c r="F24" s="463"/>
      <c r="G24" s="463"/>
    </row>
    <row r="25" spans="1:7" ht="16.5" customHeight="1">
      <c r="A25" s="463"/>
      <c r="B25" s="463"/>
      <c r="C25" s="463"/>
      <c r="D25" s="463"/>
      <c r="E25" s="463"/>
      <c r="F25" s="463"/>
      <c r="G25" s="463"/>
    </row>
    <row r="26" spans="1:7" ht="16.5" customHeight="1">
      <c r="A26" s="35"/>
      <c r="B26" s="35"/>
      <c r="C26" s="35"/>
      <c r="D26" s="35"/>
      <c r="E26" s="35"/>
      <c r="F26" s="35"/>
      <c r="G26" s="35"/>
    </row>
    <row r="27" spans="1:7" ht="16.5" customHeight="1">
      <c r="A27" s="463" t="str">
        <f>CONCATENATE("Passed and approved by the Governing Body on this ______ day of __________, ",(inputPrYr!$C$5-1),".")</f>
        <v>Passed and approved by the Governing Body on this ______ day of __________, 2011.</v>
      </c>
      <c r="B27" s="463"/>
      <c r="C27" s="463"/>
      <c r="D27" s="463"/>
      <c r="E27" s="463"/>
      <c r="F27" s="463"/>
      <c r="G27" s="463"/>
    </row>
    <row r="28" spans="1:7" ht="16.5" customHeight="1">
      <c r="A28" s="463"/>
      <c r="B28" s="463"/>
      <c r="C28" s="463"/>
      <c r="D28" s="463"/>
      <c r="E28" s="463"/>
      <c r="F28" s="463"/>
      <c r="G28" s="463"/>
    </row>
    <row r="29" spans="1:7" ht="16.5" customHeight="1">
      <c r="A29" s="37"/>
      <c r="B29" s="1"/>
      <c r="C29" s="1"/>
      <c r="D29" s="1"/>
      <c r="E29" s="1"/>
      <c r="F29" s="1"/>
      <c r="G29" s="1"/>
    </row>
    <row r="30" spans="1:7" ht="16.5" customHeight="1">
      <c r="A30" s="464" t="s">
        <v>168</v>
      </c>
      <c r="B30" s="464"/>
      <c r="C30" s="464"/>
      <c r="D30" s="464"/>
      <c r="E30" s="464"/>
      <c r="F30" s="464"/>
      <c r="G30" s="464"/>
    </row>
    <row r="31" spans="1:7" ht="16.5" customHeight="1">
      <c r="A31" s="464" t="s">
        <v>169</v>
      </c>
      <c r="B31" s="464"/>
      <c r="C31" s="464"/>
      <c r="D31" s="464"/>
      <c r="E31" s="464"/>
      <c r="F31" s="464"/>
      <c r="G31" s="464"/>
    </row>
    <row r="32" spans="1:7" ht="16.5" customHeight="1">
      <c r="A32" s="37" t="s">
        <v>170</v>
      </c>
      <c r="B32" s="1"/>
      <c r="C32" s="1"/>
      <c r="D32" s="1"/>
      <c r="E32" s="1"/>
      <c r="F32" s="1"/>
      <c r="G32" s="1"/>
    </row>
    <row r="33" spans="1:7" ht="16.5" customHeight="1">
      <c r="A33" s="1"/>
      <c r="B33" s="37" t="s">
        <v>171</v>
      </c>
      <c r="C33" s="1"/>
      <c r="D33" s="1"/>
      <c r="E33" s="1"/>
      <c r="F33" s="1"/>
      <c r="G33" s="1"/>
    </row>
    <row r="34" spans="1:7" ht="16.5" customHeight="1">
      <c r="A34" s="37"/>
      <c r="B34" s="1"/>
      <c r="C34" s="1"/>
      <c r="D34" s="1"/>
      <c r="E34" s="1"/>
      <c r="F34" s="1"/>
      <c r="G34" s="1"/>
    </row>
    <row r="35" spans="1:7" ht="16.5" customHeight="1">
      <c r="A35" s="37"/>
      <c r="B35" s="1"/>
      <c r="C35" s="1"/>
      <c r="D35" s="1"/>
      <c r="E35" s="1"/>
      <c r="F35" s="1"/>
      <c r="G35" s="1"/>
    </row>
    <row r="36" spans="1:7" ht="16.5" customHeight="1">
      <c r="A36" s="37" t="s">
        <v>172</v>
      </c>
      <c r="B36" s="1"/>
      <c r="C36" s="1"/>
      <c r="D36" s="1"/>
      <c r="E36" s="1"/>
      <c r="F36" s="1"/>
      <c r="G36" s="1"/>
    </row>
    <row r="37" spans="1:7" ht="16.5" customHeight="1">
      <c r="A37" s="37"/>
      <c r="B37" s="1"/>
      <c r="C37" s="1"/>
      <c r="D37" s="1"/>
      <c r="E37" s="1"/>
      <c r="F37" s="1"/>
      <c r="G37" s="1"/>
    </row>
    <row r="38" spans="1:7" ht="16.5" customHeight="1">
      <c r="A38" s="37"/>
      <c r="B38" s="1"/>
      <c r="C38" s="1"/>
      <c r="D38" s="1"/>
      <c r="E38" s="1"/>
      <c r="F38" s="1"/>
      <c r="G38" s="1"/>
    </row>
    <row r="39" spans="1:7" ht="16.5" customHeight="1">
      <c r="A39" s="37" t="s">
        <v>173</v>
      </c>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sheetData>
  <sheetProtection/>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tabSelected="1" zoomScalePageLayoutView="0" workbookViewId="0" topLeftCell="A19">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E15" sqref="E15"/>
    </sheetView>
  </sheetViews>
  <sheetFormatPr defaultColWidth="8.8984375" defaultRowHeight="15"/>
  <cols>
    <col min="1" max="1" width="15.69921875" style="118" customWidth="1"/>
    <col min="2" max="2" width="20.69921875" style="118" customWidth="1"/>
    <col min="3" max="3" width="9.69921875" style="118" customWidth="1"/>
    <col min="4" max="4" width="15.09765625" style="118" customWidth="1"/>
    <col min="5" max="5" width="15.69921875" style="118" customWidth="1"/>
    <col min="6" max="16384" width="8.8984375" style="118" customWidth="1"/>
  </cols>
  <sheetData>
    <row r="1" spans="1:5" ht="15">
      <c r="A1" s="119" t="str">
        <f>inputPrYr!$D$2</f>
        <v>City of Cedar</v>
      </c>
      <c r="B1" s="120"/>
      <c r="C1" s="120"/>
      <c r="D1" s="120"/>
      <c r="E1" s="121">
        <f>inputPrYr!C5</f>
        <v>2012</v>
      </c>
    </row>
    <row r="2" spans="1:5" ht="15">
      <c r="A2" s="120"/>
      <c r="B2" s="120"/>
      <c r="C2" s="120"/>
      <c r="D2" s="120"/>
      <c r="E2" s="120"/>
    </row>
    <row r="3" spans="1:5" ht="15">
      <c r="A3" s="406" t="s">
        <v>8</v>
      </c>
      <c r="B3" s="407"/>
      <c r="C3" s="407"/>
      <c r="D3" s="407"/>
      <c r="E3" s="407"/>
    </row>
    <row r="4" spans="1:5" ht="15">
      <c r="A4" s="67"/>
      <c r="B4" s="67"/>
      <c r="C4" s="67"/>
      <c r="D4" s="67"/>
      <c r="E4" s="67"/>
    </row>
    <row r="5" spans="1:5" ht="15">
      <c r="A5" s="67"/>
      <c r="B5" s="67"/>
      <c r="C5" s="67"/>
      <c r="D5" s="67"/>
      <c r="E5" s="67"/>
    </row>
    <row r="6" spans="1:5" ht="15">
      <c r="A6" s="70" t="s">
        <v>45</v>
      </c>
      <c r="B6" s="71"/>
      <c r="C6" s="56"/>
      <c r="D6" s="56"/>
      <c r="E6" s="80"/>
    </row>
    <row r="7" spans="1:5" ht="15">
      <c r="A7" s="122" t="str">
        <f>CONCATENATE("Total Assessed Valuation for ",E1-1,"")</f>
        <v>Total Assessed Valuation for 2011</v>
      </c>
      <c r="B7" s="107"/>
      <c r="C7" s="107"/>
      <c r="D7" s="107"/>
      <c r="E7" s="79">
        <v>79010</v>
      </c>
    </row>
    <row r="8" spans="1:5" ht="15">
      <c r="A8" s="122" t="str">
        <f>CONCATENATE("New Improvements for ",E1-1,"")</f>
        <v>New Improvements for 2011</v>
      </c>
      <c r="B8" s="107"/>
      <c r="C8" s="107"/>
      <c r="D8" s="107"/>
      <c r="E8" s="123">
        <v>7415</v>
      </c>
    </row>
    <row r="9" spans="1:5" ht="15">
      <c r="A9" s="122" t="str">
        <f>CONCATENATE("Personal Property excluding oil, gas, and mobile homes  - ",E1-1,"")</f>
        <v>Personal Property excluding oil, gas, and mobile homes  - 2011</v>
      </c>
      <c r="B9" s="107"/>
      <c r="C9" s="107"/>
      <c r="D9" s="107"/>
      <c r="E9" s="123">
        <v>3542</v>
      </c>
    </row>
    <row r="10" spans="1:5" ht="15">
      <c r="A10" s="124" t="s">
        <v>159</v>
      </c>
      <c r="B10" s="107"/>
      <c r="C10" s="107"/>
      <c r="D10" s="107"/>
      <c r="E10" s="100"/>
    </row>
    <row r="11" spans="1:5" ht="15">
      <c r="A11" s="122" t="s">
        <v>149</v>
      </c>
      <c r="B11" s="107"/>
      <c r="C11" s="107"/>
      <c r="D11" s="107"/>
      <c r="E11" s="123">
        <v>0</v>
      </c>
    </row>
    <row r="12" spans="1:5" ht="15">
      <c r="A12" s="122" t="s">
        <v>150</v>
      </c>
      <c r="B12" s="107"/>
      <c r="C12" s="107"/>
      <c r="D12" s="107"/>
      <c r="E12" s="123">
        <v>0</v>
      </c>
    </row>
    <row r="13" spans="1:5" ht="15">
      <c r="A13" s="122" t="s">
        <v>151</v>
      </c>
      <c r="B13" s="107"/>
      <c r="C13" s="107"/>
      <c r="D13" s="107"/>
      <c r="E13" s="123">
        <v>0</v>
      </c>
    </row>
    <row r="14" spans="1:5" ht="15">
      <c r="A14" s="122" t="str">
        <f>CONCATENATE("Property that has changed in use for ",E1-1,"")</f>
        <v>Property that has changed in use for 2011</v>
      </c>
      <c r="B14" s="107"/>
      <c r="C14" s="107"/>
      <c r="D14" s="107"/>
      <c r="E14" s="123">
        <v>1095</v>
      </c>
    </row>
    <row r="15" spans="1:5" ht="15">
      <c r="A15" s="122" t="str">
        <f>CONCATENATE("Personal Property  excluding oil, gas, and mobile homes- ",E1-2,"")</f>
        <v>Personal Property  excluding oil, gas, and mobile homes- 2010</v>
      </c>
      <c r="B15" s="107"/>
      <c r="C15" s="107"/>
      <c r="D15" s="107"/>
      <c r="E15" s="123">
        <v>3840</v>
      </c>
    </row>
    <row r="16" spans="1:5" ht="15">
      <c r="A16" s="122" t="str">
        <f>CONCATENATE("Gross earnings (intangible) tax estimate for ",E1,"")</f>
        <v>Gross earnings (intangible) tax estimate for 2012</v>
      </c>
      <c r="B16" s="107"/>
      <c r="C16" s="107"/>
      <c r="D16" s="108"/>
      <c r="E16" s="79">
        <v>106</v>
      </c>
    </row>
    <row r="17" spans="1:5" ht="15">
      <c r="A17" s="122" t="s">
        <v>16</v>
      </c>
      <c r="B17" s="107"/>
      <c r="C17" s="107"/>
      <c r="D17" s="107"/>
      <c r="E17" s="115">
        <v>0</v>
      </c>
    </row>
    <row r="18" spans="1:5" ht="15">
      <c r="A18" s="91"/>
      <c r="B18" s="88"/>
      <c r="C18" s="88"/>
      <c r="D18" s="88"/>
      <c r="E18" s="93"/>
    </row>
    <row r="19" spans="1:5" ht="15">
      <c r="A19" s="91" t="str">
        <f>CONCATENATE("Actual Tax Rates for the ",E1-1," Budget:")</f>
        <v>Actual Tax Rates for the 2011 Budget:</v>
      </c>
      <c r="B19" s="88"/>
      <c r="C19" s="88"/>
      <c r="D19" s="88"/>
      <c r="E19" s="93"/>
    </row>
    <row r="20" spans="1:5" ht="15">
      <c r="A20" s="410" t="s">
        <v>58</v>
      </c>
      <c r="B20" s="411"/>
      <c r="C20" s="120"/>
      <c r="D20" s="125" t="s">
        <v>98</v>
      </c>
      <c r="E20" s="93"/>
    </row>
    <row r="21" spans="1:5" ht="15">
      <c r="A21" s="83" t="str">
        <f>inputPrYr!B17</f>
        <v>General</v>
      </c>
      <c r="B21" s="84"/>
      <c r="C21" s="88"/>
      <c r="D21" s="126">
        <v>27.124</v>
      </c>
      <c r="E21" s="93"/>
    </row>
    <row r="22" spans="1:5" ht="15">
      <c r="A22" s="122" t="str">
        <f>inputPrYr!B19</f>
        <v>Noxious Weed</v>
      </c>
      <c r="B22" s="107"/>
      <c r="C22" s="88"/>
      <c r="D22" s="127">
        <v>0</v>
      </c>
      <c r="E22" s="93"/>
    </row>
    <row r="23" spans="1:5" ht="15">
      <c r="A23" s="122"/>
      <c r="B23" s="107"/>
      <c r="C23" s="88"/>
      <c r="D23" s="127"/>
      <c r="E23" s="93"/>
    </row>
    <row r="24" spans="1:5" ht="15">
      <c r="A24" s="122"/>
      <c r="B24" s="107"/>
      <c r="C24" s="88"/>
      <c r="D24" s="127"/>
      <c r="E24" s="93"/>
    </row>
    <row r="25" spans="1:5" ht="15">
      <c r="A25" s="122"/>
      <c r="B25" s="107"/>
      <c r="C25" s="88"/>
      <c r="D25" s="127"/>
      <c r="E25" s="93"/>
    </row>
    <row r="26" spans="1:5" ht="15">
      <c r="A26" s="122"/>
      <c r="B26" s="128"/>
      <c r="C26" s="88"/>
      <c r="D26" s="129"/>
      <c r="E26" s="93"/>
    </row>
    <row r="27" spans="1:5" ht="15">
      <c r="A27" s="122"/>
      <c r="B27" s="128"/>
      <c r="C27" s="88"/>
      <c r="D27" s="129"/>
      <c r="E27" s="93"/>
    </row>
    <row r="28" spans="1:5" ht="15">
      <c r="A28" s="130"/>
      <c r="B28" s="78" t="s">
        <v>44</v>
      </c>
      <c r="C28" s="131"/>
      <c r="D28" s="103">
        <f>SUM(D21:D27)</f>
        <v>27.124</v>
      </c>
      <c r="E28" s="130"/>
    </row>
    <row r="29" spans="1:5" ht="15">
      <c r="A29" s="130"/>
      <c r="B29" s="130"/>
      <c r="C29" s="130"/>
      <c r="D29" s="130"/>
      <c r="E29" s="130"/>
    </row>
    <row r="30" spans="1:5" ht="15">
      <c r="A30" s="84" t="str">
        <f>CONCATENATE("Final Assessed Valuation from the November 1, ",E1-2," Abstract")</f>
        <v>Final Assessed Valuation from the November 1, 2010 Abstract</v>
      </c>
      <c r="B30" s="132"/>
      <c r="C30" s="132"/>
      <c r="D30" s="132"/>
      <c r="E30" s="115">
        <v>74437</v>
      </c>
    </row>
    <row r="31" spans="1:5" ht="15">
      <c r="A31" s="130"/>
      <c r="B31" s="130"/>
      <c r="C31" s="130"/>
      <c r="D31" s="130"/>
      <c r="E31" s="130"/>
    </row>
    <row r="32" spans="1:5" ht="15">
      <c r="A32" s="133" t="s">
        <v>160</v>
      </c>
      <c r="B32" s="69"/>
      <c r="C32" s="69"/>
      <c r="D32" s="134"/>
      <c r="E32" s="80"/>
    </row>
    <row r="33" spans="1:5" ht="15">
      <c r="A33" s="83" t="s">
        <v>46</v>
      </c>
      <c r="B33" s="84"/>
      <c r="C33" s="84"/>
      <c r="D33" s="135"/>
      <c r="E33" s="79">
        <v>292</v>
      </c>
    </row>
    <row r="34" spans="1:5" ht="15">
      <c r="A34" s="122" t="s">
        <v>47</v>
      </c>
      <c r="B34" s="107"/>
      <c r="C34" s="107"/>
      <c r="D34" s="136"/>
      <c r="E34" s="79">
        <v>27</v>
      </c>
    </row>
    <row r="35" spans="1:5" ht="15">
      <c r="A35" s="122" t="s">
        <v>105</v>
      </c>
      <c r="B35" s="107"/>
      <c r="C35" s="107"/>
      <c r="D35" s="136"/>
      <c r="E35" s="79">
        <v>11</v>
      </c>
    </row>
    <row r="36" spans="1:5" ht="15">
      <c r="A36" s="122" t="s">
        <v>33</v>
      </c>
      <c r="B36" s="107"/>
      <c r="C36" s="107"/>
      <c r="D36" s="136"/>
      <c r="E36" s="79"/>
    </row>
    <row r="37" spans="1:5" ht="15">
      <c r="A37" s="122" t="s">
        <v>36</v>
      </c>
      <c r="B37" s="107"/>
      <c r="C37" s="107"/>
      <c r="D37" s="136"/>
      <c r="E37" s="79"/>
    </row>
    <row r="38" spans="1:5" ht="15">
      <c r="A38" s="83" t="s">
        <v>34</v>
      </c>
      <c r="B38" s="84"/>
      <c r="C38" s="84"/>
      <c r="D38" s="135"/>
      <c r="E38" s="79"/>
    </row>
    <row r="39" spans="1:5" ht="15">
      <c r="A39" s="56" t="s">
        <v>138</v>
      </c>
      <c r="B39" s="56"/>
      <c r="C39" s="56"/>
      <c r="D39" s="56"/>
      <c r="E39" s="56"/>
    </row>
    <row r="40" spans="1:5" ht="15">
      <c r="A40" s="58" t="s">
        <v>64</v>
      </c>
      <c r="B40" s="65"/>
      <c r="C40" s="65"/>
      <c r="D40" s="56"/>
      <c r="E40" s="56"/>
    </row>
    <row r="41" spans="1:5" ht="15">
      <c r="A41" s="91" t="str">
        <f>CONCATENATE("Actual Delinquency for ",E1-3," Tax - (round to three decimal places)")</f>
        <v>Actual Delinquency for 2009 Tax - (round to three decimal places)</v>
      </c>
      <c r="B41" s="88"/>
      <c r="C41" s="56"/>
      <c r="D41" s="56"/>
      <c r="E41" s="354"/>
    </row>
    <row r="42" spans="1:5" ht="15">
      <c r="A42" s="91" t="s">
        <v>4</v>
      </c>
      <c r="B42" s="91"/>
      <c r="C42" s="88"/>
      <c r="D42" s="88"/>
      <c r="E42" s="264"/>
    </row>
    <row r="43" spans="1:5" ht="15">
      <c r="A43" s="137" t="s">
        <v>5</v>
      </c>
      <c r="B43" s="137"/>
      <c r="C43" s="138"/>
      <c r="D43" s="138"/>
      <c r="E43" s="139"/>
    </row>
    <row r="44" spans="1:5" ht="15">
      <c r="A44" s="56"/>
      <c r="B44" s="56"/>
      <c r="C44" s="56"/>
      <c r="D44" s="56"/>
      <c r="E44" s="56"/>
    </row>
    <row r="45" spans="1:5" ht="15">
      <c r="A45" s="140" t="s">
        <v>15</v>
      </c>
      <c r="B45" s="141"/>
      <c r="C45" s="142"/>
      <c r="D45" s="142"/>
      <c r="E45" s="142"/>
    </row>
    <row r="46" spans="1:5" ht="15">
      <c r="A46" s="143" t="str">
        <f>CONCATENATE("",E1," State Distribution for Kansas Gas Tax")</f>
        <v>2012 State Distribution for Kansas Gas Tax</v>
      </c>
      <c r="B46" s="144"/>
      <c r="C46" s="144"/>
      <c r="D46" s="145"/>
      <c r="E46" s="115">
        <v>610</v>
      </c>
    </row>
    <row r="47" spans="1:5" ht="15">
      <c r="A47" s="146" t="str">
        <f>CONCATENATE("",E1," County Transfers for Gas***")</f>
        <v>2012 County Transfers for Gas***</v>
      </c>
      <c r="B47" s="147"/>
      <c r="C47" s="147"/>
      <c r="D47" s="148"/>
      <c r="E47" s="115"/>
    </row>
    <row r="48" spans="1:5" ht="15">
      <c r="A48" s="146" t="str">
        <f>CONCATENATE("Adjusted ",E1-1," State Distribution for Kansas Gas Tax")</f>
        <v>Adjusted 2011 State Distribution for Kansas Gas Tax</v>
      </c>
      <c r="B48" s="147"/>
      <c r="C48" s="147"/>
      <c r="D48" s="148"/>
      <c r="E48" s="115">
        <v>590</v>
      </c>
    </row>
    <row r="49" spans="1:5" ht="15">
      <c r="A49" s="146" t="str">
        <f>CONCATENATE("Adjusted ",E1-1," County Transfers for Gas***")</f>
        <v>Adjusted 2011 County Transfers for Gas***</v>
      </c>
      <c r="B49" s="147"/>
      <c r="C49" s="147"/>
      <c r="D49" s="148"/>
      <c r="E49" s="115"/>
    </row>
    <row r="50" spans="1:5" ht="18" customHeight="1">
      <c r="A50" s="412" t="s">
        <v>6</v>
      </c>
      <c r="B50" s="413"/>
      <c r="C50" s="413"/>
      <c r="D50" s="413"/>
      <c r="E50" s="413"/>
    </row>
    <row r="51" spans="1:5" ht="15">
      <c r="A51" s="149" t="s">
        <v>7</v>
      </c>
      <c r="B51" s="149"/>
      <c r="C51" s="149"/>
      <c r="D51" s="149"/>
      <c r="E51" s="149"/>
    </row>
    <row r="52" spans="1:5" ht="15">
      <c r="A52" s="120"/>
      <c r="B52" s="120"/>
      <c r="C52" s="120"/>
      <c r="D52" s="120"/>
      <c r="E52" s="120"/>
    </row>
    <row r="53" spans="1:5" ht="15">
      <c r="A53" s="414" t="str">
        <f>CONCATENATE("From the ",E1-2," Budget Certificate Page")</f>
        <v>From the 2010 Budget Certificate Page</v>
      </c>
      <c r="B53" s="415"/>
      <c r="C53" s="120"/>
      <c r="D53" s="120"/>
      <c r="E53" s="120"/>
    </row>
    <row r="54" spans="1:5" ht="15">
      <c r="A54" s="150"/>
      <c r="B54" s="150" t="str">
        <f>CONCATENATE("",E1-2," Expenditure Amounts")</f>
        <v>2010 Expenditure Amounts</v>
      </c>
      <c r="C54" s="408" t="str">
        <f>CONCATENATE("Note: If the ",E1-2," budget was amended, then the")</f>
        <v>Note: If the 2010 budget was amended, then the</v>
      </c>
      <c r="D54" s="409"/>
      <c r="E54" s="409"/>
    </row>
    <row r="55" spans="1:5" ht="15">
      <c r="A55" s="151" t="s">
        <v>24</v>
      </c>
      <c r="B55" s="151" t="s">
        <v>23</v>
      </c>
      <c r="C55" s="152" t="s">
        <v>21</v>
      </c>
      <c r="D55" s="153"/>
      <c r="E55" s="153"/>
    </row>
    <row r="56" spans="1:5" ht="15">
      <c r="A56" s="154" t="str">
        <f>inputPrYr!B17</f>
        <v>General</v>
      </c>
      <c r="B56" s="115">
        <v>5420</v>
      </c>
      <c r="C56" s="152" t="s">
        <v>22</v>
      </c>
      <c r="D56" s="153"/>
      <c r="E56" s="153"/>
    </row>
    <row r="57" spans="1:5" ht="15">
      <c r="A57" s="154" t="str">
        <f>inputPrYr!B19</f>
        <v>Noxious Weed</v>
      </c>
      <c r="B57" s="115">
        <v>1595</v>
      </c>
      <c r="C57" s="120"/>
      <c r="D57" s="120"/>
      <c r="E57" s="120"/>
    </row>
    <row r="58" spans="1:5" ht="15">
      <c r="A58" s="154" t="str">
        <f>inputPrYr!B20</f>
        <v>Library</v>
      </c>
      <c r="B58" s="115"/>
      <c r="C58" s="120"/>
      <c r="D58" s="120"/>
      <c r="E58" s="120"/>
    </row>
    <row r="59" spans="1:5" ht="15">
      <c r="A59" s="154" t="str">
        <f>inputPrYr!B26</f>
        <v>Special Highway</v>
      </c>
      <c r="B59" s="115">
        <v>580</v>
      </c>
      <c r="C59" s="120"/>
      <c r="D59" s="120"/>
      <c r="E59" s="120"/>
    </row>
    <row r="60" spans="1:5" ht="15">
      <c r="A60" s="154">
        <f>inputPrYr!B27</f>
        <v>0</v>
      </c>
      <c r="B60" s="115"/>
      <c r="C60" s="120"/>
      <c r="D60" s="120"/>
      <c r="E60" s="120"/>
    </row>
    <row r="61" spans="1:5" ht="15">
      <c r="A61" s="154">
        <f>inputPrYr!B28</f>
        <v>0</v>
      </c>
      <c r="B61" s="115"/>
      <c r="C61" s="120"/>
      <c r="D61" s="120"/>
      <c r="E61" s="120"/>
    </row>
    <row r="62" spans="1:5" ht="15">
      <c r="A62" s="154">
        <f>inputPrYr!B29</f>
        <v>0</v>
      </c>
      <c r="B62" s="115"/>
      <c r="C62" s="120"/>
      <c r="D62" s="120"/>
      <c r="E62" s="120"/>
    </row>
    <row r="63" spans="1:5" ht="15">
      <c r="A63" s="154">
        <f>inputPrYr!B30</f>
        <v>0</v>
      </c>
      <c r="B63" s="115"/>
      <c r="C63" s="120"/>
      <c r="D63" s="120"/>
      <c r="E63" s="120"/>
    </row>
    <row r="64" spans="1:5" ht="15">
      <c r="A64" s="154">
        <f>inputPrYr!B31</f>
        <v>0</v>
      </c>
      <c r="B64" s="115"/>
      <c r="C64" s="120"/>
      <c r="D64" s="120"/>
      <c r="E64" s="120"/>
    </row>
    <row r="65" spans="1:5" ht="15">
      <c r="A65" s="154">
        <f>inputPrYr!B33</f>
        <v>0</v>
      </c>
      <c r="B65" s="115"/>
      <c r="C65" s="120"/>
      <c r="D65" s="120"/>
      <c r="E65" s="120"/>
    </row>
  </sheetData>
  <sheetProtection/>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4" r:id="rId1"/>
</worksheet>
</file>

<file path=xl/worksheets/sheet3.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4" sqref="B4"/>
    </sheetView>
  </sheetViews>
  <sheetFormatPr defaultColWidth="8.796875" defaultRowHeight="15"/>
  <cols>
    <col min="1" max="1" width="13.69921875" style="0" customWidth="1"/>
    <col min="2" max="2" width="16.09765625" style="0" customWidth="1"/>
  </cols>
  <sheetData>
    <row r="2" spans="1:6" ht="54" customHeight="1">
      <c r="A2" s="416" t="s">
        <v>193</v>
      </c>
      <c r="B2" s="417"/>
      <c r="C2" s="417"/>
      <c r="D2" s="417"/>
      <c r="E2" s="417"/>
      <c r="F2" s="417"/>
    </row>
    <row r="4" spans="1:2" ht="15">
      <c r="A4" s="1" t="s">
        <v>207</v>
      </c>
      <c r="B4" s="245" t="s">
        <v>226</v>
      </c>
    </row>
    <row r="5" spans="1:6" ht="15">
      <c r="A5" s="242"/>
      <c r="B5" s="242"/>
      <c r="C5" s="242"/>
      <c r="D5" s="244"/>
      <c r="E5" s="242"/>
      <c r="F5" s="242"/>
    </row>
    <row r="6" spans="1:6" ht="15">
      <c r="A6" s="243" t="s">
        <v>194</v>
      </c>
      <c r="B6" s="245" t="s">
        <v>226</v>
      </c>
      <c r="C6" s="246"/>
      <c r="D6" s="243" t="s">
        <v>195</v>
      </c>
      <c r="E6" s="242"/>
      <c r="F6" s="242"/>
    </row>
    <row r="7" spans="1:6" ht="15">
      <c r="A7" s="243"/>
      <c r="B7" s="247"/>
      <c r="C7" s="248"/>
      <c r="D7" s="243"/>
      <c r="E7" s="242"/>
      <c r="F7" s="242"/>
    </row>
    <row r="8" spans="1:6" ht="15">
      <c r="A8" s="243" t="s">
        <v>196</v>
      </c>
      <c r="B8" s="245" t="s">
        <v>227</v>
      </c>
      <c r="C8" s="249"/>
      <c r="D8" s="243"/>
      <c r="E8" s="242"/>
      <c r="F8" s="242"/>
    </row>
    <row r="9" spans="1:6" ht="15">
      <c r="A9" s="243"/>
      <c r="B9" s="243"/>
      <c r="C9" s="243"/>
      <c r="D9" s="243"/>
      <c r="E9" s="242"/>
      <c r="F9" s="242"/>
    </row>
    <row r="10" spans="1:6" ht="15">
      <c r="A10" s="243" t="s">
        <v>197</v>
      </c>
      <c r="B10" s="250" t="s">
        <v>226</v>
      </c>
      <c r="C10" s="250"/>
      <c r="D10" s="250"/>
      <c r="E10" s="251"/>
      <c r="F10" s="242"/>
    </row>
    <row r="11" spans="1:6" ht="15">
      <c r="A11" s="243"/>
      <c r="B11" s="243"/>
      <c r="C11" s="243"/>
      <c r="D11" s="243"/>
      <c r="E11" s="242"/>
      <c r="F11" s="242"/>
    </row>
    <row r="12" spans="1:6" ht="15">
      <c r="A12" s="243"/>
      <c r="B12" s="243"/>
      <c r="C12" s="243"/>
      <c r="D12" s="243"/>
      <c r="E12" s="242"/>
      <c r="F12" s="242"/>
    </row>
    <row r="13" spans="1:6" ht="15">
      <c r="A13" s="243" t="s">
        <v>198</v>
      </c>
      <c r="B13" s="250"/>
      <c r="C13" s="250"/>
      <c r="D13" s="250"/>
      <c r="E13" s="251"/>
      <c r="F13" s="242"/>
    </row>
    <row r="16" spans="1:6" ht="15">
      <c r="A16" s="418" t="s">
        <v>199</v>
      </c>
      <c r="B16" s="418"/>
      <c r="C16" s="243"/>
      <c r="D16" s="243"/>
      <c r="E16" s="243"/>
      <c r="F16" s="242"/>
    </row>
    <row r="17" spans="1:6" ht="15">
      <c r="A17" s="243"/>
      <c r="B17" s="243"/>
      <c r="C17" s="243"/>
      <c r="D17" s="243"/>
      <c r="E17" s="243"/>
      <c r="F17" s="242"/>
    </row>
    <row r="18" spans="1:6" ht="15">
      <c r="A18" s="243" t="s">
        <v>207</v>
      </c>
      <c r="B18" s="243" t="s">
        <v>208</v>
      </c>
      <c r="C18" s="243"/>
      <c r="D18" s="243"/>
      <c r="E18" s="243"/>
      <c r="F18" s="242"/>
    </row>
    <row r="19" spans="1:6" ht="15">
      <c r="A19" s="243"/>
      <c r="B19" s="243"/>
      <c r="C19" s="243"/>
      <c r="D19" s="243"/>
      <c r="E19" s="243"/>
      <c r="F19" s="242"/>
    </row>
    <row r="20" spans="1:5" ht="15">
      <c r="A20" s="243" t="s">
        <v>194</v>
      </c>
      <c r="B20" s="247" t="s">
        <v>200</v>
      </c>
      <c r="C20" s="243"/>
      <c r="D20" s="243"/>
      <c r="E20" s="243"/>
    </row>
    <row r="21" spans="1:5" ht="15">
      <c r="A21" s="243"/>
      <c r="B21" s="243"/>
      <c r="C21" s="243"/>
      <c r="D21" s="243"/>
      <c r="E21" s="243"/>
    </row>
    <row r="22" spans="1:5" ht="15">
      <c r="A22" s="243" t="s">
        <v>196</v>
      </c>
      <c r="B22" s="243" t="s">
        <v>201</v>
      </c>
      <c r="C22" s="243"/>
      <c r="D22" s="243"/>
      <c r="E22" s="243"/>
    </row>
    <row r="23" spans="1:5" ht="15">
      <c r="A23" s="243"/>
      <c r="B23" s="243"/>
      <c r="C23" s="243"/>
      <c r="D23" s="243"/>
      <c r="E23" s="243"/>
    </row>
    <row r="24" spans="1:5" ht="15">
      <c r="A24" s="243" t="s">
        <v>197</v>
      </c>
      <c r="B24" s="243" t="s">
        <v>202</v>
      </c>
      <c r="C24" s="243"/>
      <c r="D24" s="243"/>
      <c r="E24" s="243"/>
    </row>
    <row r="25" spans="1:5" ht="15">
      <c r="A25" s="243"/>
      <c r="B25" s="243"/>
      <c r="C25" s="243"/>
      <c r="D25" s="243"/>
      <c r="E25" s="243"/>
    </row>
    <row r="26" spans="1:5" ht="15">
      <c r="A26" s="243" t="s">
        <v>198</v>
      </c>
      <c r="B26" s="243" t="s">
        <v>202</v>
      </c>
      <c r="C26" s="243"/>
      <c r="D26" s="243"/>
      <c r="E26" s="243"/>
    </row>
  </sheetData>
  <sheetProtection/>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F46"/>
  <sheetViews>
    <sheetView workbookViewId="0" topLeftCell="A1">
      <selection activeCell="B23" sqref="B23"/>
    </sheetView>
  </sheetViews>
  <sheetFormatPr defaultColWidth="8.8984375" defaultRowHeight="15" customHeight="1"/>
  <cols>
    <col min="1" max="1" width="24.3984375" style="157" customWidth="1"/>
    <col min="2" max="2" width="11.296875" style="157" customWidth="1"/>
    <col min="3" max="3" width="5.69921875" style="157" customWidth="1"/>
    <col min="4" max="4" width="16.69921875" style="157" customWidth="1"/>
    <col min="5" max="5" width="14" style="157" customWidth="1"/>
    <col min="6" max="6" width="13" style="157" customWidth="1"/>
    <col min="7" max="16384" width="8.8984375" style="157" customWidth="1"/>
  </cols>
  <sheetData>
    <row r="1" spans="1:6" ht="15" customHeight="1">
      <c r="A1" s="155"/>
      <c r="B1" s="155"/>
      <c r="C1" s="155"/>
      <c r="D1" s="155"/>
      <c r="E1" s="155"/>
      <c r="F1" s="156">
        <f>inputPrYr!$C$5</f>
        <v>2012</v>
      </c>
    </row>
    <row r="2" spans="1:6" ht="15" customHeight="1">
      <c r="A2" s="56"/>
      <c r="B2" s="56"/>
      <c r="C2" s="58" t="s">
        <v>101</v>
      </c>
      <c r="D2" s="56"/>
      <c r="E2" s="56"/>
      <c r="F2" s="158"/>
    </row>
    <row r="3" spans="1:6" s="57" customFormat="1" ht="15" customHeight="1">
      <c r="A3" s="419" t="str">
        <f>CONCATENATE("To the Clerk of ",inputPrYr!D3,", State of Kansas")</f>
        <v>To the Clerk of Smith County, State of Kansas</v>
      </c>
      <c r="B3" s="411"/>
      <c r="C3" s="411"/>
      <c r="D3" s="411"/>
      <c r="E3" s="411"/>
      <c r="F3" s="411"/>
    </row>
    <row r="4" spans="1:6" s="57" customFormat="1" ht="15" customHeight="1">
      <c r="A4" s="66" t="s">
        <v>205</v>
      </c>
      <c r="B4" s="65"/>
      <c r="C4" s="65"/>
      <c r="D4" s="65"/>
      <c r="E4" s="65"/>
      <c r="F4" s="65"/>
    </row>
    <row r="5" spans="1:6" s="57" customFormat="1" ht="15" customHeight="1">
      <c r="A5" s="56"/>
      <c r="B5" s="56"/>
      <c r="C5" s="277" t="str">
        <f>(inputPrYr!D2)</f>
        <v>City of Cedar</v>
      </c>
      <c r="D5" s="56"/>
      <c r="E5" s="56"/>
      <c r="F5" s="56"/>
    </row>
    <row r="6" spans="1:6" s="57" customFormat="1" ht="15" customHeight="1">
      <c r="A6" s="66" t="s">
        <v>48</v>
      </c>
      <c r="B6" s="65"/>
      <c r="C6" s="65"/>
      <c r="D6" s="65"/>
      <c r="E6" s="65"/>
      <c r="F6" s="65"/>
    </row>
    <row r="7" spans="1:6" s="57" customFormat="1" ht="15" customHeight="1">
      <c r="A7" s="66" t="s">
        <v>49</v>
      </c>
      <c r="B7" s="65"/>
      <c r="C7" s="65"/>
      <c r="D7" s="65"/>
      <c r="E7" s="65"/>
      <c r="F7" s="65"/>
    </row>
    <row r="8" spans="1:6" s="57" customFormat="1" ht="15" customHeight="1">
      <c r="A8" s="66" t="str">
        <f>CONCATENATE("maximum expenditure for the various funds for the year ",D11,"; and")</f>
        <v>maximum expenditure for the various funds for the year 2012; and</v>
      </c>
      <c r="B8" s="65"/>
      <c r="C8" s="65"/>
      <c r="D8" s="65"/>
      <c r="E8" s="65"/>
      <c r="F8" s="65"/>
    </row>
    <row r="9" spans="1:6" s="57" customFormat="1" ht="15" customHeight="1">
      <c r="A9" s="66" t="str">
        <f>CONCATENATE("(3) the Amount(s) of ",E12," Ad Valorem Tax are within statutory limiations.")</f>
        <v>(3) the Amount(s) of Amount of 2011 Ad Valorem Tax Ad Valorem Tax are within statutory limiations.</v>
      </c>
      <c r="B9" s="65"/>
      <c r="C9" s="65"/>
      <c r="D9" s="65"/>
      <c r="E9" s="65"/>
      <c r="F9" s="65"/>
    </row>
    <row r="10" spans="1:6" ht="15" customHeight="1">
      <c r="A10" s="159"/>
      <c r="B10" s="160"/>
      <c r="C10" s="160"/>
      <c r="D10" s="161"/>
      <c r="E10" s="160"/>
      <c r="F10" s="160"/>
    </row>
    <row r="11" spans="1:6" ht="15" customHeight="1">
      <c r="A11" s="56"/>
      <c r="B11" s="56"/>
      <c r="C11" s="162"/>
      <c r="D11" s="163">
        <f>inputPrYr!$C$5</f>
        <v>2012</v>
      </c>
      <c r="E11" s="164" t="s">
        <v>70</v>
      </c>
      <c r="F11" s="165"/>
    </row>
    <row r="12" spans="1:6" ht="16.5" customHeight="1">
      <c r="A12" s="160"/>
      <c r="B12" s="56"/>
      <c r="C12" s="166"/>
      <c r="D12" s="168"/>
      <c r="E12" s="420" t="str">
        <f>CONCATENATE("Amount of ",$F$1-1," Ad Valorem Tax")</f>
        <v>Amount of 2011 Ad Valorem Tax</v>
      </c>
      <c r="F12" s="168" t="s">
        <v>51</v>
      </c>
    </row>
    <row r="13" spans="1:6" ht="14.25" customHeight="1">
      <c r="A13" s="56"/>
      <c r="B13" s="56"/>
      <c r="C13" s="168" t="s">
        <v>52</v>
      </c>
      <c r="D13" s="169" t="s">
        <v>23</v>
      </c>
      <c r="E13" s="421"/>
      <c r="F13" s="169" t="s">
        <v>53</v>
      </c>
    </row>
    <row r="14" spans="1:6" ht="14.25" customHeight="1">
      <c r="A14" s="170" t="s">
        <v>54</v>
      </c>
      <c r="B14" s="95"/>
      <c r="C14" s="171" t="s">
        <v>55</v>
      </c>
      <c r="D14" s="171" t="s">
        <v>214</v>
      </c>
      <c r="E14" s="422"/>
      <c r="F14" s="171" t="s">
        <v>57</v>
      </c>
    </row>
    <row r="15" spans="1:6" ht="15" customHeight="1">
      <c r="A15" s="172" t="s">
        <v>178</v>
      </c>
      <c r="B15" s="173">
        <f>inputPrYr!$C$5</f>
        <v>2012</v>
      </c>
      <c r="C15" s="174">
        <v>2</v>
      </c>
      <c r="D15" s="88"/>
      <c r="E15" s="88"/>
      <c r="F15" s="175"/>
    </row>
    <row r="16" spans="1:6" ht="15" customHeight="1">
      <c r="A16" s="167" t="s">
        <v>19</v>
      </c>
      <c r="B16" s="176"/>
      <c r="C16" s="174">
        <v>3</v>
      </c>
      <c r="D16" s="88"/>
      <c r="E16" s="88"/>
      <c r="F16" s="162"/>
    </row>
    <row r="17" spans="1:6" ht="15" customHeight="1">
      <c r="A17" s="178" t="s">
        <v>58</v>
      </c>
      <c r="B17" s="179" t="s">
        <v>59</v>
      </c>
      <c r="C17" s="180"/>
      <c r="D17" s="88"/>
      <c r="E17" s="88"/>
      <c r="F17" s="162"/>
    </row>
    <row r="18" spans="1:6" ht="15" customHeight="1">
      <c r="A18" s="77" t="s">
        <v>40</v>
      </c>
      <c r="B18" s="181" t="str">
        <f>inputPrYr!C17</f>
        <v>12-101a</v>
      </c>
      <c r="C18" s="174">
        <f>general!C45</f>
        <v>4</v>
      </c>
      <c r="D18" s="274">
        <f>IF((general!$E$36)&lt;&gt;0,general!$E$36,"")</f>
        <v>5219</v>
      </c>
      <c r="E18" s="395">
        <f>IF((general!$E$43)&lt;&gt;0,(general!$E$43),0)</f>
        <v>2143</v>
      </c>
      <c r="F18" s="396">
        <f>IF($F$22=0,"",ROUND(E18/$F$22*1000,3))</f>
      </c>
    </row>
    <row r="19" spans="1:6" ht="15" customHeight="1">
      <c r="A19" s="183" t="str">
        <f>IF((inputPrYr!$B26&gt;"  "),(inputPrYr!$B26),"  ")</f>
        <v>Special Highway</v>
      </c>
      <c r="B19" s="108"/>
      <c r="C19" s="177">
        <f>IF(SpecHwy!C49&gt;0,SpecHwy!C49," ")</f>
        <v>5</v>
      </c>
      <c r="D19" s="274">
        <f>IF((SpecHwy!$E$33)&lt;&gt;0,(SpecHwy!$E$33),"")</f>
        <v>610</v>
      </c>
      <c r="E19" s="213"/>
      <c r="F19" s="213"/>
    </row>
    <row r="20" spans="1:6" s="394" customFormat="1" ht="16.5" customHeight="1">
      <c r="A20" s="224" t="s">
        <v>220</v>
      </c>
      <c r="B20" s="392"/>
      <c r="C20" s="393" t="s">
        <v>60</v>
      </c>
      <c r="D20" s="397">
        <f>SUM(D18:D19)</f>
        <v>5829</v>
      </c>
      <c r="E20" s="397">
        <f>SUM(E18:E19)</f>
        <v>2143</v>
      </c>
      <c r="F20" s="398">
        <f>IF(SUM(F18:F19)=0,"",SUM(F18:F19))</f>
      </c>
    </row>
    <row r="21" spans="1:6" ht="16.5" customHeight="1">
      <c r="A21" s="283" t="s">
        <v>13</v>
      </c>
      <c r="B21" s="282"/>
      <c r="C21" s="281"/>
      <c r="D21" s="280"/>
      <c r="E21" s="279" t="str">
        <f>IF(E20&gt;computation!J40,"Yes","No")</f>
        <v>No</v>
      </c>
      <c r="F21" s="276" t="s">
        <v>164</v>
      </c>
    </row>
    <row r="22" spans="1:6" ht="15" customHeight="1">
      <c r="A22" s="167" t="s">
        <v>11</v>
      </c>
      <c r="B22" s="176"/>
      <c r="C22" s="169">
        <f>summ!D48</f>
        <v>6</v>
      </c>
      <c r="D22" s="185"/>
      <c r="E22" s="56"/>
      <c r="F22" s="278"/>
    </row>
    <row r="23" spans="1:6" ht="15" customHeight="1">
      <c r="A23" s="77" t="s">
        <v>35</v>
      </c>
      <c r="B23" s="78"/>
      <c r="C23" s="174">
        <f>IF(Nhood!C49&gt;0,Nhood!C49,"")</f>
        <v>7</v>
      </c>
      <c r="D23" s="185"/>
      <c r="E23" s="56"/>
      <c r="F23" s="425" t="str">
        <f>CONCATENATE("Nov 1, ",F1-1," Total Assessed Valuation")</f>
        <v>Nov 1, 2011 Total Assessed Valuation</v>
      </c>
    </row>
    <row r="24" spans="1:6" ht="15" customHeight="1">
      <c r="A24" s="91"/>
      <c r="B24" s="88"/>
      <c r="C24" s="186"/>
      <c r="D24" s="298"/>
      <c r="E24" s="299"/>
      <c r="F24" s="426"/>
    </row>
    <row r="25" spans="1:6" ht="15" customHeight="1">
      <c r="A25" s="91"/>
      <c r="B25" s="88"/>
      <c r="C25" s="186"/>
      <c r="D25" s="88"/>
      <c r="E25" s="56"/>
      <c r="F25" s="56"/>
    </row>
    <row r="26" spans="1:6" ht="15" customHeight="1">
      <c r="A26" s="61" t="s">
        <v>61</v>
      </c>
      <c r="B26" s="56"/>
      <c r="C26" s="56"/>
      <c r="D26" s="88"/>
      <c r="E26" s="56"/>
      <c r="F26" s="56"/>
    </row>
    <row r="27" spans="1:6" ht="15" customHeight="1">
      <c r="A27" s="361" t="s">
        <v>228</v>
      </c>
      <c r="B27" s="56"/>
      <c r="C27" s="161"/>
      <c r="D27" s="84"/>
      <c r="E27" s="161"/>
      <c r="F27" s="161"/>
    </row>
    <row r="28" spans="1:6" ht="15" customHeight="1">
      <c r="A28" s="362" t="s">
        <v>229</v>
      </c>
      <c r="B28" s="88"/>
      <c r="C28" s="88"/>
      <c r="D28" s="88"/>
      <c r="E28" s="88"/>
      <c r="F28" s="88"/>
    </row>
    <row r="29" spans="1:6" ht="15" customHeight="1">
      <c r="A29" s="56" t="s">
        <v>174</v>
      </c>
      <c r="B29" s="240"/>
      <c r="C29" s="84"/>
      <c r="D29" s="84"/>
      <c r="E29" s="84"/>
      <c r="F29" s="84"/>
    </row>
    <row r="30" spans="1:6" ht="15" customHeight="1">
      <c r="A30" s="361" t="s">
        <v>230</v>
      </c>
      <c r="B30" s="88"/>
      <c r="C30" s="61"/>
      <c r="D30" s="56"/>
      <c r="E30" s="56"/>
      <c r="F30" s="56"/>
    </row>
    <row r="31" spans="1:6" ht="15" customHeight="1">
      <c r="A31" s="362" t="s">
        <v>231</v>
      </c>
      <c r="B31" s="56"/>
      <c r="C31" s="84"/>
      <c r="D31" s="84"/>
      <c r="E31" s="94"/>
      <c r="F31" s="94"/>
    </row>
    <row r="32" spans="1:6" ht="15" customHeight="1">
      <c r="A32" s="241"/>
      <c r="B32" s="61"/>
      <c r="C32" s="56"/>
      <c r="D32" s="56"/>
      <c r="E32" s="110"/>
      <c r="F32" s="110"/>
    </row>
    <row r="33" spans="1:6" ht="15" customHeight="1">
      <c r="A33" s="240"/>
      <c r="B33" s="56"/>
      <c r="C33" s="84"/>
      <c r="D33" s="84"/>
      <c r="E33" s="94"/>
      <c r="F33" s="94"/>
    </row>
    <row r="34" spans="1:6" ht="15" customHeight="1">
      <c r="A34" s="56"/>
      <c r="B34" s="56"/>
      <c r="C34" s="56"/>
      <c r="D34" s="56"/>
      <c r="E34" s="110"/>
      <c r="F34" s="110"/>
    </row>
    <row r="35" spans="1:6" ht="15" customHeight="1">
      <c r="A35" s="62" t="s">
        <v>10</v>
      </c>
      <c r="B35" s="187">
        <f>inputPrYr!$C$5-1</f>
        <v>2011</v>
      </c>
      <c r="C35" s="84"/>
      <c r="D35" s="84"/>
      <c r="E35" s="94"/>
      <c r="F35" s="94"/>
    </row>
    <row r="36" spans="1:6" ht="15" customHeight="1">
      <c r="A36" s="56"/>
      <c r="B36" s="56"/>
      <c r="C36" s="110"/>
      <c r="D36" s="110"/>
      <c r="E36" s="188"/>
      <c r="F36" s="189"/>
    </row>
    <row r="37" spans="1:6" ht="15" customHeight="1">
      <c r="A37" s="355"/>
      <c r="B37" s="56"/>
      <c r="C37" s="84"/>
      <c r="D37" s="84"/>
      <c r="E37" s="94"/>
      <c r="F37" s="94"/>
    </row>
    <row r="38" spans="1:6" ht="15" customHeight="1">
      <c r="A38" s="75" t="s">
        <v>63</v>
      </c>
      <c r="B38" s="56"/>
      <c r="C38" s="423" t="s">
        <v>62</v>
      </c>
      <c r="D38" s="424"/>
      <c r="E38" s="424"/>
      <c r="F38" s="424"/>
    </row>
    <row r="39" spans="1:2" ht="15" customHeight="1">
      <c r="A39" s="54"/>
      <c r="B39" s="190"/>
    </row>
    <row r="41" ht="15" customHeight="1">
      <c r="D41" s="191"/>
    </row>
    <row r="42" spans="1:6" ht="15" customHeight="1">
      <c r="A42" s="54"/>
      <c r="B42" s="54"/>
      <c r="C42" s="54"/>
      <c r="D42" s="54"/>
      <c r="E42" s="54"/>
      <c r="F42" s="54"/>
    </row>
    <row r="43" spans="1:6" ht="15" customHeight="1">
      <c r="A43" s="54"/>
      <c r="B43" s="54"/>
      <c r="C43" s="54"/>
      <c r="D43" s="54"/>
      <c r="E43" s="54"/>
      <c r="F43" s="54"/>
    </row>
    <row r="44" ht="15" customHeight="1">
      <c r="A44" s="54"/>
    </row>
    <row r="45" ht="15" customHeight="1">
      <c r="A45" s="54"/>
    </row>
    <row r="46" ht="15" customHeight="1" hidden="1">
      <c r="D46" s="285" t="e">
        <f>inputOth!#REF!</f>
        <v>#REF!</v>
      </c>
    </row>
  </sheetData>
  <sheetProtection/>
  <mergeCells count="4">
    <mergeCell ref="A3:F3"/>
    <mergeCell ref="E12:E14"/>
    <mergeCell ref="C38:F38"/>
    <mergeCell ref="F23:F24"/>
  </mergeCells>
  <printOptions/>
  <pageMargins left="0.5" right="0.5" top="1" bottom="0.5" header="0.5" footer="0.5"/>
  <pageSetup blackAndWhite="1" fitToHeight="1" fitToWidth="1" horizontalDpi="120" verticalDpi="120" orientation="portrait" scale="87" r:id="rId1"/>
  <headerFooter alignWithMargins="0">
    <oddHeader>&amp;R&amp;10State of Kansas
City
</oddHeader>
    <oddFooter>&amp;C&amp;10Page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B23" sqref="B23"/>
    </sheetView>
  </sheetViews>
  <sheetFormatPr defaultColWidth="8.8984375" defaultRowHeight="15.75" customHeight="1"/>
  <cols>
    <col min="1" max="2" width="3.296875" style="54" customWidth="1"/>
    <col min="3" max="3" width="31.296875" style="54" customWidth="1"/>
    <col min="4" max="4" width="2.296875" style="54" customWidth="1"/>
    <col min="5" max="5" width="15.69921875" style="54" customWidth="1"/>
    <col min="6" max="6" width="2" style="54" customWidth="1"/>
    <col min="7" max="7" width="15.69921875" style="54" customWidth="1"/>
    <col min="8" max="8" width="1.8984375" style="54" customWidth="1"/>
    <col min="9" max="9" width="1.69921875" style="54" customWidth="1"/>
    <col min="10" max="10" width="15.69921875" style="54" customWidth="1"/>
    <col min="11" max="16384" width="8.8984375" style="54" customWidth="1"/>
  </cols>
  <sheetData>
    <row r="1" spans="1:10" ht="15.75" customHeight="1">
      <c r="A1" s="56"/>
      <c r="B1" s="56"/>
      <c r="C1" s="364" t="str">
        <f>inputPrYr!D2</f>
        <v>City of Cedar</v>
      </c>
      <c r="D1" s="56"/>
      <c r="E1" s="56"/>
      <c r="F1" s="56"/>
      <c r="G1" s="56"/>
      <c r="H1" s="56"/>
      <c r="I1" s="56"/>
      <c r="J1" s="156">
        <f>inputPrYr!$C$5</f>
        <v>2012</v>
      </c>
    </row>
    <row r="2" spans="1:10" ht="15.75" customHeight="1">
      <c r="A2" s="56"/>
      <c r="B2" s="56"/>
      <c r="C2" s="56"/>
      <c r="D2" s="56"/>
      <c r="E2" s="56"/>
      <c r="F2" s="56"/>
      <c r="G2" s="56"/>
      <c r="H2" s="56"/>
      <c r="I2" s="56"/>
      <c r="J2" s="56"/>
    </row>
    <row r="3" spans="1:10" ht="15">
      <c r="A3" s="429" t="str">
        <f>CONCATENATE("Computation to Determine Limit for ",J1)</f>
        <v>Computation to Determine Limit for 2012</v>
      </c>
      <c r="B3" s="430"/>
      <c r="C3" s="430"/>
      <c r="D3" s="430"/>
      <c r="E3" s="430"/>
      <c r="F3" s="430"/>
      <c r="G3" s="430"/>
      <c r="H3" s="430"/>
      <c r="I3" s="430"/>
      <c r="J3" s="430"/>
    </row>
    <row r="4" spans="1:10" ht="15">
      <c r="A4" s="56"/>
      <c r="B4" s="56"/>
      <c r="C4" s="56"/>
      <c r="D4" s="56"/>
      <c r="E4" s="430"/>
      <c r="F4" s="430"/>
      <c r="G4" s="430"/>
      <c r="H4" s="192"/>
      <c r="I4" s="56"/>
      <c r="J4" s="193" t="s">
        <v>111</v>
      </c>
    </row>
    <row r="5" spans="1:10" ht="15">
      <c r="A5" s="194" t="s">
        <v>112</v>
      </c>
      <c r="B5" s="56" t="str">
        <f>CONCATENATE("Total Tax Levy Amount in ",J1-1," Budget")</f>
        <v>Total Tax Levy Amount in 2011 Budget</v>
      </c>
      <c r="C5" s="56"/>
      <c r="D5" s="56"/>
      <c r="E5" s="80"/>
      <c r="F5" s="80"/>
      <c r="G5" s="80"/>
      <c r="H5" s="195" t="s">
        <v>113</v>
      </c>
      <c r="I5" s="80" t="s">
        <v>114</v>
      </c>
      <c r="J5" s="196">
        <f>inputPrYr!E23</f>
        <v>2019</v>
      </c>
    </row>
    <row r="6" spans="1:10" ht="15">
      <c r="A6" s="194" t="s">
        <v>115</v>
      </c>
      <c r="B6" s="56" t="str">
        <f>CONCATENATE("Debt Service Levy in ",J1-1," Budget")</f>
        <v>Debt Service Levy in 2011 Budget</v>
      </c>
      <c r="C6" s="56"/>
      <c r="D6" s="56"/>
      <c r="E6" s="80"/>
      <c r="F6" s="80"/>
      <c r="G6" s="80"/>
      <c r="H6" s="195" t="s">
        <v>116</v>
      </c>
      <c r="I6" s="80" t="s">
        <v>114</v>
      </c>
      <c r="J6" s="197">
        <v>0</v>
      </c>
    </row>
    <row r="7" spans="1:10" ht="15">
      <c r="A7" s="194" t="s">
        <v>136</v>
      </c>
      <c r="B7" s="73" t="s">
        <v>139</v>
      </c>
      <c r="C7" s="56"/>
      <c r="D7" s="56"/>
      <c r="E7" s="80"/>
      <c r="F7" s="80"/>
      <c r="G7" s="80"/>
      <c r="H7" s="80"/>
      <c r="I7" s="80" t="s">
        <v>114</v>
      </c>
      <c r="J7" s="85">
        <f>J5-J6</f>
        <v>2019</v>
      </c>
    </row>
    <row r="8" spans="1:10" ht="15">
      <c r="A8" s="56"/>
      <c r="B8" s="56"/>
      <c r="C8" s="56"/>
      <c r="D8" s="56"/>
      <c r="E8" s="80"/>
      <c r="F8" s="80"/>
      <c r="G8" s="80"/>
      <c r="H8" s="80"/>
      <c r="I8" s="80"/>
      <c r="J8" s="80"/>
    </row>
    <row r="9" spans="1:10" ht="15">
      <c r="A9" s="56"/>
      <c r="B9" s="73" t="str">
        <f>CONCATENATE(J1-1," Valuation Information for Valuation Adjustments:")</f>
        <v>2011 Valuation Information for Valuation Adjustments:</v>
      </c>
      <c r="C9" s="56"/>
      <c r="D9" s="56"/>
      <c r="E9" s="80"/>
      <c r="F9" s="80"/>
      <c r="G9" s="80"/>
      <c r="H9" s="80"/>
      <c r="I9" s="80"/>
      <c r="J9" s="80"/>
    </row>
    <row r="10" spans="1:10" ht="15">
      <c r="A10" s="56"/>
      <c r="B10" s="56"/>
      <c r="C10" s="73"/>
      <c r="D10" s="56"/>
      <c r="E10" s="80"/>
      <c r="F10" s="80"/>
      <c r="G10" s="80"/>
      <c r="H10" s="80"/>
      <c r="I10" s="80"/>
      <c r="J10" s="80"/>
    </row>
    <row r="11" spans="1:10" ht="15">
      <c r="A11" s="194" t="s">
        <v>117</v>
      </c>
      <c r="B11" s="73" t="str">
        <f>CONCATENATE("New Improvements for ",J1-1," :")</f>
        <v>New Improvements for 2011 :</v>
      </c>
      <c r="C11" s="56"/>
      <c r="D11" s="56"/>
      <c r="E11" s="195"/>
      <c r="F11" s="195" t="s">
        <v>113</v>
      </c>
      <c r="G11" s="196">
        <f>inputOth!E8</f>
        <v>7415</v>
      </c>
      <c r="H11" s="198"/>
      <c r="I11" s="80"/>
      <c r="J11" s="80"/>
    </row>
    <row r="12" spans="1:10" ht="15">
      <c r="A12" s="194"/>
      <c r="B12" s="199"/>
      <c r="C12" s="56"/>
      <c r="D12" s="56"/>
      <c r="E12" s="195"/>
      <c r="F12" s="195"/>
      <c r="G12" s="198"/>
      <c r="H12" s="198"/>
      <c r="I12" s="80"/>
      <c r="J12" s="80"/>
    </row>
    <row r="13" spans="1:10" ht="15">
      <c r="A13" s="194" t="s">
        <v>118</v>
      </c>
      <c r="B13" s="73" t="str">
        <f>CONCATENATE("Increase in Personal Property for ",J1-1," :")</f>
        <v>Increase in Personal Property for 2011 :</v>
      </c>
      <c r="C13" s="56"/>
      <c r="D13" s="56"/>
      <c r="E13" s="195"/>
      <c r="F13" s="195"/>
      <c r="G13" s="198"/>
      <c r="H13" s="198"/>
      <c r="I13" s="80"/>
      <c r="J13" s="80"/>
    </row>
    <row r="14" spans="1:10" ht="15">
      <c r="A14" s="200"/>
      <c r="B14" s="56" t="s">
        <v>119</v>
      </c>
      <c r="C14" s="56" t="str">
        <f>CONCATENATE("Personal Property ",J1-1)</f>
        <v>Personal Property 2011</v>
      </c>
      <c r="D14" s="199" t="s">
        <v>113</v>
      </c>
      <c r="E14" s="196">
        <f>inputOth!E9</f>
        <v>3542</v>
      </c>
      <c r="F14" s="195"/>
      <c r="G14" s="80"/>
      <c r="H14" s="80"/>
      <c r="I14" s="198"/>
      <c r="J14" s="80"/>
    </row>
    <row r="15" spans="1:10" ht="15">
      <c r="A15" s="199"/>
      <c r="B15" s="56" t="s">
        <v>120</v>
      </c>
      <c r="C15" s="56" t="str">
        <f>CONCATENATE("Personal Property ",J1-2)</f>
        <v>Personal Property 2010</v>
      </c>
      <c r="D15" s="199" t="s">
        <v>116</v>
      </c>
      <c r="E15" s="85">
        <f>inputOth!E15</f>
        <v>3840</v>
      </c>
      <c r="F15" s="195"/>
      <c r="G15" s="198"/>
      <c r="H15" s="198"/>
      <c r="I15" s="80"/>
      <c r="J15" s="80"/>
    </row>
    <row r="16" spans="1:10" ht="15">
      <c r="A16" s="199"/>
      <c r="B16" s="56" t="s">
        <v>121</v>
      </c>
      <c r="C16" s="56" t="s">
        <v>140</v>
      </c>
      <c r="D16" s="56"/>
      <c r="E16" s="80"/>
      <c r="F16" s="80" t="s">
        <v>113</v>
      </c>
      <c r="G16" s="196">
        <f>IF(E14&gt;E15,E14-E15,0)</f>
        <v>0</v>
      </c>
      <c r="H16" s="198"/>
      <c r="I16" s="80"/>
      <c r="J16" s="80"/>
    </row>
    <row r="17" spans="1:10" ht="15">
      <c r="A17" s="199"/>
      <c r="B17" s="199"/>
      <c r="C17" s="56"/>
      <c r="D17" s="56"/>
      <c r="E17" s="80"/>
      <c r="F17" s="80"/>
      <c r="G17" s="198" t="s">
        <v>134</v>
      </c>
      <c r="H17" s="198"/>
      <c r="I17" s="80"/>
      <c r="J17" s="80"/>
    </row>
    <row r="18" spans="1:10" ht="15">
      <c r="A18" s="199" t="s">
        <v>122</v>
      </c>
      <c r="B18" s="73" t="str">
        <f>CONCATENATE("Valuation of annexed territory for ",J1-1," :")</f>
        <v>Valuation of annexed territory for 2011 :</v>
      </c>
      <c r="C18" s="56"/>
      <c r="D18" s="56"/>
      <c r="E18" s="198"/>
      <c r="F18" s="80"/>
      <c r="G18" s="80"/>
      <c r="H18" s="80"/>
      <c r="I18" s="80"/>
      <c r="J18" s="80"/>
    </row>
    <row r="19" spans="1:10" ht="15">
      <c r="A19" s="199"/>
      <c r="B19" s="56" t="s">
        <v>123</v>
      </c>
      <c r="C19" s="56" t="s">
        <v>141</v>
      </c>
      <c r="D19" s="199" t="s">
        <v>113</v>
      </c>
      <c r="E19" s="196">
        <f>inputOth!E11</f>
        <v>0</v>
      </c>
      <c r="F19" s="80"/>
      <c r="G19" s="80"/>
      <c r="H19" s="80"/>
      <c r="I19" s="80"/>
      <c r="J19" s="80"/>
    </row>
    <row r="20" spans="1:10" ht="15">
      <c r="A20" s="199"/>
      <c r="B20" s="56" t="s">
        <v>124</v>
      </c>
      <c r="C20" s="56" t="s">
        <v>142</v>
      </c>
      <c r="D20" s="199" t="s">
        <v>113</v>
      </c>
      <c r="E20" s="85">
        <f>inputOth!E12</f>
        <v>0</v>
      </c>
      <c r="F20" s="80"/>
      <c r="G20" s="198"/>
      <c r="H20" s="198"/>
      <c r="I20" s="80"/>
      <c r="J20" s="80"/>
    </row>
    <row r="21" spans="1:10" ht="15">
      <c r="A21" s="199"/>
      <c r="B21" s="56" t="s">
        <v>125</v>
      </c>
      <c r="C21" s="56" t="s">
        <v>143</v>
      </c>
      <c r="D21" s="199" t="s">
        <v>116</v>
      </c>
      <c r="E21" s="85">
        <f>inputOth!E13</f>
        <v>0</v>
      </c>
      <c r="F21" s="80"/>
      <c r="G21" s="198"/>
      <c r="H21" s="198"/>
      <c r="I21" s="80"/>
      <c r="J21" s="80"/>
    </row>
    <row r="22" spans="1:10" ht="15">
      <c r="A22" s="199"/>
      <c r="B22" s="56" t="s">
        <v>126</v>
      </c>
      <c r="C22" s="56" t="s">
        <v>144</v>
      </c>
      <c r="D22" s="199"/>
      <c r="E22" s="198"/>
      <c r="F22" s="80" t="s">
        <v>113</v>
      </c>
      <c r="G22" s="196">
        <f>E19+E20-E21</f>
        <v>0</v>
      </c>
      <c r="H22" s="198"/>
      <c r="I22" s="80"/>
      <c r="J22" s="80"/>
    </row>
    <row r="23" spans="1:10" ht="15">
      <c r="A23" s="199"/>
      <c r="B23" s="199"/>
      <c r="C23" s="56"/>
      <c r="D23" s="199"/>
      <c r="E23" s="198"/>
      <c r="F23" s="80"/>
      <c r="G23" s="198"/>
      <c r="H23" s="198"/>
      <c r="I23" s="80"/>
      <c r="J23" s="80"/>
    </row>
    <row r="24" spans="1:10" ht="15">
      <c r="A24" s="199" t="s">
        <v>127</v>
      </c>
      <c r="B24" s="73" t="str">
        <f>CONCATENATE("Valuation of Property that has Changed in Use during ",J1-1," :")</f>
        <v>Valuation of Property that has Changed in Use during 2011 :</v>
      </c>
      <c r="C24" s="56"/>
      <c r="D24" s="56"/>
      <c r="E24" s="80"/>
      <c r="F24" s="195" t="s">
        <v>113</v>
      </c>
      <c r="G24" s="196">
        <f>inputOth!E14</f>
        <v>1095</v>
      </c>
      <c r="H24" s="80"/>
      <c r="I24" s="80"/>
      <c r="J24" s="80"/>
    </row>
    <row r="25" spans="1:10" ht="15">
      <c r="A25" s="56" t="s">
        <v>50</v>
      </c>
      <c r="B25" s="56"/>
      <c r="C25" s="56"/>
      <c r="D25" s="199"/>
      <c r="E25" s="198"/>
      <c r="F25" s="80"/>
      <c r="G25" s="80"/>
      <c r="H25" s="80"/>
      <c r="I25" s="80"/>
      <c r="J25" s="80"/>
    </row>
    <row r="26" spans="1:10" ht="15">
      <c r="A26" s="199" t="s">
        <v>128</v>
      </c>
      <c r="B26" s="73" t="s">
        <v>145</v>
      </c>
      <c r="C26" s="56"/>
      <c r="D26" s="56"/>
      <c r="E26" s="80"/>
      <c r="F26" s="80"/>
      <c r="G26" s="196">
        <f>G11+G16+G22+G24</f>
        <v>8510</v>
      </c>
      <c r="H26" s="198"/>
      <c r="I26" s="80"/>
      <c r="J26" s="80"/>
    </row>
    <row r="27" spans="1:10" ht="15">
      <c r="A27" s="199"/>
      <c r="B27" s="199"/>
      <c r="C27" s="73"/>
      <c r="D27" s="56"/>
      <c r="E27" s="80"/>
      <c r="F27" s="80"/>
      <c r="G27" s="198"/>
      <c r="H27" s="198"/>
      <c r="I27" s="80"/>
      <c r="J27" s="80"/>
    </row>
    <row r="28" spans="1:10" ht="15">
      <c r="A28" s="199" t="s">
        <v>129</v>
      </c>
      <c r="B28" s="56" t="str">
        <f>CONCATENATE("Total Estimated Valuation July 1, ",J1-1)</f>
        <v>Total Estimated Valuation July 1, 2011</v>
      </c>
      <c r="C28" s="56"/>
      <c r="D28" s="56"/>
      <c r="E28" s="196">
        <f>inputOth!E7</f>
        <v>79010</v>
      </c>
      <c r="F28" s="80"/>
      <c r="G28" s="80"/>
      <c r="H28" s="80"/>
      <c r="I28" s="195"/>
      <c r="J28" s="80"/>
    </row>
    <row r="29" spans="1:10" ht="15">
      <c r="A29" s="199"/>
      <c r="B29" s="199"/>
      <c r="C29" s="56"/>
      <c r="D29" s="56"/>
      <c r="E29" s="198"/>
      <c r="F29" s="80"/>
      <c r="G29" s="80"/>
      <c r="H29" s="80"/>
      <c r="I29" s="195"/>
      <c r="J29" s="80"/>
    </row>
    <row r="30" spans="1:10" ht="15">
      <c r="A30" s="199" t="s">
        <v>130</v>
      </c>
      <c r="B30" s="73" t="s">
        <v>146</v>
      </c>
      <c r="C30" s="56"/>
      <c r="D30" s="56"/>
      <c r="E30" s="80"/>
      <c r="F30" s="80"/>
      <c r="G30" s="196">
        <f>E28-G26</f>
        <v>70500</v>
      </c>
      <c r="H30" s="198"/>
      <c r="I30" s="195"/>
      <c r="J30" s="80"/>
    </row>
    <row r="31" spans="1:10" ht="15">
      <c r="A31" s="199"/>
      <c r="B31" s="199"/>
      <c r="C31" s="73"/>
      <c r="D31" s="56"/>
      <c r="E31" s="80"/>
      <c r="F31" s="80"/>
      <c r="G31" s="201"/>
      <c r="H31" s="198"/>
      <c r="I31" s="195"/>
      <c r="J31" s="80"/>
    </row>
    <row r="32" spans="1:10" ht="15">
      <c r="A32" s="199" t="s">
        <v>131</v>
      </c>
      <c r="B32" s="56" t="s">
        <v>147</v>
      </c>
      <c r="C32" s="56"/>
      <c r="D32" s="56"/>
      <c r="E32" s="56"/>
      <c r="F32" s="56"/>
      <c r="G32" s="202">
        <f>IF(G26&gt;0,G26/G30,0)</f>
        <v>0.12070921985815602</v>
      </c>
      <c r="H32" s="88"/>
      <c r="I32" s="56"/>
      <c r="J32" s="56"/>
    </row>
    <row r="33" spans="1:10" ht="15">
      <c r="A33" s="199"/>
      <c r="B33" s="199"/>
      <c r="C33" s="56"/>
      <c r="D33" s="56"/>
      <c r="E33" s="56"/>
      <c r="F33" s="56"/>
      <c r="G33" s="88"/>
      <c r="H33" s="88"/>
      <c r="I33" s="56"/>
      <c r="J33" s="56"/>
    </row>
    <row r="34" spans="1:10" ht="15">
      <c r="A34" s="199" t="s">
        <v>132</v>
      </c>
      <c r="B34" s="56" t="s">
        <v>148</v>
      </c>
      <c r="C34" s="56"/>
      <c r="D34" s="56"/>
      <c r="E34" s="56"/>
      <c r="F34" s="56"/>
      <c r="G34" s="88"/>
      <c r="H34" s="203" t="s">
        <v>113</v>
      </c>
      <c r="I34" s="56" t="s">
        <v>114</v>
      </c>
      <c r="J34" s="196">
        <f>ROUND(G32*J7,0)</f>
        <v>244</v>
      </c>
    </row>
    <row r="35" spans="1:10" ht="15">
      <c r="A35" s="199"/>
      <c r="B35" s="199"/>
      <c r="C35" s="56"/>
      <c r="D35" s="56"/>
      <c r="E35" s="56"/>
      <c r="F35" s="56"/>
      <c r="G35" s="88"/>
      <c r="H35" s="203"/>
      <c r="I35" s="56"/>
      <c r="J35" s="198"/>
    </row>
    <row r="36" spans="1:10" ht="15.75" thickBot="1">
      <c r="A36" s="199" t="s">
        <v>133</v>
      </c>
      <c r="B36" s="73" t="s">
        <v>154</v>
      </c>
      <c r="C36" s="56"/>
      <c r="D36" s="56"/>
      <c r="E36" s="56"/>
      <c r="F36" s="56"/>
      <c r="G36" s="56"/>
      <c r="H36" s="56"/>
      <c r="I36" s="56" t="s">
        <v>114</v>
      </c>
      <c r="J36" s="204">
        <f>J7+J34</f>
        <v>2263</v>
      </c>
    </row>
    <row r="37" spans="1:10" ht="15.75" thickTop="1">
      <c r="A37" s="56"/>
      <c r="B37" s="56"/>
      <c r="C37" s="56"/>
      <c r="D37" s="56"/>
      <c r="E37" s="56"/>
      <c r="F37" s="56"/>
      <c r="G37" s="56"/>
      <c r="H37" s="56"/>
      <c r="I37" s="56"/>
      <c r="J37" s="198"/>
    </row>
    <row r="38" spans="1:10" ht="15">
      <c r="A38" s="199" t="s">
        <v>152</v>
      </c>
      <c r="B38" s="73" t="str">
        <f>CONCATENATE("Debt Service Levy in this ",J1," Budget")</f>
        <v>Debt Service Levy in this 2012 Budget</v>
      </c>
      <c r="C38" s="56"/>
      <c r="D38" s="56"/>
      <c r="E38" s="56"/>
      <c r="F38" s="56"/>
      <c r="G38" s="56"/>
      <c r="H38" s="56"/>
      <c r="I38" s="56"/>
      <c r="J38" s="205">
        <v>0</v>
      </c>
    </row>
    <row r="39" spans="1:10" ht="15">
      <c r="A39" s="199"/>
      <c r="B39" s="73"/>
      <c r="C39" s="56"/>
      <c r="D39" s="56"/>
      <c r="E39" s="56"/>
      <c r="F39" s="56"/>
      <c r="G39" s="56"/>
      <c r="H39" s="56"/>
      <c r="I39" s="56"/>
      <c r="J39" s="198"/>
    </row>
    <row r="40" spans="1:10" ht="15.75" thickBot="1">
      <c r="A40" s="199" t="s">
        <v>153</v>
      </c>
      <c r="B40" s="73" t="s">
        <v>155</v>
      </c>
      <c r="C40" s="56"/>
      <c r="D40" s="56"/>
      <c r="E40" s="56"/>
      <c r="F40" s="56"/>
      <c r="G40" s="56"/>
      <c r="H40" s="56"/>
      <c r="I40" s="56"/>
      <c r="J40" s="204">
        <f>J36+J38</f>
        <v>2263</v>
      </c>
    </row>
    <row r="41" spans="1:10" ht="18" thickTop="1">
      <c r="A41" s="428"/>
      <c r="B41" s="428"/>
      <c r="C41" s="428"/>
      <c r="D41" s="428"/>
      <c r="E41" s="428"/>
      <c r="F41" s="428"/>
      <c r="G41" s="428"/>
      <c r="H41" s="428"/>
      <c r="I41" s="428"/>
      <c r="J41" s="428"/>
    </row>
    <row r="42" spans="1:10" s="206" customFormat="1" ht="18">
      <c r="A42" s="428" t="str">
        <f>CONCATENATE("If the ",J1," budget includes tax levies exceeding the total on line 15, you must")</f>
        <v>If the 2012 budget includes tax levies exceeding the total on line 15, you must</v>
      </c>
      <c r="B42" s="428"/>
      <c r="C42" s="428"/>
      <c r="D42" s="428"/>
      <c r="E42" s="428"/>
      <c r="F42" s="428"/>
      <c r="G42" s="428"/>
      <c r="H42" s="428"/>
      <c r="I42" s="428"/>
      <c r="J42" s="428"/>
    </row>
    <row r="43" spans="1:10" s="206" customFormat="1" ht="18">
      <c r="A43" s="428" t="s">
        <v>0</v>
      </c>
      <c r="B43" s="428"/>
      <c r="C43" s="428"/>
      <c r="D43" s="428"/>
      <c r="E43" s="428"/>
      <c r="F43" s="428"/>
      <c r="G43" s="428"/>
      <c r="H43" s="428"/>
      <c r="I43" s="428"/>
      <c r="J43" s="428"/>
    </row>
    <row r="44" spans="1:10" ht="15.75" customHeight="1">
      <c r="A44" s="427" t="s">
        <v>1</v>
      </c>
      <c r="B44" s="427"/>
      <c r="C44" s="427"/>
      <c r="D44" s="427"/>
      <c r="E44" s="427"/>
      <c r="F44" s="427"/>
      <c r="G44" s="427"/>
      <c r="H44" s="427"/>
      <c r="I44" s="427"/>
      <c r="J44" s="427"/>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&amp;R&amp;10State of Kansas
City
&amp;12
</oddHeader>
    <oddFooter>&amp;C&amp;10Page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B23" sqref="B23"/>
    </sheetView>
  </sheetViews>
  <sheetFormatPr defaultColWidth="8.8984375" defaultRowHeight="15" customHeight="1"/>
  <cols>
    <col min="1" max="1" width="17.3984375" style="57" customWidth="1"/>
    <col min="2" max="2" width="18.69921875" style="57" customWidth="1"/>
    <col min="3" max="3" width="10.69921875" style="57" customWidth="1"/>
    <col min="4" max="4" width="11" style="57" customWidth="1"/>
    <col min="5" max="6" width="10.69921875" style="57" customWidth="1"/>
    <col min="7" max="16384" width="8.8984375" style="57" customWidth="1"/>
  </cols>
  <sheetData>
    <row r="1" spans="1:6" ht="15" customHeight="1">
      <c r="A1" s="364" t="str">
        <f>inputPrYr!D2</f>
        <v>City of Cedar</v>
      </c>
      <c r="B1" s="56"/>
      <c r="C1" s="56"/>
      <c r="D1" s="56"/>
      <c r="E1" s="207"/>
      <c r="F1" s="156"/>
    </row>
    <row r="2" spans="1:6" ht="15" customHeight="1">
      <c r="A2" s="56"/>
      <c r="B2" s="56"/>
      <c r="C2" s="56"/>
      <c r="D2" s="56"/>
      <c r="E2" s="56"/>
      <c r="F2" s="156">
        <f>inputPrYr!$C$5</f>
        <v>2012</v>
      </c>
    </row>
    <row r="3" spans="1:6" ht="20.25" customHeight="1">
      <c r="A3" s="429" t="s">
        <v>20</v>
      </c>
      <c r="B3" s="429"/>
      <c r="C3" s="429"/>
      <c r="D3" s="429"/>
      <c r="E3" s="429"/>
      <c r="F3" s="56"/>
    </row>
    <row r="4" spans="1:6" ht="15" customHeight="1">
      <c r="A4" s="66"/>
      <c r="B4" s="65"/>
      <c r="C4" s="65"/>
      <c r="D4" s="65"/>
      <c r="E4" s="56"/>
      <c r="F4" s="56"/>
    </row>
    <row r="5" spans="1:6" ht="15" customHeight="1">
      <c r="A5" s="56"/>
      <c r="B5" s="56"/>
      <c r="C5" s="56"/>
      <c r="D5" s="56"/>
      <c r="E5" s="56"/>
      <c r="F5" s="56"/>
    </row>
    <row r="6" spans="1:6" ht="15.75" customHeight="1">
      <c r="A6" s="208" t="s">
        <v>179</v>
      </c>
      <c r="B6" s="168" t="s">
        <v>180</v>
      </c>
      <c r="C6" s="431" t="str">
        <f>CONCATENATE("Allocation for Year ",F1,"")</f>
        <v>Allocation for Year </v>
      </c>
      <c r="D6" s="432"/>
      <c r="E6" s="433"/>
      <c r="F6" s="434"/>
    </row>
    <row r="7" spans="1:6" ht="23.25" customHeight="1">
      <c r="A7" s="209">
        <f>SUM(Mvalloc!F2-1)</f>
        <v>2011</v>
      </c>
      <c r="B7" s="209">
        <f>SUM(Mvalloc!F2-2)</f>
        <v>2010</v>
      </c>
      <c r="C7" s="171" t="s">
        <v>110</v>
      </c>
      <c r="D7" s="171" t="s">
        <v>109</v>
      </c>
      <c r="E7" s="171" t="s">
        <v>108</v>
      </c>
      <c r="F7" s="180" t="s">
        <v>34</v>
      </c>
    </row>
    <row r="8" spans="1:6" ht="15" customHeight="1">
      <c r="A8" s="77" t="s">
        <v>40</v>
      </c>
      <c r="B8" s="274">
        <f>IF((inputPrYr!E17)&gt;0,(inputPrYr!E17),"  ")</f>
        <v>2019</v>
      </c>
      <c r="C8" s="274">
        <f>IF(inputPrYr!E17&gt;0,C13-SUM(C9:C10),0)</f>
        <v>292</v>
      </c>
      <c r="D8" s="274">
        <f>IF(inputPrYr!E17=0,0,D15-SUM(D9:D10))</f>
        <v>27</v>
      </c>
      <c r="E8" s="274">
        <f>IF(inputPrYr!E17=0,0,E17-SUM(E9:E10))</f>
        <v>11</v>
      </c>
      <c r="F8" s="274">
        <f>IF(inputPrYr!E17=0,0,F19-SUM(F9:F10))</f>
        <v>0</v>
      </c>
    </row>
    <row r="9" spans="1:6" ht="15" customHeight="1">
      <c r="A9" s="100" t="str">
        <f>IF((inputPrYr!$B21&gt;"  "),(inputPrYr!$B21),"  ")</f>
        <v>  </v>
      </c>
      <c r="B9" s="274" t="str">
        <f>IF((inputPrYr!E21)&gt;0,(inputPrYr!E21),"  ")</f>
        <v>  </v>
      </c>
      <c r="C9" s="274" t="str">
        <f>IF(inputPrYr!$E21&gt;0,ROUND(B9*C$21,0),"  ")</f>
        <v>  </v>
      </c>
      <c r="D9" s="274" t="str">
        <f>IF(inputPrYr!$E21&gt;0,ROUND(+B9*D$23,0),"  ")</f>
        <v>  </v>
      </c>
      <c r="E9" s="274" t="str">
        <f>IF(inputPrYr!E21&gt;0,ROUND(B9*E$25,0),"  ")</f>
        <v>  </v>
      </c>
      <c r="F9" s="274" t="str">
        <f>IF(inputPrYr!E21&gt;0,ROUND(B9*F$27,0),"  ")</f>
        <v>  </v>
      </c>
    </row>
    <row r="10" spans="1:6" ht="15" customHeight="1">
      <c r="A10" s="100" t="str">
        <f>IF((inputPrYr!$B22&gt;"  "),(inputPrYr!$B22),"  ")</f>
        <v>  </v>
      </c>
      <c r="B10" s="274" t="str">
        <f>IF((inputPrYr!E22)&gt;0,(inputPrYr!E22),"  ")</f>
        <v>  </v>
      </c>
      <c r="C10" s="274" t="str">
        <f>IF(inputPrYr!$E22&gt;0,ROUND(B10*C$21,0),"  ")</f>
        <v>  </v>
      </c>
      <c r="D10" s="274" t="str">
        <f>IF(inputPrYr!$E22&gt;0,ROUND(+B10*D$23,0),"  ")</f>
        <v>  </v>
      </c>
      <c r="E10" s="274" t="str">
        <f>IF(inputPrYr!E22&gt;0,ROUND(B10*E$25,0),"  ")</f>
        <v>  </v>
      </c>
      <c r="F10" s="274" t="str">
        <f>IF(inputPrYr!E22&gt;0,ROUND(B10*F$27,0),"  ")</f>
        <v>  </v>
      </c>
    </row>
    <row r="11" spans="1:6" s="365" customFormat="1" ht="16.5" customHeight="1" thickBot="1">
      <c r="A11" s="399" t="s">
        <v>65</v>
      </c>
      <c r="B11" s="400">
        <f>SUM(B8:B10)</f>
        <v>2019</v>
      </c>
      <c r="C11" s="400">
        <f>SUM(C8:C10)</f>
        <v>292</v>
      </c>
      <c r="D11" s="400">
        <f>SUM(D8:D10)</f>
        <v>27</v>
      </c>
      <c r="E11" s="400">
        <f>SUM(E8:E10)</f>
        <v>11</v>
      </c>
      <c r="F11" s="400">
        <f>SUM(F8:F10)</f>
        <v>0</v>
      </c>
    </row>
    <row r="12" spans="1:6" ht="15" customHeight="1" thickTop="1">
      <c r="A12" s="56"/>
      <c r="B12" s="56"/>
      <c r="C12" s="56"/>
      <c r="D12" s="56"/>
      <c r="E12" s="56"/>
      <c r="F12" s="56"/>
    </row>
    <row r="13" spans="1:6" ht="15" customHeight="1">
      <c r="A13" s="61" t="s">
        <v>66</v>
      </c>
      <c r="B13" s="210"/>
      <c r="C13" s="196">
        <f>(inputOth!E33)</f>
        <v>292</v>
      </c>
      <c r="D13" s="210"/>
      <c r="E13" s="56"/>
      <c r="F13" s="56"/>
    </row>
    <row r="14" spans="1:6" ht="15" customHeight="1">
      <c r="A14" s="56"/>
      <c r="B14" s="56"/>
      <c r="C14" s="56"/>
      <c r="D14" s="56"/>
      <c r="E14" s="56"/>
      <c r="F14" s="56"/>
    </row>
    <row r="15" spans="1:6" ht="15" customHeight="1">
      <c r="A15" s="61" t="s">
        <v>67</v>
      </c>
      <c r="B15" s="56"/>
      <c r="C15" s="56"/>
      <c r="D15" s="196">
        <f>(inputOth!E34)</f>
        <v>27</v>
      </c>
      <c r="E15" s="56"/>
      <c r="F15" s="56"/>
    </row>
    <row r="16" spans="1:6" ht="15" customHeight="1">
      <c r="A16" s="56"/>
      <c r="B16" s="56"/>
      <c r="C16" s="56"/>
      <c r="D16" s="56"/>
      <c r="E16" s="56"/>
      <c r="F16" s="56"/>
    </row>
    <row r="17" spans="1:6" ht="15" customHeight="1">
      <c r="A17" s="61" t="s">
        <v>107</v>
      </c>
      <c r="B17" s="56"/>
      <c r="C17" s="56"/>
      <c r="D17" s="56"/>
      <c r="E17" s="196">
        <f>inputOth!E35</f>
        <v>11</v>
      </c>
      <c r="F17" s="56"/>
    </row>
    <row r="18" spans="1:6" ht="15" customHeight="1">
      <c r="A18" s="56"/>
      <c r="B18" s="56"/>
      <c r="C18" s="56"/>
      <c r="D18" s="56"/>
      <c r="E18" s="56"/>
      <c r="F18" s="56"/>
    </row>
    <row r="19" spans="1:6" ht="15" customHeight="1">
      <c r="A19" s="56" t="s">
        <v>17</v>
      </c>
      <c r="B19" s="56"/>
      <c r="C19" s="56"/>
      <c r="D19" s="56"/>
      <c r="E19" s="56"/>
      <c r="F19" s="196">
        <f>inputOth!E38</f>
        <v>0</v>
      </c>
    </row>
    <row r="20" spans="1:6" ht="15" customHeight="1">
      <c r="A20" s="56"/>
      <c r="B20" s="56"/>
      <c r="C20" s="56"/>
      <c r="D20" s="56"/>
      <c r="E20" s="56"/>
      <c r="F20" s="56"/>
    </row>
    <row r="21" spans="1:6" ht="15" customHeight="1">
      <c r="A21" s="61" t="s">
        <v>68</v>
      </c>
      <c r="B21" s="56"/>
      <c r="C21" s="202">
        <f>IF(B11=0,0,C13/B11)</f>
        <v>0.14462605250123825</v>
      </c>
      <c r="D21" s="56"/>
      <c r="E21" s="56"/>
      <c r="F21" s="56"/>
    </row>
    <row r="22" spans="1:6" ht="15" customHeight="1">
      <c r="A22" s="56"/>
      <c r="B22" s="56"/>
      <c r="C22" s="56"/>
      <c r="D22" s="56"/>
      <c r="E22" s="56"/>
      <c r="F22" s="56"/>
    </row>
    <row r="23" spans="1:6" ht="15" customHeight="1">
      <c r="A23" s="61" t="s">
        <v>69</v>
      </c>
      <c r="B23" s="56"/>
      <c r="C23" s="56"/>
      <c r="D23" s="202">
        <f>IF(B11=0,0,D15/B11)</f>
        <v>0.01337295690936107</v>
      </c>
      <c r="E23" s="56"/>
      <c r="F23" s="56"/>
    </row>
    <row r="24" spans="1:6" ht="15" customHeight="1">
      <c r="A24" s="56"/>
      <c r="B24" s="56"/>
      <c r="C24" s="56"/>
      <c r="D24" s="56"/>
      <c r="E24" s="56"/>
      <c r="F24" s="56"/>
    </row>
    <row r="25" spans="1:6" ht="15" customHeight="1">
      <c r="A25" s="56" t="s">
        <v>106</v>
      </c>
      <c r="B25" s="56"/>
      <c r="C25" s="56"/>
      <c r="D25" s="56"/>
      <c r="E25" s="202">
        <f>IF(B11=0,0,E17/B11)</f>
        <v>0.005448241703813769</v>
      </c>
      <c r="F25" s="56"/>
    </row>
    <row r="26" spans="1:6" ht="15" customHeight="1">
      <c r="A26" s="110"/>
      <c r="B26" s="110"/>
      <c r="C26" s="110"/>
      <c r="D26" s="110"/>
      <c r="E26" s="110"/>
      <c r="F26" s="110"/>
    </row>
    <row r="27" spans="1:6" ht="15" customHeight="1">
      <c r="A27" s="110" t="s">
        <v>18</v>
      </c>
      <c r="B27" s="110"/>
      <c r="C27" s="110"/>
      <c r="D27" s="110"/>
      <c r="E27" s="110"/>
      <c r="F27" s="202">
        <f>IF(B11=0,0,F19/B11)</f>
        <v>0</v>
      </c>
    </row>
    <row r="28" spans="1:6" ht="15" customHeight="1">
      <c r="A28" s="110"/>
      <c r="B28" s="110"/>
      <c r="C28" s="110"/>
      <c r="D28" s="110"/>
      <c r="E28" s="110"/>
      <c r="F28" s="110"/>
    </row>
    <row r="32" ht="16.5" customHeight="1"/>
    <row r="33" ht="15.75" customHeight="1"/>
    <row r="34" s="211" customFormat="1" ht="15.75" customHeight="1"/>
    <row r="35" ht="18.75" customHeight="1"/>
    <row r="41"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scale="94" r:id="rId1"/>
  <headerFooter alignWithMargins="0">
    <oddHeader>&amp;R&amp;10State of Kansas
City
</oddHeader>
    <oddFooter>&amp;C&amp;10Page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P53"/>
  <sheetViews>
    <sheetView zoomScalePageLayoutView="0" workbookViewId="0" topLeftCell="A3">
      <selection activeCell="B23" sqref="B23"/>
    </sheetView>
  </sheetViews>
  <sheetFormatPr defaultColWidth="8.8984375" defaultRowHeight="15"/>
  <cols>
    <col min="1" max="1" width="2.3984375" style="57" customWidth="1"/>
    <col min="2" max="2" width="35.69921875" style="57" customWidth="1"/>
    <col min="3" max="4" width="15.69921875" style="57" customWidth="1"/>
    <col min="5" max="5" width="16.19921875" style="57" customWidth="1"/>
    <col min="6" max="6" width="7.19921875" style="57" customWidth="1"/>
    <col min="7" max="7" width="7.09765625" style="57" customWidth="1"/>
    <col min="8" max="8" width="8.8984375" style="57" customWidth="1"/>
    <col min="9" max="9" width="5" style="57" customWidth="1"/>
    <col min="10" max="10" width="7.69921875" style="57" customWidth="1"/>
    <col min="11" max="16384" width="8.8984375" style="57" customWidth="1"/>
  </cols>
  <sheetData>
    <row r="1" spans="2:5" ht="15">
      <c r="B1" s="364" t="str">
        <f>(inputPrYr!D2)</f>
        <v>City of Cedar</v>
      </c>
      <c r="C1" s="56"/>
      <c r="D1" s="56"/>
      <c r="E1" s="156">
        <f>inputPrYr!$C$5</f>
        <v>2012</v>
      </c>
    </row>
    <row r="2" spans="2:5" ht="15">
      <c r="B2" s="56"/>
      <c r="C2" s="56"/>
      <c r="D2" s="56"/>
      <c r="E2" s="207"/>
    </row>
    <row r="3" spans="2:5" ht="15">
      <c r="B3" s="73" t="s">
        <v>234</v>
      </c>
      <c r="C3" s="214"/>
      <c r="D3" s="214"/>
      <c r="E3" s="214"/>
    </row>
    <row r="4" spans="2:5" ht="15">
      <c r="B4" s="61" t="s">
        <v>70</v>
      </c>
      <c r="C4" s="356" t="s">
        <v>84</v>
      </c>
      <c r="D4" s="357" t="s">
        <v>176</v>
      </c>
      <c r="E4" s="358" t="s">
        <v>177</v>
      </c>
    </row>
    <row r="5" spans="2:5" ht="15">
      <c r="B5" s="290" t="str">
        <f>+(inputPrYr!B17)</f>
        <v>General</v>
      </c>
      <c r="C5" s="261">
        <f>inputPrYr!$C$5-2</f>
        <v>2010</v>
      </c>
      <c r="D5" s="261">
        <f>inputPrYr!$C$5-1</f>
        <v>2011</v>
      </c>
      <c r="E5" s="212">
        <f>inputPrYr!$C$5</f>
        <v>2012</v>
      </c>
    </row>
    <row r="6" spans="2:5" s="365" customFormat="1" ht="15">
      <c r="B6" s="224" t="s">
        <v>156</v>
      </c>
      <c r="C6" s="401">
        <v>5063</v>
      </c>
      <c r="D6" s="402">
        <f>C37</f>
        <v>4782</v>
      </c>
      <c r="E6" s="403">
        <f>D37</f>
        <v>2640</v>
      </c>
    </row>
    <row r="7" spans="2:5" ht="15">
      <c r="B7" s="363" t="s">
        <v>158</v>
      </c>
      <c r="C7" s="270"/>
      <c r="D7" s="286"/>
      <c r="E7" s="215"/>
    </row>
    <row r="8" spans="2:5" ht="15">
      <c r="B8" s="172" t="s">
        <v>71</v>
      </c>
      <c r="C8" s="269">
        <v>1911</v>
      </c>
      <c r="D8" s="286">
        <f>ROUND(inputPrYr!E17*inputPrYr!E14,0)</f>
        <v>1979</v>
      </c>
      <c r="E8" s="216" t="s">
        <v>60</v>
      </c>
    </row>
    <row r="9" spans="2:5" ht="15">
      <c r="B9" s="172" t="s">
        <v>72</v>
      </c>
      <c r="C9" s="269">
        <v>0</v>
      </c>
      <c r="D9" s="271">
        <v>0</v>
      </c>
      <c r="E9" s="217">
        <v>0</v>
      </c>
    </row>
    <row r="10" spans="2:5" ht="15">
      <c r="B10" s="172" t="s">
        <v>73</v>
      </c>
      <c r="C10" s="269">
        <v>252</v>
      </c>
      <c r="D10" s="271">
        <v>303</v>
      </c>
      <c r="E10" s="218">
        <f>Mvalloc!C8</f>
        <v>292</v>
      </c>
    </row>
    <row r="11" spans="2:5" ht="15">
      <c r="B11" s="172" t="s">
        <v>74</v>
      </c>
      <c r="C11" s="269">
        <v>12</v>
      </c>
      <c r="D11" s="271">
        <v>36</v>
      </c>
      <c r="E11" s="218">
        <f>Mvalloc!D8</f>
        <v>27</v>
      </c>
    </row>
    <row r="12" spans="2:5" ht="15">
      <c r="B12" s="219" t="s">
        <v>100</v>
      </c>
      <c r="C12" s="269">
        <v>10</v>
      </c>
      <c r="D12" s="271">
        <v>11</v>
      </c>
      <c r="E12" s="218">
        <f>Mvalloc!E8</f>
        <v>11</v>
      </c>
    </row>
    <row r="13" spans="2:5" ht="15">
      <c r="B13" s="219" t="s">
        <v>137</v>
      </c>
      <c r="C13" s="269">
        <v>128</v>
      </c>
      <c r="D13" s="271">
        <v>129</v>
      </c>
      <c r="E13" s="218">
        <f>inputOth!E16</f>
        <v>106</v>
      </c>
    </row>
    <row r="14" spans="2:5" ht="15">
      <c r="B14" s="219" t="s">
        <v>36</v>
      </c>
      <c r="C14" s="269">
        <v>0</v>
      </c>
      <c r="D14" s="271">
        <v>0</v>
      </c>
      <c r="E14" s="218">
        <f>inputOth!E37</f>
        <v>0</v>
      </c>
    </row>
    <row r="15" spans="2:5" ht="15">
      <c r="B15" s="219" t="s">
        <v>34</v>
      </c>
      <c r="C15" s="269">
        <v>0</v>
      </c>
      <c r="D15" s="271">
        <v>0</v>
      </c>
      <c r="E15" s="218">
        <f>Mvalloc!F8</f>
        <v>0</v>
      </c>
    </row>
    <row r="16" spans="2:5" ht="15">
      <c r="B16" s="220" t="s">
        <v>239</v>
      </c>
      <c r="C16" s="269">
        <v>591</v>
      </c>
      <c r="D16" s="271">
        <v>0</v>
      </c>
      <c r="E16" s="217">
        <v>0</v>
      </c>
    </row>
    <row r="17" spans="2:5" ht="15">
      <c r="B17" s="287" t="s">
        <v>99</v>
      </c>
      <c r="C17" s="269">
        <f>2710-580</f>
        <v>2130</v>
      </c>
      <c r="D17" s="271">
        <v>0</v>
      </c>
      <c r="E17" s="217">
        <v>0</v>
      </c>
    </row>
    <row r="18" spans="2:5" ht="15">
      <c r="B18" s="220" t="s">
        <v>240</v>
      </c>
      <c r="C18" s="269">
        <v>580</v>
      </c>
      <c r="D18" s="271">
        <v>0</v>
      </c>
      <c r="E18" s="221">
        <v>0</v>
      </c>
    </row>
    <row r="19" spans="2:5" ht="15">
      <c r="B19" s="220"/>
      <c r="C19" s="269"/>
      <c r="D19" s="271"/>
      <c r="E19" s="217"/>
    </row>
    <row r="20" spans="2:5" ht="15">
      <c r="B20" s="44"/>
      <c r="C20" s="269"/>
      <c r="D20" s="271"/>
      <c r="E20" s="217"/>
    </row>
    <row r="21" spans="2:5" ht="15">
      <c r="B21" s="184" t="s">
        <v>135</v>
      </c>
      <c r="C21" s="267">
        <v>0</v>
      </c>
      <c r="D21" s="271">
        <v>0</v>
      </c>
      <c r="E21" s="222">
        <v>0</v>
      </c>
    </row>
    <row r="22" spans="2:5" ht="15">
      <c r="B22" s="184" t="s">
        <v>210</v>
      </c>
      <c r="C22" s="260">
        <f>IF(C23*0.1&lt;C21,"Exceed 10% Rule","")</f>
      </c>
      <c r="D22" s="272">
        <f>IF(D23*0.1&lt;D21,"Exceed 10% Rule","")</f>
      </c>
      <c r="E22" s="223">
        <f>IF(E23*0.1+E43&lt;E21,"Exceed 10% Rule","")</f>
      </c>
    </row>
    <row r="23" spans="2:5" ht="15">
      <c r="B23" s="224" t="s">
        <v>75</v>
      </c>
      <c r="C23" s="266">
        <f>SUM(C8:C21)</f>
        <v>5614</v>
      </c>
      <c r="D23" s="273">
        <f>SUM(D8:D21)</f>
        <v>2458</v>
      </c>
      <c r="E23" s="225">
        <f>SUM(E8:E21)</f>
        <v>436</v>
      </c>
    </row>
    <row r="24" spans="2:5" ht="15">
      <c r="B24" s="224" t="s">
        <v>76</v>
      </c>
      <c r="C24" s="266">
        <f>C6+C23</f>
        <v>10677</v>
      </c>
      <c r="D24" s="273">
        <f>D6+D23</f>
        <v>7240</v>
      </c>
      <c r="E24" s="226">
        <f>E6+E23</f>
        <v>3076</v>
      </c>
    </row>
    <row r="25" spans="2:5" ht="15">
      <c r="B25" s="363" t="s">
        <v>77</v>
      </c>
      <c r="C25" s="268"/>
      <c r="D25" s="274"/>
      <c r="E25" s="218"/>
    </row>
    <row r="26" spans="2:5" ht="15">
      <c r="B26" s="227" t="s">
        <v>232</v>
      </c>
      <c r="C26" s="267">
        <v>2423</v>
      </c>
      <c r="D26" s="271">
        <v>2000</v>
      </c>
      <c r="E26" s="284">
        <v>2000</v>
      </c>
    </row>
    <row r="27" spans="2:5" ht="15">
      <c r="B27" s="227" t="s">
        <v>233</v>
      </c>
      <c r="C27" s="267">
        <f>238+556</f>
        <v>794</v>
      </c>
      <c r="D27" s="271">
        <v>2000</v>
      </c>
      <c r="E27" s="284">
        <v>2619</v>
      </c>
    </row>
    <row r="28" spans="2:5" ht="15">
      <c r="B28" s="45" t="s">
        <v>206</v>
      </c>
      <c r="C28" s="267">
        <v>2300</v>
      </c>
      <c r="D28" s="271">
        <v>0</v>
      </c>
      <c r="E28" s="284">
        <v>0</v>
      </c>
    </row>
    <row r="29" spans="2:5" ht="15">
      <c r="B29" s="45" t="s">
        <v>238</v>
      </c>
      <c r="C29" s="267">
        <v>378</v>
      </c>
      <c r="D29" s="271">
        <v>600</v>
      </c>
      <c r="E29" s="284">
        <v>600</v>
      </c>
    </row>
    <row r="30" spans="2:5" ht="15">
      <c r="B30" s="45"/>
      <c r="C30" s="267"/>
      <c r="D30" s="271"/>
      <c r="E30" s="284"/>
    </row>
    <row r="31" spans="2:5" ht="15">
      <c r="B31" s="45"/>
      <c r="C31" s="267"/>
      <c r="D31" s="271"/>
      <c r="E31" s="284"/>
    </row>
    <row r="32" spans="2:5" ht="15">
      <c r="B32" s="227"/>
      <c r="C32" s="267"/>
      <c r="D32" s="271"/>
      <c r="E32" s="217"/>
    </row>
    <row r="33" spans="2:5" ht="15">
      <c r="B33" s="184" t="s">
        <v>25</v>
      </c>
      <c r="C33" s="267">
        <v>0</v>
      </c>
      <c r="D33" s="271">
        <v>0</v>
      </c>
      <c r="E33" s="218">
        <f>Nhood!E7</f>
        <v>0</v>
      </c>
    </row>
    <row r="34" spans="2:5" ht="15">
      <c r="B34" s="184" t="s">
        <v>135</v>
      </c>
      <c r="C34" s="267">
        <v>0</v>
      </c>
      <c r="D34" s="271">
        <v>0</v>
      </c>
      <c r="E34" s="217">
        <v>0</v>
      </c>
    </row>
    <row r="35" spans="2:10" ht="15">
      <c r="B35" s="184" t="s">
        <v>209</v>
      </c>
      <c r="C35" s="260">
        <f>IF(C36*0.1&lt;C34,"Exceed 10% Rule","")</f>
      </c>
      <c r="D35" s="272">
        <f>IF(D36*0.1&lt;D34,"Exceed 10% Rule","")</f>
      </c>
      <c r="E35" s="223">
        <f>IF(E36*0.1&lt;E34,"Exceed 10% Rule","")</f>
      </c>
      <c r="G35" s="435" t="str">
        <f>CONCATENATE("Projected Carryover Into ",E1+1,"")</f>
        <v>Projected Carryover Into 2013</v>
      </c>
      <c r="H35" s="436"/>
      <c r="I35" s="436"/>
      <c r="J35" s="437"/>
    </row>
    <row r="36" spans="2:10" ht="15">
      <c r="B36" s="224" t="s">
        <v>78</v>
      </c>
      <c r="C36" s="266">
        <f>SUM(C26:C34)</f>
        <v>5895</v>
      </c>
      <c r="D36" s="273">
        <f>SUM(D26:D34)</f>
        <v>4600</v>
      </c>
      <c r="E36" s="225">
        <f>SUM(E26:E34)</f>
        <v>5219</v>
      </c>
      <c r="G36" s="92"/>
      <c r="H36" s="88"/>
      <c r="I36" s="88"/>
      <c r="J36" s="162"/>
    </row>
    <row r="37" spans="2:10" s="365" customFormat="1" ht="15">
      <c r="B37" s="224" t="s">
        <v>157</v>
      </c>
      <c r="C37" s="266">
        <f>C24-C36</f>
        <v>4782</v>
      </c>
      <c r="D37" s="273">
        <f>D24-D36</f>
        <v>2640</v>
      </c>
      <c r="E37" s="366" t="s">
        <v>60</v>
      </c>
      <c r="G37" s="367">
        <f>D37</f>
        <v>2640</v>
      </c>
      <c r="H37" s="368" t="str">
        <f>CONCATENATE("",E1-1," Ending Cash Balance (est.)")</f>
        <v>2011 Ending Cash Balance (est.)</v>
      </c>
      <c r="I37" s="369"/>
      <c r="J37" s="370"/>
    </row>
    <row r="38" spans="2:10" ht="15">
      <c r="B38" s="200" t="str">
        <f>CONCATENATE("",E1-2,"/",E1-1," Budget Authority Amount:")</f>
        <v>2010/2011 Budget Authority Amount:</v>
      </c>
      <c r="C38" s="274">
        <f>inputOth!B56</f>
        <v>5420</v>
      </c>
      <c r="D38" s="274">
        <f>inputPrYr!D17</f>
        <v>5367</v>
      </c>
      <c r="E38" s="216" t="s">
        <v>60</v>
      </c>
      <c r="F38" s="228"/>
      <c r="G38" s="306">
        <f>E23</f>
        <v>436</v>
      </c>
      <c r="H38" s="308" t="str">
        <f>CONCATENATE("",E1," Non-AV Receipts (est.)")</f>
        <v>2012 Non-AV Receipts (est.)</v>
      </c>
      <c r="I38" s="307"/>
      <c r="J38" s="162"/>
    </row>
    <row r="39" spans="2:10" ht="15">
      <c r="B39" s="200"/>
      <c r="C39" s="443" t="s">
        <v>211</v>
      </c>
      <c r="D39" s="444"/>
      <c r="E39" s="79"/>
      <c r="F39" s="300">
        <f>IF(E36/0.95-E36&lt;E39,"Exceeds 5%","")</f>
      </c>
      <c r="G39" s="309">
        <f>E43</f>
        <v>2143</v>
      </c>
      <c r="H39" s="308" t="str">
        <f>CONCATENATE("",E1," Ad Valorem Tax (est.)")</f>
        <v>2012 Ad Valorem Tax (est.)</v>
      </c>
      <c r="I39" s="307"/>
      <c r="J39" s="162"/>
    </row>
    <row r="40" spans="2:10" ht="15">
      <c r="B40" s="275"/>
      <c r="C40" s="445" t="s">
        <v>212</v>
      </c>
      <c r="D40" s="446"/>
      <c r="E40" s="182">
        <f>E36+E39</f>
        <v>5219</v>
      </c>
      <c r="G40" s="306">
        <f>SUM(G37:G39)</f>
        <v>5219</v>
      </c>
      <c r="H40" s="308" t="str">
        <f>CONCATENATE("Total ",E1," Resources Available")</f>
        <v>Total 2012 Resources Available</v>
      </c>
      <c r="I40" s="307"/>
      <c r="J40" s="162"/>
    </row>
    <row r="41" spans="2:10" ht="15">
      <c r="B41" s="275" t="str">
        <f>CONCATENATE(C53,"     ",D53)</f>
        <v>     </v>
      </c>
      <c r="C41" s="229"/>
      <c r="D41" s="207" t="s">
        <v>79</v>
      </c>
      <c r="E41" s="86">
        <f>IF(E40-E24&gt;0,E40-E24,0)</f>
        <v>2143</v>
      </c>
      <c r="G41" s="310"/>
      <c r="H41" s="308"/>
      <c r="I41" s="308"/>
      <c r="J41" s="162"/>
    </row>
    <row r="42" spans="2:10" ht="15">
      <c r="B42" s="230"/>
      <c r="C42" s="288" t="s">
        <v>213</v>
      </c>
      <c r="D42" s="289">
        <f>inputOth!E42</f>
        <v>0</v>
      </c>
      <c r="E42" s="182">
        <f>ROUND(IF(inputOth!E42&gt;0,(E41*inputOth!E42),0),0)</f>
        <v>0</v>
      </c>
      <c r="G42" s="309">
        <f>C36*0.05+C36</f>
        <v>6189.75</v>
      </c>
      <c r="H42" s="308" t="str">
        <f>CONCATENATE("Less ",E1-2," Expenditures + 5%")</f>
        <v>Less 2010 Expenditures + 5%</v>
      </c>
      <c r="I42" s="307"/>
      <c r="J42" s="162"/>
    </row>
    <row r="43" spans="2:10" ht="15">
      <c r="B43" s="56"/>
      <c r="C43" s="441" t="str">
        <f>CONCATENATE("Amount of  ",E1-1," Ad Valorem Tax")</f>
        <v>Amount of  2011 Ad Valorem Tax</v>
      </c>
      <c r="D43" s="442"/>
      <c r="E43" s="231">
        <f>E41+E42</f>
        <v>2143</v>
      </c>
      <c r="G43" s="315">
        <f>G40-G42</f>
        <v>-970.75</v>
      </c>
      <c r="H43" s="311" t="str">
        <f>CONCATENATE("Projected ",E1+1," Carryover (est.)")</f>
        <v>Projected 2013 Carryover (est.)</v>
      </c>
      <c r="I43" s="312"/>
      <c r="J43" s="313"/>
    </row>
    <row r="44" spans="2:5" ht="15">
      <c r="B44" s="207"/>
      <c r="C44" s="56"/>
      <c r="D44" s="56"/>
      <c r="E44" s="56"/>
    </row>
    <row r="45" spans="2:16" ht="15">
      <c r="B45" s="200" t="s">
        <v>80</v>
      </c>
      <c r="C45" s="371">
        <v>4</v>
      </c>
      <c r="D45" s="56"/>
      <c r="E45" s="56"/>
      <c r="G45" s="328">
        <f>IF(inputOth!E7=0,"",ROUND(general!E43/inputOth!E7*1000,3))</f>
        <v>27.123</v>
      </c>
      <c r="H45" s="327" t="str">
        <f>CONCATENATE("Projected ",E1-1," Mill Rate (est.)")</f>
        <v>Projected 2011 Mill Rate (est.)</v>
      </c>
      <c r="I45" s="325"/>
      <c r="J45" s="326"/>
      <c r="M45" s="438"/>
      <c r="N45" s="438"/>
      <c r="O45" s="438"/>
      <c r="P45" s="439"/>
    </row>
    <row r="46" spans="7:16" ht="15">
      <c r="G46" s="320"/>
      <c r="H46" s="320"/>
      <c r="I46" s="320"/>
      <c r="J46" s="320"/>
      <c r="M46" s="320"/>
      <c r="N46" s="320"/>
      <c r="O46" s="320"/>
      <c r="P46" s="320"/>
    </row>
    <row r="47" spans="3:16" ht="15">
      <c r="C47" s="262"/>
      <c r="D47" s="262"/>
      <c r="E47" s="301"/>
      <c r="F47" s="295"/>
      <c r="G47" s="435" t="str">
        <f>CONCATENATE("Desired Carryover Into ",E1+1,"")</f>
        <v>Desired Carryover Into 2013</v>
      </c>
      <c r="H47" s="440"/>
      <c r="I47" s="440"/>
      <c r="J47" s="437"/>
      <c r="L47" s="329"/>
      <c r="M47" s="321"/>
      <c r="N47" s="322"/>
      <c r="O47" s="322"/>
      <c r="P47" s="323"/>
    </row>
    <row r="48" spans="3:16" ht="15">
      <c r="C48" s="302"/>
      <c r="D48" s="265"/>
      <c r="E48" s="301"/>
      <c r="F48" s="265"/>
      <c r="G48" s="343"/>
      <c r="H48" s="88"/>
      <c r="I48" s="308"/>
      <c r="J48" s="344"/>
      <c r="M48" s="302"/>
      <c r="N48" s="265"/>
      <c r="O48" s="302"/>
      <c r="P48" s="323"/>
    </row>
    <row r="49" spans="3:16" ht="15">
      <c r="C49" s="303"/>
      <c r="D49" s="304"/>
      <c r="E49" s="301"/>
      <c r="F49" s="265"/>
      <c r="G49" s="314" t="s">
        <v>216</v>
      </c>
      <c r="H49" s="308"/>
      <c r="I49" s="308"/>
      <c r="J49" s="305">
        <v>0</v>
      </c>
      <c r="M49" s="302"/>
      <c r="N49" s="265"/>
      <c r="O49" s="302"/>
      <c r="P49" s="324"/>
    </row>
    <row r="50" spans="3:10" ht="14.25" customHeight="1">
      <c r="C50" s="263"/>
      <c r="D50" s="265"/>
      <c r="E50" s="265"/>
      <c r="F50" s="265"/>
      <c r="G50" s="343" t="s">
        <v>215</v>
      </c>
      <c r="H50" s="88"/>
      <c r="I50" s="88"/>
      <c r="J50" s="348">
        <f>IF(general!J49=0,"",ROUND((J49+E43-G43)/inputOth!E7*1000,3)-G45)</f>
      </c>
    </row>
    <row r="51" spans="3:10" ht="15">
      <c r="C51" s="263"/>
      <c r="D51" s="265"/>
      <c r="E51" s="265"/>
      <c r="F51" s="265"/>
      <c r="G51" s="345" t="str">
        <f>CONCATENATE("",E1," Total Expenditures Must Be:")</f>
        <v>2012 Total Expenditures Must Be:</v>
      </c>
      <c r="H51" s="346"/>
      <c r="I51" s="347"/>
      <c r="J51" s="349">
        <f>IF((J49&gt;0),(E36+J49-G43),0)</f>
        <v>0</v>
      </c>
    </row>
    <row r="52" spans="3:6" ht="15" hidden="1">
      <c r="C52" s="294" t="str">
        <f>IF(C36&gt;C38,"See Tab A","")</f>
        <v>See Tab A</v>
      </c>
      <c r="D52" s="293">
        <f>IF(D36&gt;D38,"See Tab C","")</f>
      </c>
      <c r="E52" s="265"/>
      <c r="F52" s="265"/>
    </row>
    <row r="53" spans="3:4" ht="15" hidden="1">
      <c r="C53" s="292">
        <f>IF(C37&lt;0,"See Tab B","")</f>
      </c>
      <c r="D53" s="292">
        <f>IF(D37&lt;0,"See Tab D","")</f>
      </c>
    </row>
  </sheetData>
  <sheetProtection/>
  <mergeCells count="6">
    <mergeCell ref="G35:J35"/>
    <mergeCell ref="M45:P45"/>
    <mergeCell ref="G47:J47"/>
    <mergeCell ref="C43:D43"/>
    <mergeCell ref="C39:D39"/>
    <mergeCell ref="C40:D40"/>
  </mergeCells>
  <conditionalFormatting sqref="E34">
    <cfRule type="cellIs" priority="3" dxfId="23" operator="greaterThan" stopIfTrue="1">
      <formula>$E$36*0.1</formula>
    </cfRule>
  </conditionalFormatting>
  <conditionalFormatting sqref="E39">
    <cfRule type="cellIs" priority="4" dxfId="23" operator="greaterThan" stopIfTrue="1">
      <formula>$E$36/0.95-$E$36</formula>
    </cfRule>
  </conditionalFormatting>
  <conditionalFormatting sqref="C37">
    <cfRule type="cellIs" priority="5" dxfId="5" operator="lessThan" stopIfTrue="1">
      <formula>0</formula>
    </cfRule>
  </conditionalFormatting>
  <conditionalFormatting sqref="D36">
    <cfRule type="cellIs" priority="6" dxfId="5" operator="greaterThan" stopIfTrue="1">
      <formula>$D$38</formula>
    </cfRule>
  </conditionalFormatting>
  <conditionalFormatting sqref="C34">
    <cfRule type="cellIs" priority="8" dxfId="5" operator="greaterThan" stopIfTrue="1">
      <formula>$C$36*0.1</formula>
    </cfRule>
  </conditionalFormatting>
  <conditionalFormatting sqref="D34">
    <cfRule type="cellIs" priority="9" dxfId="5" operator="greaterThan" stopIfTrue="1">
      <formula>$D$36*0.1</formula>
    </cfRule>
  </conditionalFormatting>
  <conditionalFormatting sqref="C21">
    <cfRule type="cellIs" priority="10" dxfId="5" operator="greaterThan" stopIfTrue="1">
      <formula>$C$23*0.1</formula>
    </cfRule>
  </conditionalFormatting>
  <conditionalFormatting sqref="D21">
    <cfRule type="cellIs" priority="11" dxfId="5" operator="greaterThan" stopIfTrue="1">
      <formula>$D$23*0.1</formula>
    </cfRule>
  </conditionalFormatting>
  <conditionalFormatting sqref="E21">
    <cfRule type="cellIs" priority="12" dxfId="23" operator="greaterThan" stopIfTrue="1">
      <formula>$E$23*0.1+E43</formula>
    </cfRule>
  </conditionalFormatting>
  <conditionalFormatting sqref="D37">
    <cfRule type="cellIs" priority="2" dxfId="0" operator="lessThan" stopIfTrue="1">
      <formula>0</formula>
    </cfRule>
  </conditionalFormatting>
  <conditionalFormatting sqref="C36">
    <cfRule type="cellIs" priority="1" dxfId="0" operator="greaterThan" stopIfTrue="1">
      <formula>$C$38</formula>
    </cfRule>
  </conditionalFormatting>
  <printOptions/>
  <pageMargins left="0.5" right="0.5" top="1" bottom="0.5" header="0.5" footer="0.5"/>
  <pageSetup blackAndWhite="1" fitToHeight="1" fitToWidth="1" horizontalDpi="120" verticalDpi="120" orientation="portrait" scale="89" r:id="rId1"/>
  <headerFooter alignWithMargins="0">
    <oddHeader>&amp;R&amp;10State of Kansas
City
</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E49"/>
  <sheetViews>
    <sheetView zoomScalePageLayoutView="0" workbookViewId="0" topLeftCell="A1">
      <selection activeCell="B23" sqref="B23"/>
    </sheetView>
  </sheetViews>
  <sheetFormatPr defaultColWidth="8.8984375" defaultRowHeight="15"/>
  <cols>
    <col min="1" max="1" width="2.3984375" style="57" customWidth="1"/>
    <col min="2" max="2" width="31.09765625" style="57" customWidth="1"/>
    <col min="3" max="4" width="15.69921875" style="57" customWidth="1"/>
    <col min="5" max="5" width="16.09765625" style="57" customWidth="1"/>
    <col min="6" max="16384" width="8.8984375" style="57" customWidth="1"/>
  </cols>
  <sheetData>
    <row r="1" spans="2:5" ht="15">
      <c r="B1" s="364" t="str">
        <f>(inputPrYr!D2)</f>
        <v>City of Cedar</v>
      </c>
      <c r="C1" s="56"/>
      <c r="D1" s="56"/>
      <c r="E1" s="156">
        <f>inputPrYr!$C$5</f>
        <v>2012</v>
      </c>
    </row>
    <row r="2" spans="2:5" ht="15">
      <c r="B2" s="56"/>
      <c r="C2" s="56"/>
      <c r="D2" s="56"/>
      <c r="E2" s="207"/>
    </row>
    <row r="3" spans="2:5" ht="15">
      <c r="B3" s="73" t="s">
        <v>104</v>
      </c>
      <c r="C3" s="232"/>
      <c r="D3" s="232"/>
      <c r="E3" s="233"/>
    </row>
    <row r="4" spans="2:5" ht="15">
      <c r="B4" s="61" t="s">
        <v>70</v>
      </c>
      <c r="C4" s="359" t="s">
        <v>84</v>
      </c>
      <c r="D4" s="358" t="s">
        <v>176</v>
      </c>
      <c r="E4" s="358" t="s">
        <v>177</v>
      </c>
    </row>
    <row r="5" spans="2:5" ht="15">
      <c r="B5" s="290" t="str">
        <f>(inputPrYr!B26)</f>
        <v>Special Highway</v>
      </c>
      <c r="C5" s="234">
        <f>inputPrYr!$C$5-2</f>
        <v>2010</v>
      </c>
      <c r="D5" s="234">
        <f>inputPrYr!$C$5-1</f>
        <v>2011</v>
      </c>
      <c r="E5" s="212">
        <f>inputPrYr!$C$5</f>
        <v>2012</v>
      </c>
    </row>
    <row r="6" spans="2:5" s="365" customFormat="1" ht="15">
      <c r="B6" s="224" t="s">
        <v>156</v>
      </c>
      <c r="C6" s="405">
        <v>0</v>
      </c>
      <c r="D6" s="404">
        <f>C34</f>
        <v>0</v>
      </c>
      <c r="E6" s="404">
        <f>D34</f>
        <v>0</v>
      </c>
    </row>
    <row r="7" spans="2:5" ht="15">
      <c r="B7" s="363" t="s">
        <v>158</v>
      </c>
      <c r="C7" s="182"/>
      <c r="D7" s="182"/>
      <c r="E7" s="182"/>
    </row>
    <row r="8" spans="2:5" ht="15">
      <c r="B8" s="239" t="s">
        <v>82</v>
      </c>
      <c r="C8" s="79">
        <v>580</v>
      </c>
      <c r="D8" s="182">
        <f>inputOth!E48</f>
        <v>590</v>
      </c>
      <c r="E8" s="182">
        <f>inputOth!E46</f>
        <v>610</v>
      </c>
    </row>
    <row r="9" spans="2:5" ht="15">
      <c r="B9" s="239" t="s">
        <v>185</v>
      </c>
      <c r="C9" s="79">
        <v>0</v>
      </c>
      <c r="D9" s="182">
        <f>inputOth!E49</f>
        <v>0</v>
      </c>
      <c r="E9" s="182">
        <f>inputOth!E47</f>
        <v>0</v>
      </c>
    </row>
    <row r="10" spans="2:5" ht="15">
      <c r="B10" s="227"/>
      <c r="C10" s="79"/>
      <c r="D10" s="79"/>
      <c r="E10" s="79"/>
    </row>
    <row r="11" spans="2:5" ht="15">
      <c r="B11" s="227"/>
      <c r="C11" s="79"/>
      <c r="D11" s="79"/>
      <c r="E11" s="79"/>
    </row>
    <row r="12" spans="2:5" ht="15">
      <c r="B12" s="227"/>
      <c r="C12" s="79"/>
      <c r="D12" s="79"/>
      <c r="E12" s="79"/>
    </row>
    <row r="13" spans="2:5" ht="15">
      <c r="B13" s="227"/>
      <c r="C13" s="79"/>
      <c r="D13" s="79"/>
      <c r="E13" s="79"/>
    </row>
    <row r="14" spans="2:5" ht="15">
      <c r="B14" s="227"/>
      <c r="C14" s="79"/>
      <c r="D14" s="79"/>
      <c r="E14" s="79"/>
    </row>
    <row r="15" spans="2:5" ht="15">
      <c r="B15" s="227"/>
      <c r="C15" s="79"/>
      <c r="D15" s="79"/>
      <c r="E15" s="79"/>
    </row>
    <row r="16" spans="2:5" ht="15">
      <c r="B16" s="235"/>
      <c r="C16" s="79"/>
      <c r="D16" s="79"/>
      <c r="E16" s="79"/>
    </row>
    <row r="17" spans="2:5" ht="15">
      <c r="B17" s="238" t="s">
        <v>135</v>
      </c>
      <c r="C17" s="79">
        <v>0</v>
      </c>
      <c r="D17" s="79">
        <v>0</v>
      </c>
      <c r="E17" s="79">
        <v>0</v>
      </c>
    </row>
    <row r="18" spans="2:5" ht="15">
      <c r="B18" s="238" t="s">
        <v>210</v>
      </c>
      <c r="C18" s="291">
        <f>IF(C19*0.1&lt;C17,"Exceed 10% Rule","")</f>
      </c>
      <c r="D18" s="236">
        <f>IF(D19*0.1&lt;D17,"Exceed 10% Rule","")</f>
      </c>
      <c r="E18" s="236">
        <f>IF(E19*0.1&lt;E17,"Exceed 10% Rule","")</f>
      </c>
    </row>
    <row r="19" spans="2:5" ht="15">
      <c r="B19" s="224" t="s">
        <v>75</v>
      </c>
      <c r="C19" s="237">
        <f>SUM(C8:C17)</f>
        <v>580</v>
      </c>
      <c r="D19" s="237">
        <f>SUM(D8:D17)</f>
        <v>590</v>
      </c>
      <c r="E19" s="237">
        <f>SUM(E8:E17)</f>
        <v>610</v>
      </c>
    </row>
    <row r="20" spans="2:5" ht="15">
      <c r="B20" s="224" t="s">
        <v>76</v>
      </c>
      <c r="C20" s="237">
        <f>C6+C19</f>
        <v>580</v>
      </c>
      <c r="D20" s="237">
        <f>D6+D19</f>
        <v>590</v>
      </c>
      <c r="E20" s="237">
        <f>E6+E19</f>
        <v>610</v>
      </c>
    </row>
    <row r="21" spans="2:5" ht="15">
      <c r="B21" s="224" t="s">
        <v>77</v>
      </c>
      <c r="C21" s="182"/>
      <c r="D21" s="182"/>
      <c r="E21" s="182"/>
    </row>
    <row r="22" spans="2:5" ht="15">
      <c r="B22" s="227" t="s">
        <v>236</v>
      </c>
      <c r="C22" s="79">
        <v>0</v>
      </c>
      <c r="D22" s="79">
        <v>590</v>
      </c>
      <c r="E22" s="79">
        <v>610</v>
      </c>
    </row>
    <row r="23" spans="2:5" ht="15">
      <c r="B23" s="256" t="s">
        <v>235</v>
      </c>
      <c r="C23" s="79">
        <v>580</v>
      </c>
      <c r="D23" s="79">
        <v>0</v>
      </c>
      <c r="E23" s="79">
        <v>0</v>
      </c>
    </row>
    <row r="24" spans="2:5" ht="15">
      <c r="B24" s="227"/>
      <c r="C24" s="79"/>
      <c r="D24" s="79"/>
      <c r="E24" s="79"/>
    </row>
    <row r="25" spans="2:5" ht="15">
      <c r="B25" s="227"/>
      <c r="C25" s="79"/>
      <c r="D25" s="79"/>
      <c r="E25" s="79"/>
    </row>
    <row r="26" spans="2:5" ht="15">
      <c r="B26" s="227"/>
      <c r="C26" s="79"/>
      <c r="D26" s="79"/>
      <c r="E26" s="79"/>
    </row>
    <row r="27" spans="2:5" ht="15">
      <c r="B27" s="227"/>
      <c r="C27" s="79"/>
      <c r="D27" s="79"/>
      <c r="E27" s="79"/>
    </row>
    <row r="28" spans="2:5" ht="15">
      <c r="B28" s="227"/>
      <c r="C28" s="79"/>
      <c r="D28" s="79"/>
      <c r="E28" s="79"/>
    </row>
    <row r="29" spans="2:5" ht="15">
      <c r="B29" s="227"/>
      <c r="C29" s="79"/>
      <c r="D29" s="79"/>
      <c r="E29" s="79"/>
    </row>
    <row r="30" spans="2:5" ht="15">
      <c r="B30" s="227"/>
      <c r="C30" s="79"/>
      <c r="D30" s="79"/>
      <c r="E30" s="79"/>
    </row>
    <row r="31" spans="2:5" ht="15">
      <c r="B31" s="184" t="s">
        <v>135</v>
      </c>
      <c r="C31" s="79">
        <v>0</v>
      </c>
      <c r="D31" s="79">
        <v>0</v>
      </c>
      <c r="E31" s="79">
        <v>0</v>
      </c>
    </row>
    <row r="32" spans="2:5" ht="15">
      <c r="B32" s="78" t="s">
        <v>209</v>
      </c>
      <c r="C32" s="291">
        <f>IF(C33*0.1&lt;C31,"Exceed 10% Rule","")</f>
      </c>
      <c r="D32" s="236">
        <f>IF(D33*0.1&lt;D31,"Exceed 10% Rule","")</f>
      </c>
      <c r="E32" s="236">
        <f>IF(E33*0.1&lt;E31,"Exceed 10% Rule","")</f>
      </c>
    </row>
    <row r="33" spans="2:5" ht="15">
      <c r="B33" s="224" t="s">
        <v>78</v>
      </c>
      <c r="C33" s="237">
        <f>SUM(C22:C31)</f>
        <v>580</v>
      </c>
      <c r="D33" s="237">
        <f>SUM(D22:D31)</f>
        <v>590</v>
      </c>
      <c r="E33" s="237">
        <f>SUM(E22:E31)</f>
        <v>610</v>
      </c>
    </row>
    <row r="34" spans="2:5" ht="15">
      <c r="B34" s="224" t="s">
        <v>157</v>
      </c>
      <c r="C34" s="86">
        <f>C20-C33</f>
        <v>0</v>
      </c>
      <c r="D34" s="86">
        <f>D20-D33</f>
        <v>0</v>
      </c>
      <c r="E34" s="86">
        <f>E20-E33</f>
        <v>0</v>
      </c>
    </row>
    <row r="35" spans="2:5" ht="15">
      <c r="B35" s="200" t="str">
        <f>CONCATENATE("",E1-2,"/",E1-1," Budget Authority Amount:")</f>
        <v>2010/2011 Budget Authority Amount:</v>
      </c>
      <c r="C35" s="274">
        <f>inputOth!B59</f>
        <v>580</v>
      </c>
      <c r="D35" s="274">
        <f>inputPrYr!D26</f>
        <v>620</v>
      </c>
      <c r="E35" s="296">
        <f>IF(E34&lt;0,"See Tab E","")</f>
      </c>
    </row>
    <row r="36" spans="2:5" ht="15">
      <c r="B36" s="200"/>
      <c r="C36" s="229">
        <f>IF(C33&gt;C35,"See Tab A","")</f>
      </c>
      <c r="D36" s="229">
        <f>IF(D33&gt;D35,"See Tab C","")</f>
      </c>
      <c r="E36" s="198"/>
    </row>
    <row r="37" spans="2:5" ht="15">
      <c r="B37" s="200"/>
      <c r="C37" s="229">
        <f>IF(C34&lt;0,"See Tab B","")</f>
      </c>
      <c r="D37" s="229">
        <f>IF(D34&lt;0,"See Tab D","")</f>
      </c>
      <c r="E37" s="198"/>
    </row>
    <row r="38" spans="2:5" ht="15">
      <c r="B38" s="56"/>
      <c r="C38" s="198"/>
      <c r="D38" s="198"/>
      <c r="E38" s="198"/>
    </row>
    <row r="39" spans="2:5" ht="15">
      <c r="B39" s="56"/>
      <c r="C39" s="198"/>
      <c r="D39" s="198"/>
      <c r="E39" s="198"/>
    </row>
    <row r="40" spans="2:5" ht="15">
      <c r="B40" s="56"/>
      <c r="C40" s="198"/>
      <c r="D40" s="198"/>
      <c r="E40" s="198"/>
    </row>
    <row r="41" spans="2:5" ht="15">
      <c r="B41" s="56"/>
      <c r="C41" s="198"/>
      <c r="D41" s="198"/>
      <c r="E41" s="198"/>
    </row>
    <row r="42" spans="2:5" ht="15">
      <c r="B42" s="56"/>
      <c r="C42" s="198"/>
      <c r="D42" s="198"/>
      <c r="E42" s="198"/>
    </row>
    <row r="43" spans="2:5" ht="15">
      <c r="B43" s="56"/>
      <c r="C43" s="198"/>
      <c r="D43" s="198"/>
      <c r="E43" s="198"/>
    </row>
    <row r="44" spans="2:5" ht="15">
      <c r="B44" s="56"/>
      <c r="C44" s="198"/>
      <c r="D44" s="198"/>
      <c r="E44" s="198"/>
    </row>
    <row r="45" spans="2:5" ht="15">
      <c r="B45" s="56"/>
      <c r="C45" s="198"/>
      <c r="D45" s="198"/>
      <c r="E45" s="198"/>
    </row>
    <row r="46" spans="2:5" ht="15">
      <c r="B46" s="56"/>
      <c r="C46" s="198"/>
      <c r="D46" s="198"/>
      <c r="E46" s="198"/>
    </row>
    <row r="47" spans="2:5" ht="15">
      <c r="B47" s="56"/>
      <c r="C47" s="198"/>
      <c r="D47" s="198"/>
      <c r="E47" s="198"/>
    </row>
    <row r="48" spans="2:5" ht="15">
      <c r="B48" s="56"/>
      <c r="C48" s="198"/>
      <c r="D48" s="198"/>
      <c r="E48" s="198"/>
    </row>
    <row r="49" spans="2:5" ht="15">
      <c r="B49" s="207" t="s">
        <v>80</v>
      </c>
      <c r="C49" s="371">
        <v>5</v>
      </c>
      <c r="D49" s="56"/>
      <c r="E49" s="56"/>
    </row>
  </sheetData>
  <sheetProtection/>
  <conditionalFormatting sqref="C17">
    <cfRule type="cellIs" priority="9" dxfId="23" operator="greaterThan" stopIfTrue="1">
      <formula>$C$19*0.1</formula>
    </cfRule>
  </conditionalFormatting>
  <conditionalFormatting sqref="D17">
    <cfRule type="cellIs" priority="11" dxfId="23" operator="greaterThan" stopIfTrue="1">
      <formula>$D$19*0.1</formula>
    </cfRule>
  </conditionalFormatting>
  <conditionalFormatting sqref="E17">
    <cfRule type="cellIs" priority="12" dxfId="23" operator="greaterThan" stopIfTrue="1">
      <formula>$E$19*0.1</formula>
    </cfRule>
  </conditionalFormatting>
  <conditionalFormatting sqref="C31">
    <cfRule type="cellIs" priority="15" dxfId="23" operator="greaterThan" stopIfTrue="1">
      <formula>$C$33*0.1</formula>
    </cfRule>
  </conditionalFormatting>
  <conditionalFormatting sqref="D31">
    <cfRule type="cellIs" priority="16" dxfId="23" operator="greaterThan" stopIfTrue="1">
      <formula>$D$33*0.1</formula>
    </cfRule>
  </conditionalFormatting>
  <conditionalFormatting sqref="E31">
    <cfRule type="cellIs" priority="17" dxfId="23" operator="greaterThan" stopIfTrue="1">
      <formula>$E$33*0.1</formula>
    </cfRule>
  </conditionalFormatting>
  <conditionalFormatting sqref="E34">
    <cfRule type="cellIs" priority="21" dxfId="5" operator="lessThan" stopIfTrue="1">
      <formula>0</formula>
    </cfRule>
  </conditionalFormatting>
  <conditionalFormatting sqref="D34">
    <cfRule type="cellIs" priority="6" dxfId="0" operator="lessThan" stopIfTrue="1">
      <formula>0</formula>
    </cfRule>
    <cfRule type="cellIs" priority="8" dxfId="0" operator="lessThan" stopIfTrue="1">
      <formula>0</formula>
    </cfRule>
  </conditionalFormatting>
  <conditionalFormatting sqref="C34">
    <cfRule type="cellIs" priority="5" dxfId="0" operator="lessThan" stopIfTrue="1">
      <formula>0</formula>
    </cfRule>
  </conditionalFormatting>
  <conditionalFormatting sqref="D33">
    <cfRule type="cellIs" priority="3" dxfId="0" operator="greaterThan" stopIfTrue="1">
      <formula>$D$35</formula>
    </cfRule>
  </conditionalFormatting>
  <conditionalFormatting sqref="C33">
    <cfRule type="cellIs" priority="2" dxfId="0" operator="greaterThan" stopIfTrue="1">
      <formula>$C$35</formula>
    </cfRule>
  </conditionalFormatting>
  <printOptions/>
  <pageMargins left="0.5" right="0.5" top="1" bottom="0.5" header="0.5" footer="0.5"/>
  <pageSetup blackAndWhite="1" fitToHeight="1" fitToWidth="1" horizontalDpi="120" verticalDpi="120" orientation="portrait" scale="92" r:id="rId1"/>
  <headerFooter alignWithMargins="0">
    <oddHeader>&amp;R&amp;10State of Kansas
City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166"/>
  <sheetViews>
    <sheetView zoomScale="75" zoomScaleNormal="75" zoomScalePageLayoutView="0" workbookViewId="0" topLeftCell="A1">
      <selection activeCell="B23" sqref="B23"/>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6"/>
      <c r="B1" s="6"/>
      <c r="C1" s="6"/>
      <c r="D1" s="6"/>
      <c r="E1" s="6"/>
      <c r="F1" s="6"/>
      <c r="G1" s="6"/>
      <c r="H1" s="28">
        <f>inputPrYr!$C$5</f>
        <v>2012</v>
      </c>
    </row>
    <row r="2" spans="1:8" ht="15">
      <c r="A2" s="455" t="s">
        <v>102</v>
      </c>
      <c r="B2" s="455"/>
      <c r="C2" s="455"/>
      <c r="D2" s="455"/>
      <c r="E2" s="455"/>
      <c r="F2" s="455"/>
      <c r="G2" s="455"/>
      <c r="H2" s="455"/>
    </row>
    <row r="3" spans="1:8" ht="15">
      <c r="A3" s="6"/>
      <c r="B3" s="6"/>
      <c r="C3" s="6"/>
      <c r="D3" s="6"/>
      <c r="E3" s="6"/>
      <c r="F3" s="6"/>
      <c r="G3" s="6"/>
      <c r="H3" s="6"/>
    </row>
    <row r="4" spans="1:8" ht="15">
      <c r="A4" s="454" t="s">
        <v>83</v>
      </c>
      <c r="B4" s="454"/>
      <c r="C4" s="454"/>
      <c r="D4" s="454"/>
      <c r="E4" s="454"/>
      <c r="F4" s="454"/>
      <c r="G4" s="454"/>
      <c r="H4" s="454"/>
    </row>
    <row r="5" spans="1:8" ht="15">
      <c r="A5" s="456" t="str">
        <f>inputPrYr!D2</f>
        <v>City of Cedar</v>
      </c>
      <c r="B5" s="456"/>
      <c r="C5" s="456"/>
      <c r="D5" s="456"/>
      <c r="E5" s="456"/>
      <c r="F5" s="456"/>
      <c r="G5" s="456"/>
      <c r="H5" s="456"/>
    </row>
    <row r="6" spans="1:8" ht="15">
      <c r="A6" s="454" t="str">
        <f>CONCATENATE("will meet on ",inputBudSum!B6," at ",inputBudSum!B8," at ",inputBudSum!B10," for the purpose of hearing and")</f>
        <v>will meet on _______________ at ________ at _______________ for the purpose of hearing and</v>
      </c>
      <c r="B6" s="454"/>
      <c r="C6" s="454"/>
      <c r="D6" s="454"/>
      <c r="E6" s="454"/>
      <c r="F6" s="454"/>
      <c r="G6" s="454"/>
      <c r="H6" s="454"/>
    </row>
    <row r="7" spans="1:8" ht="15">
      <c r="A7" s="454" t="s">
        <v>203</v>
      </c>
      <c r="B7" s="454"/>
      <c r="C7" s="454"/>
      <c r="D7" s="454"/>
      <c r="E7" s="454"/>
      <c r="F7" s="454"/>
      <c r="G7" s="454"/>
      <c r="H7" s="454"/>
    </row>
    <row r="8" spans="1:8" ht="15">
      <c r="A8" s="454" t="str">
        <f>CONCATENATE("Detailed budget information is available at ",inputBudSum!B13," and will be available at this hearing.")</f>
        <v>Detailed budget information is available at  and will be available at this hearing.</v>
      </c>
      <c r="B8" s="454"/>
      <c r="C8" s="454"/>
      <c r="D8" s="454"/>
      <c r="E8" s="454"/>
      <c r="F8" s="454"/>
      <c r="G8" s="454"/>
      <c r="H8" s="454"/>
    </row>
    <row r="9" spans="1:8" ht="15">
      <c r="A9" s="19" t="s">
        <v>103</v>
      </c>
      <c r="B9" s="9"/>
      <c r="C9" s="9"/>
      <c r="D9" s="9"/>
      <c r="E9" s="9"/>
      <c r="F9" s="9"/>
      <c r="G9" s="9"/>
      <c r="H9" s="9"/>
    </row>
    <row r="10" spans="1:8" ht="15">
      <c r="A10" s="20"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1"/>
      <c r="C10" s="21"/>
      <c r="D10" s="21"/>
      <c r="E10" s="21"/>
      <c r="F10" s="21"/>
      <c r="G10" s="21"/>
      <c r="H10" s="21"/>
    </row>
    <row r="11" spans="1:8" ht="15">
      <c r="A11" s="8" t="s">
        <v>162</v>
      </c>
      <c r="B11" s="9"/>
      <c r="C11" s="9"/>
      <c r="D11" s="9"/>
      <c r="E11" s="9"/>
      <c r="F11" s="9"/>
      <c r="G11" s="9"/>
      <c r="H11" s="9"/>
    </row>
    <row r="12" spans="1:8" ht="15">
      <c r="A12" s="6"/>
      <c r="B12" s="22"/>
      <c r="C12" s="22"/>
      <c r="D12" s="22"/>
      <c r="E12" s="22"/>
      <c r="F12" s="22"/>
      <c r="G12" s="22"/>
      <c r="H12" s="22"/>
    </row>
    <row r="13" spans="1:8" ht="15">
      <c r="A13" s="6"/>
      <c r="B13" s="23" t="str">
        <f>CONCATENATE("Prior Year Actual for ",H1-2,"")</f>
        <v>Prior Year Actual for 2010</v>
      </c>
      <c r="C13" s="12"/>
      <c r="D13" s="23" t="str">
        <f>CONCATENATE("Current Year Estimate for ",H1-1,"")</f>
        <v>Current Year Estimate for 2011</v>
      </c>
      <c r="E13" s="12"/>
      <c r="F13" s="10" t="str">
        <f>CONCATENATE("Proposed Budget for ",H1,"")</f>
        <v>Proposed Budget for 2012</v>
      </c>
      <c r="G13" s="11"/>
      <c r="H13" s="12"/>
    </row>
    <row r="14" spans="1:8" ht="22.5" customHeight="1">
      <c r="A14" s="6"/>
      <c r="B14" s="13"/>
      <c r="C14" s="13" t="s">
        <v>81</v>
      </c>
      <c r="D14" s="13"/>
      <c r="E14" s="13" t="s">
        <v>81</v>
      </c>
      <c r="F14" s="13" t="s">
        <v>23</v>
      </c>
      <c r="G14" s="30" t="str">
        <f>CONCATENATE("Amount of ",H1-1,"")</f>
        <v>Amount of 2011</v>
      </c>
      <c r="H14" s="13" t="s">
        <v>3</v>
      </c>
    </row>
    <row r="15" spans="1:8" ht="17.25" customHeight="1">
      <c r="A15" s="24" t="s">
        <v>85</v>
      </c>
      <c r="B15" s="14" t="s">
        <v>56</v>
      </c>
      <c r="C15" s="14" t="s">
        <v>86</v>
      </c>
      <c r="D15" s="14" t="s">
        <v>2</v>
      </c>
      <c r="E15" s="14" t="s">
        <v>86</v>
      </c>
      <c r="F15" s="14" t="s">
        <v>214</v>
      </c>
      <c r="G15" s="18" t="s">
        <v>71</v>
      </c>
      <c r="H15" s="14" t="s">
        <v>86</v>
      </c>
    </row>
    <row r="16" spans="1:8" ht="15">
      <c r="A16" s="4" t="s">
        <v>40</v>
      </c>
      <c r="B16" s="373">
        <f>IF((general!$C$36)&lt;&gt;0,general!$C$36,"  ")</f>
        <v>5895</v>
      </c>
      <c r="C16" s="374">
        <f>IF(inputPrYr!D45&gt;0,inputPrYr!D45,"0.000")</f>
        <v>26.655</v>
      </c>
      <c r="D16" s="373">
        <f>IF((general!$D$36)&lt;&gt;0,general!$D$36,"  ")</f>
        <v>4600</v>
      </c>
      <c r="E16" s="374">
        <f>IF(inputOth!D21&gt;0,inputOth!D21,"0.000")</f>
        <v>27.124</v>
      </c>
      <c r="F16" s="373">
        <f>IF((general!$E$36)&lt;&gt;0,general!$E$36,"  ")</f>
        <v>5219</v>
      </c>
      <c r="G16" s="373">
        <f>IF((general!$E$43)&lt;&gt;0,(general!$E$43),"0")</f>
        <v>2143</v>
      </c>
      <c r="H16" s="374">
        <f>IF((general!E43&gt;0),ROUND(G16/$F$22*1000,3),"0.000")</f>
        <v>27.123</v>
      </c>
    </row>
    <row r="17" spans="1:8" ht="15">
      <c r="A17" s="5" t="str">
        <f>IF((inputPrYr!$B26&gt;"  "),(inputPrYr!$B26),"  ")</f>
        <v>Special Highway</v>
      </c>
      <c r="B17" s="373">
        <f>IF((SpecHwy!$C$33)&lt;&gt;0,(SpecHwy!$C$33),"  ")</f>
        <v>580</v>
      </c>
      <c r="C17" s="375"/>
      <c r="D17" s="373">
        <f>IF((SpecHwy!$D$33)&lt;&gt;0,(SpecHwy!$D$33),"  ")</f>
        <v>590</v>
      </c>
      <c r="E17" s="375"/>
      <c r="F17" s="373">
        <f>IF((SpecHwy!$E$33)&lt;&gt;0,(SpecHwy!$E$33),"  ")</f>
        <v>610</v>
      </c>
      <c r="G17" s="375"/>
      <c r="H17" s="375"/>
    </row>
    <row r="18" spans="1:13" ht="15">
      <c r="A18" s="352" t="s">
        <v>220</v>
      </c>
      <c r="B18" s="376">
        <f>SUM(B16:B17)</f>
        <v>6475</v>
      </c>
      <c r="C18" s="377">
        <f>SUM(C16:C16)</f>
        <v>26.655</v>
      </c>
      <c r="D18" s="376">
        <f>SUM(D16:D17)</f>
        <v>5190</v>
      </c>
      <c r="E18" s="377">
        <f>SUM(E16:E16)</f>
        <v>27.124</v>
      </c>
      <c r="F18" s="376">
        <f>SUM(F16:F17)</f>
        <v>5829</v>
      </c>
      <c r="G18" s="376">
        <f>SUM(G16:G16)</f>
        <v>2143</v>
      </c>
      <c r="H18" s="377">
        <f>SUM(H16:H17)</f>
        <v>27.123</v>
      </c>
      <c r="J18" s="447" t="str">
        <f>CONCATENATE("Impact On Keeping The Same Mill Rate As For ",H1-1,"")</f>
        <v>Impact On Keeping The Same Mill Rate As For 2011</v>
      </c>
      <c r="K18" s="450"/>
      <c r="L18" s="450"/>
      <c r="M18" s="451"/>
    </row>
    <row r="19" spans="1:13" ht="15">
      <c r="A19" s="7" t="s">
        <v>87</v>
      </c>
      <c r="B19" s="378">
        <v>0</v>
      </c>
      <c r="C19" s="379"/>
      <c r="D19" s="378">
        <v>0</v>
      </c>
      <c r="E19" s="380"/>
      <c r="F19" s="378">
        <v>0</v>
      </c>
      <c r="G19" s="381"/>
      <c r="H19" s="382"/>
      <c r="I19" s="297"/>
      <c r="J19" s="336"/>
      <c r="K19" s="332"/>
      <c r="L19" s="332"/>
      <c r="M19" s="337"/>
    </row>
    <row r="20" spans="1:13" ht="15.75" thickBot="1">
      <c r="A20" s="53" t="s">
        <v>88</v>
      </c>
      <c r="B20" s="383">
        <f>B18-B19</f>
        <v>6475</v>
      </c>
      <c r="C20" s="17"/>
      <c r="D20" s="383">
        <f>D18-D19</f>
        <v>5190</v>
      </c>
      <c r="E20" s="17"/>
      <c r="F20" s="383">
        <f>F18-F19</f>
        <v>5829</v>
      </c>
      <c r="G20" s="17"/>
      <c r="H20" s="17"/>
      <c r="J20" s="336" t="str">
        <f>CONCATENATE("",H1," Ad Valorem Tax Revenue:")</f>
        <v>2012 Ad Valorem Tax Revenue:</v>
      </c>
      <c r="K20" s="332"/>
      <c r="L20" s="332"/>
      <c r="M20" s="333">
        <f>G18</f>
        <v>2143</v>
      </c>
    </row>
    <row r="21" spans="1:13" ht="15.75" thickTop="1">
      <c r="A21" s="7" t="s">
        <v>89</v>
      </c>
      <c r="B21" s="378">
        <f>inputPrYr!E52</f>
        <v>1918</v>
      </c>
      <c r="C21" s="384"/>
      <c r="D21" s="378">
        <f>inputPrYr!E23</f>
        <v>2019</v>
      </c>
      <c r="E21" s="385"/>
      <c r="F21" s="378" t="s">
        <v>241</v>
      </c>
      <c r="G21" s="17"/>
      <c r="H21" s="17"/>
      <c r="J21" s="336" t="str">
        <f>CONCATENATE("",H1-1," Ad Valorem Tax Revenue:")</f>
        <v>2011 Ad Valorem Tax Revenue:</v>
      </c>
      <c r="K21" s="332"/>
      <c r="L21" s="332"/>
      <c r="M21" s="342" t="e">
        <f>ROUND(F22*#REF!/1000,0)</f>
        <v>#REF!</v>
      </c>
    </row>
    <row r="22" spans="1:13" ht="15">
      <c r="A22" s="7" t="s">
        <v>90</v>
      </c>
      <c r="B22" s="373">
        <f>inputPrYr!E53</f>
        <v>71957</v>
      </c>
      <c r="C22" s="386"/>
      <c r="D22" s="373">
        <f>inputOth!E30</f>
        <v>74437</v>
      </c>
      <c r="E22" s="387"/>
      <c r="F22" s="373">
        <f>inputOth!E7</f>
        <v>79010</v>
      </c>
      <c r="G22" s="17"/>
      <c r="H22" s="17"/>
      <c r="J22" s="339" t="s">
        <v>218</v>
      </c>
      <c r="K22" s="340"/>
      <c r="L22" s="340"/>
      <c r="M22" s="334" t="e">
        <f>M20-M21</f>
        <v>#REF!</v>
      </c>
    </row>
    <row r="23" spans="1:13" ht="15">
      <c r="A23" s="353"/>
      <c r="B23" s="381"/>
      <c r="C23" s="388"/>
      <c r="D23" s="381"/>
      <c r="E23" s="388"/>
      <c r="F23" s="381"/>
      <c r="G23" s="388"/>
      <c r="H23" s="17"/>
      <c r="I23" s="330"/>
      <c r="J23" s="335"/>
      <c r="K23" s="335"/>
      <c r="L23" s="335"/>
      <c r="M23" s="341"/>
    </row>
    <row r="24" spans="1:13" ht="15">
      <c r="A24" s="7" t="s">
        <v>91</v>
      </c>
      <c r="B24" s="381"/>
      <c r="C24" s="388"/>
      <c r="D24" s="381"/>
      <c r="E24" s="388"/>
      <c r="F24" s="381"/>
      <c r="G24" s="17"/>
      <c r="H24" s="17"/>
      <c r="J24" s="447" t="s">
        <v>219</v>
      </c>
      <c r="K24" s="448"/>
      <c r="L24" s="448"/>
      <c r="M24" s="449"/>
    </row>
    <row r="25" spans="1:13" ht="15">
      <c r="A25" s="7" t="s">
        <v>92</v>
      </c>
      <c r="B25" s="389">
        <f>$H$1-3</f>
        <v>2009</v>
      </c>
      <c r="C25" s="17"/>
      <c r="D25" s="389">
        <f>$H$1-2</f>
        <v>2010</v>
      </c>
      <c r="E25" s="17"/>
      <c r="F25" s="389">
        <f>$H$1-1</f>
        <v>2011</v>
      </c>
      <c r="G25" s="17"/>
      <c r="H25" s="17"/>
      <c r="J25" s="336"/>
      <c r="K25" s="332"/>
      <c r="L25" s="332"/>
      <c r="M25" s="337"/>
    </row>
    <row r="26" spans="1:13" ht="15">
      <c r="A26" s="7" t="s">
        <v>93</v>
      </c>
      <c r="B26" s="373">
        <f>inputPrYr!D56</f>
        <v>0</v>
      </c>
      <c r="C26" s="17"/>
      <c r="D26" s="373">
        <f>inputPrYr!E56</f>
        <v>0</v>
      </c>
      <c r="E26" s="17"/>
      <c r="F26" s="373">
        <v>0</v>
      </c>
      <c r="G26" s="17"/>
      <c r="H26" s="17"/>
      <c r="J26" s="336" t="str">
        <f>CONCATENATE("Current ",H1," Estimated Mill Rate:")</f>
        <v>Current 2012 Estimated Mill Rate:</v>
      </c>
      <c r="K26" s="332"/>
      <c r="L26" s="332"/>
      <c r="M26" s="338">
        <f>H18</f>
        <v>27.123</v>
      </c>
    </row>
    <row r="27" spans="1:13" ht="15">
      <c r="A27" s="7" t="s">
        <v>94</v>
      </c>
      <c r="B27" s="373">
        <f>inputPrYr!D57</f>
        <v>0</v>
      </c>
      <c r="C27" s="17"/>
      <c r="D27" s="373">
        <f>inputPrYr!E57</f>
        <v>0</v>
      </c>
      <c r="E27" s="17"/>
      <c r="F27" s="373">
        <v>0</v>
      </c>
      <c r="G27" s="17"/>
      <c r="H27" s="17"/>
      <c r="J27" s="336" t="str">
        <f>CONCATENATE("Desired ",H1," Mill Rate:")</f>
        <v>Desired 2012 Mill Rate:</v>
      </c>
      <c r="K27" s="332"/>
      <c r="L27" s="332"/>
      <c r="M27" s="331">
        <v>0</v>
      </c>
    </row>
    <row r="28" spans="1:13" ht="15">
      <c r="A28" s="27" t="s">
        <v>99</v>
      </c>
      <c r="B28" s="373">
        <f>inputPrYr!D58</f>
        <v>0</v>
      </c>
      <c r="C28" s="17"/>
      <c r="D28" s="373">
        <f>inputPrYr!E58</f>
        <v>0</v>
      </c>
      <c r="E28" s="17"/>
      <c r="F28" s="390">
        <v>0</v>
      </c>
      <c r="G28" s="17"/>
      <c r="H28" s="17"/>
      <c r="J28" s="336" t="str">
        <f>CONCATENATE("",H1," Ad Valorem Tax:")</f>
        <v>2012 Ad Valorem Tax:</v>
      </c>
      <c r="K28" s="332"/>
      <c r="L28" s="332"/>
      <c r="M28" s="342">
        <f>ROUND(F22*M27/1000,0)</f>
        <v>0</v>
      </c>
    </row>
    <row r="29" spans="1:13" ht="15">
      <c r="A29" s="7" t="s">
        <v>163</v>
      </c>
      <c r="B29" s="373">
        <f>inputPrYr!D59</f>
        <v>0</v>
      </c>
      <c r="C29" s="17"/>
      <c r="D29" s="373">
        <f>inputPrYr!E59</f>
        <v>0</v>
      </c>
      <c r="E29" s="17"/>
      <c r="F29" s="373">
        <v>0</v>
      </c>
      <c r="G29" s="17"/>
      <c r="H29" s="17"/>
      <c r="J29" s="339" t="str">
        <f>CONCATENATE("",H1," Tax Levy Fund Exp. Changed By:")</f>
        <v>2012 Tax Levy Fund Exp. Changed By:</v>
      </c>
      <c r="K29" s="340"/>
      <c r="L29" s="340"/>
      <c r="M29" s="334">
        <f>IF(M27=0,0,(M28-G18))</f>
        <v>0</v>
      </c>
    </row>
    <row r="30" spans="1:8" ht="15.75" thickBot="1">
      <c r="A30" s="7" t="s">
        <v>95</v>
      </c>
      <c r="B30" s="383">
        <f>SUM(B26:B29)</f>
        <v>0</v>
      </c>
      <c r="C30" s="17"/>
      <c r="D30" s="383">
        <f>SUM(D26:D29)</f>
        <v>0</v>
      </c>
      <c r="E30" s="17"/>
      <c r="F30" s="383">
        <f>SUM(F26:F29)</f>
        <v>0</v>
      </c>
      <c r="G30" s="17"/>
      <c r="H30" s="17"/>
    </row>
    <row r="31" spans="1:8" ht="15.75" thickTop="1">
      <c r="A31" s="7" t="s">
        <v>96</v>
      </c>
      <c r="B31" s="17"/>
      <c r="C31" s="17"/>
      <c r="D31" s="17"/>
      <c r="E31" s="17"/>
      <c r="F31" s="17"/>
      <c r="G31" s="17"/>
      <c r="H31" s="17"/>
    </row>
    <row r="32" spans="1:8" ht="15">
      <c r="A32" s="6"/>
      <c r="B32" s="6"/>
      <c r="C32" s="6"/>
      <c r="D32" s="6"/>
      <c r="E32" s="6"/>
      <c r="F32" s="6"/>
      <c r="G32" s="6"/>
      <c r="H32" s="6"/>
    </row>
    <row r="33" spans="1:8" ht="15">
      <c r="A33" s="6"/>
      <c r="B33" s="6"/>
      <c r="C33" s="6"/>
      <c r="D33" s="6"/>
      <c r="E33" s="6"/>
      <c r="F33" s="6"/>
      <c r="G33" s="6"/>
      <c r="H33" s="6"/>
    </row>
    <row r="34" spans="1:8" ht="15">
      <c r="A34" s="452"/>
      <c r="B34" s="453"/>
      <c r="C34" s="319"/>
      <c r="D34" s="6"/>
      <c r="E34" s="6"/>
      <c r="F34" s="6"/>
      <c r="G34" s="6"/>
      <c r="H34" s="6"/>
    </row>
    <row r="35" spans="1:8" ht="15">
      <c r="A35" s="318" t="s">
        <v>217</v>
      </c>
      <c r="B35" s="317" t="str">
        <f>inputBudSum!B4</f>
        <v>_______________</v>
      </c>
      <c r="C35" s="316"/>
      <c r="D35" s="6"/>
      <c r="E35" s="6"/>
      <c r="F35" s="6"/>
      <c r="G35" s="6"/>
      <c r="H35" s="6"/>
    </row>
    <row r="36" spans="1:8" ht="15">
      <c r="A36" s="16"/>
      <c r="B36" s="38"/>
      <c r="C36" s="39"/>
      <c r="D36" s="6"/>
      <c r="E36" s="6"/>
      <c r="F36" s="6"/>
      <c r="G36" s="6"/>
      <c r="H36" s="6"/>
    </row>
    <row r="37" spans="1:8" ht="15">
      <c r="A37" s="6"/>
      <c r="B37" s="6"/>
      <c r="C37" s="6"/>
      <c r="D37" s="6"/>
      <c r="E37" s="6"/>
      <c r="F37" s="6"/>
      <c r="G37" s="6"/>
      <c r="H37" s="6"/>
    </row>
    <row r="38" spans="1:8" ht="15">
      <c r="A38" s="6"/>
      <c r="B38" s="6"/>
      <c r="C38" s="6"/>
      <c r="D38" s="6"/>
      <c r="E38" s="6"/>
      <c r="F38" s="6"/>
      <c r="G38" s="6"/>
      <c r="H38" s="6"/>
    </row>
    <row r="39" spans="1:8" ht="15">
      <c r="A39" s="6"/>
      <c r="B39" s="6"/>
      <c r="C39" s="6"/>
      <c r="D39" s="6"/>
      <c r="E39" s="6"/>
      <c r="F39" s="6"/>
      <c r="G39" s="6"/>
      <c r="H39" s="6"/>
    </row>
    <row r="40" spans="1:8" ht="15">
      <c r="A40" s="6"/>
      <c r="B40" s="6"/>
      <c r="C40" s="6"/>
      <c r="D40" s="6"/>
      <c r="E40" s="6"/>
      <c r="F40" s="6"/>
      <c r="G40" s="6"/>
      <c r="H40" s="6"/>
    </row>
    <row r="41" spans="1:8" ht="15">
      <c r="A41" s="6"/>
      <c r="B41" s="6"/>
      <c r="C41" s="6"/>
      <c r="D41" s="6"/>
      <c r="E41" s="6"/>
      <c r="F41" s="6"/>
      <c r="G41" s="6"/>
      <c r="H41" s="6"/>
    </row>
    <row r="42" spans="1:8" ht="15">
      <c r="A42" s="6"/>
      <c r="B42" s="6"/>
      <c r="C42" s="6"/>
      <c r="D42" s="6"/>
      <c r="E42" s="6"/>
      <c r="F42" s="6"/>
      <c r="G42" s="6"/>
      <c r="H42" s="6"/>
    </row>
    <row r="43" spans="1:8" ht="15">
      <c r="A43" s="6"/>
      <c r="B43" s="6"/>
      <c r="C43" s="6"/>
      <c r="D43" s="6"/>
      <c r="E43" s="6"/>
      <c r="F43" s="6"/>
      <c r="G43" s="6"/>
      <c r="H43" s="6"/>
    </row>
    <row r="44" spans="1:8" ht="15">
      <c r="A44" s="6"/>
      <c r="B44" s="6"/>
      <c r="C44" s="6"/>
      <c r="D44" s="6"/>
      <c r="E44" s="6"/>
      <c r="F44" s="6"/>
      <c r="G44" s="6"/>
      <c r="H44" s="6"/>
    </row>
    <row r="45" spans="1:8" ht="15">
      <c r="A45" s="6"/>
      <c r="B45" s="6"/>
      <c r="C45" s="6"/>
      <c r="D45" s="6"/>
      <c r="E45" s="6"/>
      <c r="F45" s="6"/>
      <c r="G45" s="6"/>
      <c r="H45" s="6"/>
    </row>
    <row r="46" spans="1:8" ht="15">
      <c r="A46" s="6"/>
      <c r="B46" s="6"/>
      <c r="C46" s="6"/>
      <c r="D46" s="6"/>
      <c r="E46" s="6"/>
      <c r="F46" s="6"/>
      <c r="G46" s="6"/>
      <c r="H46" s="6"/>
    </row>
    <row r="47" spans="1:8" ht="15">
      <c r="A47" s="6"/>
      <c r="B47" s="6"/>
      <c r="C47" s="6"/>
      <c r="D47" s="6"/>
      <c r="E47" s="6"/>
      <c r="F47" s="6"/>
      <c r="G47" s="6"/>
      <c r="H47" s="6"/>
    </row>
    <row r="48" spans="1:8" ht="15">
      <c r="A48" s="6"/>
      <c r="B48" s="6"/>
      <c r="C48" s="17" t="s">
        <v>97</v>
      </c>
      <c r="D48" s="372">
        <v>6</v>
      </c>
      <c r="E48" s="6"/>
      <c r="F48" s="6"/>
      <c r="G48" s="6"/>
      <c r="H48" s="6"/>
    </row>
    <row r="49" spans="1:8" ht="15">
      <c r="A49" s="1"/>
      <c r="B49" s="1"/>
      <c r="C49" s="1"/>
      <c r="D49" s="1"/>
      <c r="E49" s="1"/>
      <c r="F49" s="1"/>
      <c r="G49" s="1"/>
      <c r="H49" s="1"/>
    </row>
    <row r="50" spans="9:13" ht="15">
      <c r="I50" s="1"/>
      <c r="J50" s="1"/>
      <c r="K50" s="1"/>
      <c r="L50" s="1"/>
      <c r="M50" s="1"/>
    </row>
    <row r="89" spans="1:8" ht="15">
      <c r="A89" s="1"/>
      <c r="B89" s="1"/>
      <c r="C89" s="1"/>
      <c r="D89" s="1"/>
      <c r="E89" s="1"/>
      <c r="F89" s="1"/>
      <c r="G89" s="1"/>
      <c r="H89" s="1"/>
    </row>
    <row r="90" ht="15">
      <c r="I90" s="1"/>
    </row>
    <row r="100" spans="1:8" ht="15">
      <c r="A100" s="1"/>
      <c r="B100" s="1"/>
      <c r="C100" s="1"/>
      <c r="D100" s="1"/>
      <c r="E100" s="1"/>
      <c r="F100" s="1"/>
      <c r="G100" s="1"/>
      <c r="H100" s="1"/>
    </row>
    <row r="122" spans="1:15" ht="15">
      <c r="A122" s="1"/>
      <c r="B122" s="1"/>
      <c r="C122" s="1"/>
      <c r="D122" s="1"/>
      <c r="E122" s="1"/>
      <c r="F122" s="1"/>
      <c r="G122" s="1"/>
      <c r="H122" s="1"/>
      <c r="I122" s="1"/>
      <c r="J122" s="1"/>
      <c r="K122" s="1"/>
      <c r="L122" s="1"/>
      <c r="M122" s="1"/>
      <c r="N122" s="1"/>
      <c r="O122" s="1"/>
    </row>
    <row r="166" spans="1:17" ht="15">
      <c r="A166" s="1"/>
      <c r="B166" s="1"/>
      <c r="C166" s="1"/>
      <c r="D166" s="1"/>
      <c r="E166" s="1"/>
      <c r="F166" s="1"/>
      <c r="G166" s="1"/>
      <c r="H166" s="1"/>
      <c r="I166" s="1"/>
      <c r="J166" s="1"/>
      <c r="K166" s="1"/>
      <c r="L166" s="1"/>
      <c r="M166" s="1"/>
      <c r="N166" s="1"/>
      <c r="O166" s="1"/>
      <c r="P166" s="1"/>
      <c r="Q166" s="1"/>
    </row>
  </sheetData>
  <sheetProtection/>
  <mergeCells count="9">
    <mergeCell ref="J24:M24"/>
    <mergeCell ref="J18:M18"/>
    <mergeCell ref="A34:B34"/>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&amp;R&amp;10State of Kansas
City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2011-07-26T22:47:48Z</cp:lastPrinted>
  <dcterms:created xsi:type="dcterms:W3CDTF">1998-12-22T16:13:18Z</dcterms:created>
  <dcterms:modified xsi:type="dcterms:W3CDTF">2014-01-21T20:39:42Z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C</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