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2576" windowHeight="9396" tabRatio="90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ervice" sheetId="14" r:id="rId14"/>
    <sheet name="levy page9" sheetId="15" r:id="rId15"/>
    <sheet name="levy page10" sheetId="16" r:id="rId16"/>
    <sheet name="levy page11" sheetId="17" r:id="rId17"/>
    <sheet name="levy page12" sheetId="18" r:id="rId18"/>
    <sheet name="levy page13" sheetId="19" r:id="rId19"/>
    <sheet name="Sp Hiway" sheetId="20" r:id="rId20"/>
    <sheet name="nolevypage15" sheetId="21" r:id="rId21"/>
    <sheet name="nolevypage16" sheetId="22" r:id="rId22"/>
    <sheet name="nolevypage17" sheetId="23" r:id="rId23"/>
    <sheet name="SinNoLevy18" sheetId="24" r:id="rId24"/>
    <sheet name="SinNoLevy19" sheetId="25" r:id="rId25"/>
    <sheet name="SinNoLevy20" sheetId="26" r:id="rId26"/>
    <sheet name="SinNoLevy21" sheetId="27" r:id="rId27"/>
    <sheet name="NonBudA" sheetId="28" r:id="rId28"/>
    <sheet name="NonBudB" sheetId="29" r:id="rId29"/>
    <sheet name="NonBudFunds" sheetId="30" r:id="rId30"/>
    <sheet name="summ" sheetId="31" r:id="rId31"/>
    <sheet name="nhood" sheetId="32" r:id="rId32"/>
    <sheet name="Ordinance" sheetId="33" r:id="rId33"/>
    <sheet name="Tab A" sheetId="34" r:id="rId34"/>
    <sheet name="Tab B" sheetId="35" r:id="rId35"/>
    <sheet name="Tab C" sheetId="36" r:id="rId36"/>
    <sheet name="Tab D" sheetId="37" r:id="rId37"/>
    <sheet name="Tab E" sheetId="38" r:id="rId38"/>
    <sheet name="Legend" sheetId="39" r:id="rId39"/>
  </sheets>
  <definedNames>
    <definedName name="_xlnm.Print_Area" localSheetId="12">'GenDetail'!$A$1:$D$61</definedName>
    <definedName name="_xlnm.Print_Area" localSheetId="1">'inputPrYr'!$A$1:$E$114</definedName>
    <definedName name="_xlnm.Print_Area" localSheetId="0">'Instructions'!$A$1:$A$94</definedName>
    <definedName name="_xlnm.Print_Area" localSheetId="15">'levy page10'!$A$1:$G$76</definedName>
    <definedName name="_xlnm.Print_Area" localSheetId="10">'lpform'!$A$1:$H$38</definedName>
    <definedName name="_xlnm.Print_Area" localSheetId="30">'summ'!$A$2:$H$63</definedName>
  </definedNames>
  <calcPr fullCalcOnLoad="1"/>
</workbook>
</file>

<file path=xl/sharedStrings.xml><?xml version="1.0" encoding="utf-8"?>
<sst xmlns="http://schemas.openxmlformats.org/spreadsheetml/2006/main" count="1535" uniqueCount="745">
  <si>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</si>
  <si>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</si>
  <si>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</si>
  <si>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</si>
  <si>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</si>
  <si>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</si>
  <si>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</si>
  <si>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</si>
  <si>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</si>
  <si>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</si>
  <si>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</si>
  <si>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</si>
  <si>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</si>
  <si>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</si>
  <si>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</si>
  <si>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</si>
  <si>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</si>
  <si>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</si>
  <si>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</si>
  <si>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</si>
  <si>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</si>
  <si>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</si>
  <si>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</si>
  <si>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</si>
  <si>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</si>
  <si>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</si>
  <si>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</si>
  <si>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</si>
  <si>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</si>
  <si>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</si>
  <si>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</si>
  <si>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</si>
  <si>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</si>
  <si>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</si>
  <si>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</si>
  <si>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</si>
  <si>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</si>
  <si>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</si>
  <si>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</si>
  <si>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</si>
  <si>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</si>
  <si>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</si>
  <si>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</si>
  <si>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</si>
  <si>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</si>
  <si>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</si>
  <si>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</si>
  <si>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</si>
  <si>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</si>
  <si>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</si>
  <si>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</si>
  <si>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</si>
  <si>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</si>
  <si>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</si>
  <si>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</si>
  <si>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</si>
  <si>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</si>
  <si>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</si>
  <si>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</si>
  <si>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</si>
  <si>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</si>
  <si>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</si>
  <si>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</si>
  <si>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</si>
  <si>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</si>
  <si>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</si>
  <si>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</si>
  <si>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</si>
  <si>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</si>
  <si>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</si>
  <si>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</si>
  <si>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</si>
  <si>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</si>
  <si>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</si>
  <si>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</si>
  <si>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</si>
  <si>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</si>
  <si>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</si>
  <si>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</si>
  <si>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</si>
  <si>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</si>
  <si>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</si>
  <si>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</si>
  <si>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</si>
  <si>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</si>
  <si>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</si>
  <si>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</si>
  <si>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</si>
  <si>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</si>
  <si>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</si>
  <si>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</si>
  <si>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</si>
  <si>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</si>
  <si>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</si>
  <si>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</si>
  <si>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</si>
  <si>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</si>
  <si>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</si>
  <si>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</si>
  <si>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</si>
  <si>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</si>
  <si>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</si>
  <si>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</si>
  <si>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</si>
  <si>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</si>
  <si>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</si>
  <si>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</si>
  <si>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</si>
  <si>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</si>
  <si>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</si>
  <si>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</si>
  <si>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</si>
  <si>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</si>
  <si>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</si>
  <si>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</si>
  <si>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</si>
  <si>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</si>
  <si>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</si>
  <si>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</si>
  <si>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</si>
  <si>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</si>
  <si>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</si>
  <si>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</si>
  <si>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</si>
  <si>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</si>
  <si>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</si>
  <si>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</si>
  <si>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</si>
  <si>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</si>
  <si>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</si>
  <si>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</si>
  <si>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</si>
  <si>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</si>
  <si>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</si>
  <si>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</si>
  <si>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</si>
  <si>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</si>
  <si>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</si>
  <si>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</si>
  <si>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</si>
  <si>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</si>
  <si>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</si>
  <si>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</si>
  <si>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</si>
  <si>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</si>
  <si>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</si>
  <si>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</si>
  <si>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</si>
  <si>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</si>
  <si>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</si>
  <si>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</si>
  <si>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</si>
  <si>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</si>
  <si>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</si>
  <si>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</si>
  <si>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</si>
  <si>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</si>
  <si>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</si>
  <si>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</si>
  <si>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</si>
  <si>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</si>
  <si>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</si>
  <si>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</si>
  <si>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</si>
  <si>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</si>
  <si>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</si>
  <si>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</si>
  <si>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</si>
  <si>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</si>
  <si>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</si>
  <si>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</si>
  <si>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</si>
  <si>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</si>
  <si>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</si>
  <si>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</si>
  <si>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</si>
  <si>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</si>
  <si>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</si>
  <si>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</si>
  <si>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</si>
  <si>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</si>
  <si>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</si>
  <si>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</si>
  <si>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</si>
  <si>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</si>
  <si>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</si>
  <si>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</si>
  <si>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</si>
  <si>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</si>
  <si>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</si>
  <si>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</si>
  <si>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</si>
  <si>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</si>
  <si>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</si>
  <si>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</si>
  <si>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</si>
  <si>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</si>
  <si>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</si>
  <si>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</si>
  <si>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</si>
  <si>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</si>
  <si>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</si>
  <si>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</si>
  <si>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</si>
  <si>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</si>
  <si>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</si>
  <si>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</si>
  <si>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</si>
  <si>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</si>
  <si>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</si>
  <si>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</si>
  <si>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</si>
  <si>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</si>
  <si>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</si>
  <si>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</si>
  <si>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</si>
  <si>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</si>
  <si>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</si>
  <si>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</si>
  <si>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</si>
  <si>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</si>
  <si>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10.  The spreadsheet has individual fund sheets for General Fund (general), Debt Service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</si>
  <si>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r>
      <t xml:space="preserve">10a.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</si>
  <si>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</si>
  <si>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</si>
  <si>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</si>
  <si>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10e. The 4 single no levy page (SinNoLevy18 to 21) are for a funds that has numerous lines for receipts or expenditures that does not fit on one of the other no levy pages.  Additional lines may be added as needed. </t>
  </si>
  <si>
    <r>
      <t>10f.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</si>
  <si>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10g.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</si>
  <si>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</si>
  <si>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</si>
  <si>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</si>
  <si>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10k.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</si>
  <si>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</si>
  <si>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</si>
  <si>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</si>
  <si>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</si>
  <si>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</si>
  <si>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</si>
  <si>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</si>
  <si>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</si>
  <si>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</si>
  <si>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</si>
  <si>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</si>
  <si>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</si>
  <si>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</si>
  <si>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</si>
  <si>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</si>
  <si>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</si>
  <si>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</si>
  <si>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</si>
  <si>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</si>
  <si>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</si>
  <si>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</si>
  <si>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</si>
  <si>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</si>
  <si>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</si>
  <si>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</si>
  <si>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</si>
  <si>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</si>
  <si>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JEWELL COUNTY</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</si>
  <si>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</si>
  <si>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</si>
  <si>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</si>
  <si>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</si>
  <si>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</si>
  <si>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</si>
  <si>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</si>
  <si>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</si>
  <si>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</si>
  <si>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</si>
  <si>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</si>
  <si>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</si>
  <si>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</si>
  <si>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</si>
  <si>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</si>
  <si>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</si>
  <si>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</si>
  <si>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</si>
  <si>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</si>
  <si>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</si>
  <si>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</si>
  <si>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</si>
  <si>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</si>
  <si>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</si>
  <si>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</si>
  <si>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</si>
  <si>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</si>
  <si>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</si>
  <si>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</si>
  <si>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</si>
  <si>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</si>
  <si>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</si>
  <si>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</si>
  <si>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</si>
  <si>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</si>
  <si>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</si>
  <si>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</si>
  <si>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</si>
  <si>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</si>
  <si>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</si>
  <si>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</si>
  <si>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</si>
  <si>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</si>
  <si>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</si>
  <si>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</si>
  <si>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</si>
  <si>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</si>
  <si>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</si>
  <si>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</si>
  <si>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</si>
  <si>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</si>
  <si>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</si>
  <si>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</si>
  <si>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</si>
  <si>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</si>
  <si>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</si>
  <si>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</si>
  <si>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</si>
  <si>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</si>
  <si>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</si>
  <si>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</si>
  <si>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</si>
  <si>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</si>
  <si>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</si>
  <si>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</si>
  <si>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</si>
  <si>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</si>
  <si>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</si>
  <si>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</si>
  <si>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</si>
  <si>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</si>
  <si>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</si>
  <si>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</si>
  <si>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</si>
  <si>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</si>
  <si>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</si>
  <si>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</si>
  <si>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</si>
  <si>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</si>
  <si>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</si>
  <si>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</si>
  <si>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</si>
  <si>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</si>
  <si>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</si>
  <si>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</si>
  <si>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</si>
  <si>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</si>
  <si>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</si>
  <si>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</si>
  <si>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</si>
  <si>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</si>
  <si>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</si>
  <si>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</si>
  <si>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</si>
  <si>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</si>
  <si>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</si>
  <si>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</si>
  <si>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</si>
  <si>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</si>
  <si>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</si>
  <si>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</si>
  <si>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</si>
  <si>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</si>
  <si>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</si>
  <si>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</si>
  <si>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</si>
  <si>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</si>
  <si>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</si>
  <si>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</si>
  <si>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</si>
  <si>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</si>
  <si>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</si>
  <si>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</si>
  <si>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</si>
  <si>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</si>
  <si>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</si>
  <si>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</si>
  <si>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</si>
  <si>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</si>
  <si>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</si>
  <si>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</si>
  <si>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</si>
  <si>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</si>
  <si>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</si>
  <si>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</si>
  <si>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</si>
  <si>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</si>
  <si>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</si>
  <si>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</si>
  <si>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</si>
  <si>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</si>
  <si>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</si>
  <si>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</si>
  <si>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</si>
  <si>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</si>
  <si>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</si>
  <si>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</si>
  <si>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</si>
  <si>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</si>
  <si>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</si>
  <si>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</si>
  <si>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</si>
  <si>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</si>
  <si>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</si>
  <si>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</si>
  <si>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</si>
  <si>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</si>
  <si>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</si>
  <si>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</si>
  <si>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</si>
  <si>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</si>
  <si>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</si>
  <si>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</si>
  <si>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</si>
  <si>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</si>
  <si>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</si>
  <si>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</si>
  <si>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</si>
  <si>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</si>
  <si>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</si>
  <si>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</si>
  <si>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</si>
  <si>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</si>
  <si>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</si>
  <si>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</si>
  <si>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</si>
  <si>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</si>
  <si>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</si>
  <si>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</si>
  <si>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</si>
  <si>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</si>
  <si>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</si>
  <si>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</si>
  <si>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In Lieu of Tax (IRB)</t>
  </si>
  <si>
    <t>Territory Added: (Current Year Only)</t>
  </si>
  <si>
    <t>Neighborhood Revitalization</t>
  </si>
  <si>
    <t>Bond &amp; Interest</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</si>
  <si>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</si>
  <si>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</si>
  <si>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</si>
  <si>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</si>
  <si>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</si>
  <si>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</si>
  <si>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</si>
  <si>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</si>
  <si>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</si>
  <si>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</si>
  <si>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</si>
  <si>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</si>
  <si>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</si>
  <si>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</si>
  <si>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</si>
  <si>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</si>
  <si>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</si>
  <si>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</si>
  <si>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</si>
  <si>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</si>
  <si>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</si>
  <si>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</si>
  <si>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</si>
  <si>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</si>
  <si>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</si>
  <si>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</si>
  <si>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</si>
  <si>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</si>
  <si>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</si>
  <si>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</si>
  <si>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</si>
  <si>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</si>
  <si>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</si>
  <si>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</si>
  <si>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</si>
  <si>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</si>
  <si>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</si>
  <si>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</si>
  <si>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</si>
  <si>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</si>
  <si>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</si>
  <si>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</si>
  <si>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</si>
  <si>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</si>
  <si>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</si>
  <si>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</si>
  <si>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</si>
  <si>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</si>
  <si>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</si>
  <si>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</si>
  <si>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</si>
  <si>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</si>
  <si>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</si>
  <si>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</si>
  <si>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</si>
  <si>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</si>
  <si>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</si>
  <si>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</si>
  <si>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</si>
  <si>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</si>
  <si>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</si>
  <si>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</si>
  <si>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</si>
  <si>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</si>
  <si>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</si>
  <si>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</si>
  <si>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</si>
  <si>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</si>
  <si>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</si>
  <si>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</si>
  <si>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</si>
  <si>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</si>
  <si>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</si>
  <si>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</si>
  <si>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</si>
  <si>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</si>
  <si>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</si>
  <si>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</si>
  <si>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</si>
  <si>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</si>
  <si>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</si>
  <si>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</si>
  <si>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November 1st Total Assessed Valuation</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</si>
  <si>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</si>
  <si>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</si>
  <si>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</si>
  <si>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</si>
  <si>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</si>
  <si>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</si>
  <si>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</si>
  <si>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</si>
  <si>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</si>
  <si>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</si>
  <si>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</si>
  <si>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</si>
  <si>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</si>
  <si>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</si>
  <si>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</si>
  <si>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</si>
  <si>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</si>
  <si>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</si>
  <si>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</si>
  <si>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</si>
  <si>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</si>
  <si>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</si>
  <si>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</si>
  <si>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</si>
  <si>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</si>
  <si>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</si>
  <si>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</si>
  <si>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 xml:space="preserve">FUND PAGE </t>
  </si>
  <si>
    <t>Miscellaneous</t>
  </si>
  <si>
    <t>Does miscellaneous exceed 10% of Total Receipts</t>
  </si>
  <si>
    <t>Neighborhood Revitalization Rebate</t>
  </si>
  <si>
    <t>Does miscellaneous exceed 10% of Total Expenditures</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</si>
  <si>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</si>
  <si>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</si>
  <si>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</si>
  <si>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</si>
  <si>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</si>
  <si>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Do not use the copy and move functions on this page.   Do not add or delete lines on this page</t>
    </r>
    <r>
      <rPr>
        <sz val="12"/>
        <rFont val="Times New Roman"/>
        <family val="1"/>
      </rPr>
      <t>.</t>
    </r>
  </si>
  <si>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</si>
  <si>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</si>
  <si>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</si>
  <si>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</si>
  <si>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</si>
  <si>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</si>
  <si>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</si>
  <si>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</si>
  <si>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</si>
  <si>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</si>
  <si>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</si>
  <si>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</si>
  <si>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</si>
  <si>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</si>
  <si>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</si>
  <si>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</si>
  <si>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</si>
  <si>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</si>
  <si>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</si>
  <si>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</si>
  <si>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</si>
  <si>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</si>
  <si>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</si>
  <si>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</si>
  <si>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</si>
  <si>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</si>
  <si>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</si>
  <si>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t>Non-Appr Bal</t>
  </si>
  <si>
    <r>
      <t>3a. Made the total expenditures block for the actual and current year to turn '</t>
    </r>
    <r>
      <rPr>
        <sz val="12"/>
        <color indexed="10"/>
        <rFont val="Times New Roman"/>
        <family val="1"/>
      </rPr>
      <t>Red</t>
    </r>
    <r>
      <rPr>
        <sz val="12"/>
        <rFont val="Times New Roman"/>
        <family val="1"/>
      </rPr>
      <t>' if violation occurs.</t>
    </r>
  </si>
  <si>
    <r>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</si>
  <si>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Tot Exp/Non-Appr Bal</t>
  </si>
  <si>
    <t xml:space="preserve"> Del Comp Rate:</t>
  </si>
  <si>
    <t>(Note: Should agree with general sub-totals.)</t>
  </si>
  <si>
    <r>
      <t xml:space="preserve"> Sub-Total detail page (</t>
    </r>
    <r>
      <rPr>
        <sz val="12"/>
        <color indexed="10"/>
        <rFont val="Times New Roman"/>
        <family val="1"/>
      </rPr>
      <t>Note should agree with detail</t>
    </r>
    <r>
      <rPr>
        <sz val="12"/>
        <rFont val="Times New Roman"/>
        <family val="1"/>
      </rPr>
      <t>)</t>
    </r>
  </si>
  <si>
    <t>General Fund - Detail Expenditures</t>
  </si>
  <si>
    <t>This spreadsheet has General Fund, General Fund detail page, Debt Service, 10 Tax Levy Funds, Special Highway, 7 No Tax Levy Funds, 4 Single No Tax Levy Funds, 2 Non-Budgeted pages which each page holds five non-budgeted funds.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</si>
  <si>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</si>
  <si>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</si>
  <si>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</si>
  <si>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</si>
  <si>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</si>
  <si>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</si>
  <si>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</si>
  <si>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</si>
  <si>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</si>
  <si>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</si>
  <si>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</si>
  <si>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</si>
  <si>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</si>
  <si>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</si>
  <si>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</si>
  <si>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</si>
  <si>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</si>
  <si>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</si>
  <si>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</si>
  <si>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</si>
  <si>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</si>
  <si>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</si>
  <si>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</si>
  <si>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</si>
  <si>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</si>
  <si>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</si>
  <si>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</si>
  <si>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</si>
  <si>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</si>
  <si>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</si>
  <si>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</si>
  <si>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</si>
  <si>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</si>
  <si>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</si>
  <si>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</si>
  <si>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</si>
  <si>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</si>
  <si>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</si>
  <si>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</si>
  <si>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</si>
  <si>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</si>
  <si>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</si>
  <si>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</si>
  <si>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</si>
  <si>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</si>
  <si>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</si>
  <si>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</si>
  <si>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</si>
  <si>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</si>
  <si>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</si>
  <si>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</si>
  <si>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</si>
  <si>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</si>
  <si>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</si>
  <si>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</si>
  <si>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</si>
  <si>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</si>
  <si>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</si>
  <si>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</si>
  <si>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</si>
  <si>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</si>
  <si>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</si>
  <si>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</si>
  <si>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</si>
  <si>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</si>
  <si>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</si>
  <si>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</si>
  <si>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</si>
  <si>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</si>
  <si>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</si>
  <si>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</si>
  <si>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</si>
  <si>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</si>
  <si>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</si>
  <si>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</si>
  <si>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</si>
  <si>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</si>
  <si>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</si>
  <si>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</si>
  <si>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</si>
  <si>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</si>
  <si>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</si>
  <si>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</si>
  <si>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</si>
  <si>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</si>
  <si>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</si>
  <si>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</si>
  <si>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</si>
  <si>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</si>
  <si>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</si>
  <si>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</si>
  <si>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</si>
  <si>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</si>
  <si>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</si>
  <si>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</si>
  <si>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</si>
  <si>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</si>
  <si>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</si>
  <si>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</si>
  <si>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</si>
  <si>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</si>
  <si>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</si>
  <si>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</si>
  <si>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</si>
  <si>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</si>
  <si>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</si>
  <si>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</si>
  <si>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</si>
  <si>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</si>
  <si>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Budget Law Violation</t>
  </si>
  <si>
    <t xml:space="preserve">Welcome.  You have been directed to this tab because your </t>
  </si>
  <si>
    <t>Water</t>
  </si>
  <si>
    <t>Sewer</t>
  </si>
  <si>
    <t>Gen-Cap Out-Equip Res Fund</t>
  </si>
  <si>
    <t>Water-Cap Out Equip Res Fund</t>
  </si>
  <si>
    <t>Sewer-Cap Out Equip Res Fund</t>
  </si>
  <si>
    <t>Sp Bldg Cap Out-Res Fund</t>
  </si>
  <si>
    <t>CITY OF BURR OAK</t>
  </si>
  <si>
    <t>August 2, 2011</t>
  </si>
  <si>
    <t>8:00 p.m.</t>
  </si>
  <si>
    <t>628 N. Main Street, Burr Oak, Kansas</t>
  </si>
  <si>
    <t>Debbie Patak</t>
  </si>
  <si>
    <t>Franchise Tax</t>
  </si>
  <si>
    <t>Licenses</t>
  </si>
  <si>
    <t>Building Permits</t>
  </si>
  <si>
    <t>State of KS - Sales Tax</t>
  </si>
  <si>
    <t>Street Expense</t>
  </si>
  <si>
    <t>Equipment Expense</t>
  </si>
  <si>
    <t>Salaries, Office and Other</t>
  </si>
  <si>
    <t>Utitilities</t>
  </si>
  <si>
    <t>Library</t>
  </si>
  <si>
    <t>Employee Benefits</t>
  </si>
  <si>
    <t>Street Repairs &amp; Maintenance</t>
  </si>
  <si>
    <t>(increased cost of street sealing)</t>
  </si>
  <si>
    <t>Water Customers</t>
  </si>
  <si>
    <t>Salaries, Office &amp; Other</t>
  </si>
  <si>
    <t>Utilities</t>
  </si>
  <si>
    <t>Transfer from Library</t>
  </si>
  <si>
    <t>Transfer from Employee Benefits</t>
  </si>
  <si>
    <t>Sewer Customers</t>
  </si>
  <si>
    <t xml:space="preserve">(major sewer pump repair 2010) </t>
  </si>
  <si>
    <t>For general building updates</t>
  </si>
  <si>
    <t>Equipment updates</t>
  </si>
  <si>
    <t>Equipment Updates</t>
  </si>
  <si>
    <t>Building updates</t>
  </si>
  <si>
    <t>Storm Clean-up</t>
  </si>
  <si>
    <t xml:space="preserve">Fema </t>
  </si>
  <si>
    <t>Transfer to Special Highway</t>
  </si>
  <si>
    <t>Burr Oak Community Center</t>
  </si>
  <si>
    <t>Fema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</si>
</sst>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s>
  <fonts count="6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double"/>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26">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81"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178" fontId="5" fillId="34" borderId="12" xfId="0" applyNumberFormat="1" applyFont="1" applyFill="1" applyBorder="1" applyAlignment="1" applyProtection="1">
      <alignment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180" fontId="5" fillId="39" borderId="12" xfId="0" applyNumberFormat="1" applyFont="1" applyFill="1" applyBorder="1" applyAlignment="1" applyProtection="1">
      <alignmen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0" fillId="40" borderId="12" xfId="0" applyFill="1" applyBorder="1" applyAlignment="1" applyProtection="1">
      <alignment vertical="center"/>
      <protection/>
    </xf>
    <xf numFmtId="0" fontId="18" fillId="40" borderId="17" xfId="0" applyFont="1" applyFill="1" applyBorder="1" applyAlignment="1" applyProtection="1">
      <alignment horizontal="center" vertical="center"/>
      <protection/>
    </xf>
    <xf numFmtId="0" fontId="9" fillId="35" borderId="0" xfId="0" applyFont="1" applyFill="1" applyAlignment="1" applyProtection="1">
      <alignment vertical="center" shrinkToFit="1"/>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0" fontId="5" fillId="39" borderId="2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177" fontId="5" fillId="33" borderId="14" xfId="42"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177" fontId="5" fillId="33" borderId="12" xfId="42" applyNumberFormat="1"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vertical="center" wrapText="1"/>
    </xf>
    <xf numFmtId="0" fontId="8" fillId="0" borderId="0" xfId="0" applyFont="1" applyAlignment="1">
      <alignment vertical="center"/>
    </xf>
    <xf numFmtId="0" fontId="25" fillId="0" borderId="0" xfId="0" applyFont="1" applyAlignment="1">
      <alignment vertical="center" wrapText="1"/>
    </xf>
    <xf numFmtId="0" fontId="27" fillId="0" borderId="0" xfId="0" applyFont="1" applyAlignment="1">
      <alignment vertical="center"/>
    </xf>
    <xf numFmtId="1" fontId="5" fillId="34" borderId="0" xfId="0" applyNumberFormat="1" applyFont="1" applyFill="1" applyBorder="1" applyAlignment="1" applyProtection="1">
      <alignment horizontal="right" vertical="center"/>
      <protection/>
    </xf>
    <xf numFmtId="0" fontId="4" fillId="34" borderId="0" xfId="163"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162"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0" fontId="5" fillId="34" borderId="17"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4" borderId="17"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7"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7" xfId="0" applyFont="1" applyFill="1" applyBorder="1" applyAlignment="1" applyProtection="1">
      <alignment horizontal="left" vertical="center"/>
      <protection/>
    </xf>
    <xf numFmtId="37" fontId="5" fillId="39" borderId="12" xfId="0" applyNumberFormat="1" applyFont="1" applyFill="1" applyBorder="1" applyAlignment="1" applyProtection="1">
      <alignmen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181" fontId="5" fillId="34" borderId="0" xfId="0" applyNumberFormat="1" applyFont="1" applyFill="1" applyAlignment="1" applyProtection="1">
      <alignment horizontal="center" vertical="center"/>
      <protection/>
    </xf>
    <xf numFmtId="37" fontId="5" fillId="41" borderId="24" xfId="0" applyNumberFormat="1" applyFont="1" applyFill="1" applyBorder="1" applyAlignment="1" applyProtection="1">
      <alignment vertical="center"/>
      <protection/>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7" fontId="5" fillId="34" borderId="17" xfId="0" applyNumberFormat="1" applyFont="1" applyFill="1" applyBorder="1" applyAlignment="1" applyProtection="1">
      <alignment horizontal="left" vertical="center"/>
      <protection/>
    </xf>
    <xf numFmtId="3" fontId="5" fillId="33" borderId="17" xfId="0" applyNumberFormat="1" applyFont="1" applyFill="1" applyBorder="1" applyAlignment="1" applyProtection="1">
      <alignment horizontal="right" vertical="center"/>
      <protection locked="0"/>
    </xf>
    <xf numFmtId="3" fontId="5" fillId="34" borderId="12" xfId="42" applyNumberFormat="1" applyFont="1" applyFill="1" applyBorder="1" applyAlignment="1" applyProtection="1">
      <alignment horizontal="right" vertical="center"/>
      <protection/>
    </xf>
    <xf numFmtId="3" fontId="5" fillId="34" borderId="12" xfId="0" applyNumberFormat="1" applyFont="1" applyFill="1" applyBorder="1" applyAlignment="1" applyProtection="1">
      <alignment horizontal="fill" vertical="center"/>
      <protection/>
    </xf>
    <xf numFmtId="3" fontId="5" fillId="33" borderId="12" xfId="0" applyNumberFormat="1" applyFont="1" applyFill="1" applyBorder="1" applyAlignment="1" applyProtection="1">
      <alignment horizontal="right" vertical="center"/>
      <protection locked="0"/>
    </xf>
    <xf numFmtId="3" fontId="5" fillId="34" borderId="12" xfId="0" applyNumberFormat="1" applyFont="1" applyFill="1" applyBorder="1" applyAlignment="1" applyProtection="1">
      <alignment horizontal="right" vertical="center"/>
      <protection/>
    </xf>
    <xf numFmtId="0" fontId="5" fillId="34" borderId="19" xfId="0" applyNumberFormat="1" applyFont="1" applyFill="1" applyBorder="1" applyAlignment="1" applyProtection="1">
      <alignment horizontal="left" vertical="center"/>
      <protection/>
    </xf>
    <xf numFmtId="0" fontId="5" fillId="33" borderId="19" xfId="0" applyNumberFormat="1" applyFont="1" applyFill="1" applyBorder="1" applyAlignment="1" applyProtection="1">
      <alignment horizontal="left" vertical="center"/>
      <protection locked="0"/>
    </xf>
    <xf numFmtId="37" fontId="5" fillId="33" borderId="17" xfId="0" applyNumberFormat="1" applyFont="1" applyFill="1" applyBorder="1" applyAlignment="1" applyProtection="1">
      <alignment horizontal="left" vertical="center"/>
      <protection/>
    </xf>
    <xf numFmtId="3" fontId="5" fillId="33" borderId="12" xfId="0" applyNumberFormat="1" applyFont="1" applyFill="1" applyBorder="1" applyAlignment="1" applyProtection="1">
      <alignment horizontal="right" vertical="center"/>
      <protection locked="0"/>
    </xf>
    <xf numFmtId="0" fontId="5" fillId="33" borderId="25" xfId="0" applyNumberFormat="1" applyFont="1" applyFill="1" applyBorder="1" applyAlignment="1" applyProtection="1">
      <alignment horizontal="left" vertical="center"/>
      <protection locked="0"/>
    </xf>
    <xf numFmtId="3" fontId="18" fillId="40" borderId="17" xfId="0" applyNumberFormat="1" applyFont="1" applyFill="1" applyBorder="1" applyAlignment="1" applyProtection="1">
      <alignment horizontal="center" vertical="center"/>
      <protection/>
    </xf>
    <xf numFmtId="3" fontId="18" fillId="40" borderId="12" xfId="0" applyNumberFormat="1" applyFont="1" applyFill="1" applyBorder="1" applyAlignment="1" applyProtection="1">
      <alignment horizontal="center" vertical="center"/>
      <protection/>
    </xf>
    <xf numFmtId="3" fontId="4" fillId="39" borderId="14" xfId="0" applyNumberFormat="1" applyFont="1" applyFill="1" applyBorder="1" applyAlignment="1" applyProtection="1">
      <alignment horizontal="right" vertical="center"/>
      <protection/>
    </xf>
    <xf numFmtId="3" fontId="4" fillId="39" borderId="12" xfId="0" applyNumberFormat="1"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3" fontId="5" fillId="40"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locked="0"/>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7"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0" fontId="5" fillId="34" borderId="0" xfId="0" applyFont="1" applyFill="1" applyBorder="1" applyAlignment="1" applyProtection="1">
      <alignment horizontal="left"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7" xfId="0" applyNumberFormat="1" applyFont="1" applyFill="1" applyBorder="1" applyAlignment="1" applyProtection="1">
      <alignment vertical="center"/>
      <protection locked="0"/>
    </xf>
    <xf numFmtId="37" fontId="5" fillId="33" borderId="19"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37" fontId="5" fillId="34" borderId="16" xfId="0" applyNumberFormat="1" applyFont="1" applyFill="1" applyBorder="1" applyAlignment="1" applyProtection="1">
      <alignment horizontal="left" vertical="center"/>
      <protection/>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vertical="center"/>
      <protection/>
    </xf>
    <xf numFmtId="37" fontId="5" fillId="34" borderId="24"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 fontId="5" fillId="34" borderId="27"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37" fontId="16" fillId="34"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5" fillId="0" borderId="0" xfId="99" applyFont="1" applyAlignment="1">
      <alignment vertical="center" wrapText="1"/>
      <protection/>
    </xf>
    <xf numFmtId="0" fontId="5" fillId="0" borderId="0" xfId="154" applyFont="1" applyAlignment="1">
      <alignment vertical="center" wrapText="1"/>
      <protection/>
    </xf>
    <xf numFmtId="0" fontId="5" fillId="0" borderId="0" xfId="150" applyFont="1" applyAlignment="1">
      <alignment vertical="center" wrapText="1"/>
      <protection/>
    </xf>
    <xf numFmtId="0" fontId="5" fillId="0" borderId="0" xfId="152" applyNumberFormat="1" applyFont="1" applyAlignment="1">
      <alignment vertical="center" wrapText="1"/>
      <protection/>
    </xf>
    <xf numFmtId="0" fontId="5" fillId="0" borderId="0" xfId="120" applyFont="1" applyAlignment="1">
      <alignment vertical="center" wrapText="1"/>
      <protection/>
    </xf>
    <xf numFmtId="0" fontId="5" fillId="0" borderId="0" xfId="67" applyFont="1" applyAlignment="1">
      <alignment vertical="center"/>
      <protection/>
    </xf>
    <xf numFmtId="0" fontId="5" fillId="0" borderId="0" xfId="67" applyFont="1" applyAlignment="1">
      <alignment vertical="center" wrapText="1"/>
      <protection/>
    </xf>
    <xf numFmtId="0" fontId="5" fillId="0" borderId="0" xfId="155" applyFont="1" applyAlignment="1">
      <alignment vertical="center"/>
      <protection/>
    </xf>
    <xf numFmtId="177" fontId="5" fillId="33" borderId="19" xfId="42" applyNumberFormat="1"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30" fillId="0" borderId="0" xfId="158">
      <alignment/>
      <protection/>
    </xf>
    <xf numFmtId="0" fontId="5" fillId="0" borderId="0" xfId="158" applyFont="1" applyAlignment="1">
      <alignment horizontal="left" vertical="center"/>
      <protection/>
    </xf>
    <xf numFmtId="0" fontId="30" fillId="0" borderId="0" xfId="158" applyNumberFormat="1" applyFont="1" applyAlignment="1">
      <alignment horizontal="left" vertical="center"/>
      <protection/>
    </xf>
    <xf numFmtId="49" fontId="5" fillId="33" borderId="0" xfId="158" applyNumberFormat="1" applyFont="1" applyFill="1" applyAlignment="1" applyProtection="1">
      <alignment horizontal="left" vertical="center"/>
      <protection locked="0"/>
    </xf>
    <xf numFmtId="187" fontId="15" fillId="0" borderId="0" xfId="158" applyNumberFormat="1" applyFont="1" applyAlignment="1">
      <alignment horizontal="left" vertical="center"/>
      <protection/>
    </xf>
    <xf numFmtId="49" fontId="5" fillId="0" borderId="0" xfId="158" applyNumberFormat="1" applyFont="1" applyAlignment="1">
      <alignment horizontal="left" vertical="center"/>
      <protection/>
    </xf>
    <xf numFmtId="0" fontId="15" fillId="0" borderId="0" xfId="158" applyFont="1" applyAlignment="1">
      <alignment horizontal="left" vertical="center"/>
      <protection/>
    </xf>
    <xf numFmtId="188" fontId="15" fillId="0" borderId="0" xfId="158" applyNumberFormat="1" applyFont="1" applyAlignment="1">
      <alignment horizontal="left" vertical="center"/>
      <protection/>
    </xf>
    <xf numFmtId="0" fontId="5" fillId="33" borderId="0" xfId="158" applyFont="1" applyFill="1" applyAlignment="1" applyProtection="1">
      <alignment horizontal="left" vertical="center"/>
      <protection locked="0"/>
    </xf>
    <xf numFmtId="0" fontId="30" fillId="33" borderId="0" xfId="158"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00" applyFont="1">
      <alignment/>
      <protection/>
    </xf>
    <xf numFmtId="0" fontId="0" fillId="0" borderId="0" xfId="10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74" applyFont="1" applyAlignment="1">
      <alignment vertical="center"/>
      <protection/>
    </xf>
    <xf numFmtId="0" fontId="5" fillId="0" borderId="0" xfId="76" applyFont="1" applyAlignment="1">
      <alignment vertical="center" wrapText="1"/>
      <protection/>
    </xf>
    <xf numFmtId="0" fontId="5" fillId="0" borderId="0" xfId="77" applyFont="1" applyAlignment="1">
      <alignment vertical="center" wrapText="1"/>
      <protection/>
    </xf>
    <xf numFmtId="0" fontId="5" fillId="0" borderId="0" xfId="78" applyFont="1" applyAlignment="1">
      <alignment vertical="center" wrapText="1"/>
      <protection/>
    </xf>
    <xf numFmtId="0" fontId="6" fillId="0" borderId="0" xfId="75" applyFont="1" applyAlignment="1">
      <alignment vertical="center"/>
      <protection/>
    </xf>
    <xf numFmtId="0" fontId="5" fillId="34" borderId="0" xfId="0" applyFont="1" applyFill="1" applyAlignment="1">
      <alignment/>
    </xf>
    <xf numFmtId="0" fontId="3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2" xfId="0" applyNumberFormat="1" applyFont="1" applyFill="1" applyBorder="1" applyAlignment="1" applyProtection="1">
      <alignment horizontal="center" vertical="center"/>
      <protection locked="0"/>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158" applyFont="1" applyAlignment="1">
      <alignment horizontal="left" vertical="center" wrapText="1"/>
      <protection/>
    </xf>
    <xf numFmtId="0" fontId="30" fillId="0" borderId="0" xfId="158" applyAlignment="1">
      <alignment horizontal="left" vertical="center" wrapText="1"/>
      <protection/>
    </xf>
    <xf numFmtId="0" fontId="14" fillId="0" borderId="0" xfId="158"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34" borderId="0" xfId="0"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35" borderId="18" xfId="0" applyFont="1" applyFill="1" applyBorder="1" applyAlignment="1" applyProtection="1">
      <alignment horizontal="center" vertical="center" wrapText="1" shrinkToFit="1"/>
      <protection/>
    </xf>
    <xf numFmtId="0" fontId="0" fillId="0" borderId="0" xfId="0"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9" borderId="19" xfId="0" applyNumberFormat="1" applyFont="1" applyFill="1" applyBorder="1" applyAlignment="1" applyProtection="1">
      <alignment vertical="center"/>
      <protection/>
    </xf>
    <xf numFmtId="37" fontId="5" fillId="39" borderId="17" xfId="0" applyNumberFormat="1" applyFont="1" applyFill="1" applyBorder="1" applyAlignment="1" applyProtection="1">
      <alignment vertical="center"/>
      <protection/>
    </xf>
    <xf numFmtId="37" fontId="5" fillId="40" borderId="19" xfId="0" applyNumberFormat="1" applyFont="1" applyFill="1" applyBorder="1" applyAlignment="1" applyProtection="1">
      <alignment vertical="center"/>
      <protection/>
    </xf>
    <xf numFmtId="37" fontId="5" fillId="40" borderId="17" xfId="0" applyNumberFormat="1" applyFont="1" applyFill="1" applyBorder="1" applyAlignment="1" applyProtection="1">
      <alignment vertical="center"/>
      <protection/>
    </xf>
    <xf numFmtId="3" fontId="5" fillId="34" borderId="19"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7" fontId="18" fillId="40" borderId="19" xfId="0" applyNumberFormat="1" applyFont="1" applyFill="1" applyBorder="1" applyAlignment="1" applyProtection="1">
      <alignment horizontal="center" vertical="center"/>
      <protection/>
    </xf>
    <xf numFmtId="37" fontId="18" fillId="40" borderId="17" xfId="0" applyNumberFormat="1" applyFont="1" applyFill="1" applyBorder="1" applyAlignment="1" applyProtection="1">
      <alignment horizontal="center" vertical="center"/>
      <protection/>
    </xf>
    <xf numFmtId="3" fontId="4" fillId="39" borderId="19" xfId="0" applyNumberFormat="1" applyFont="1" applyFill="1" applyBorder="1" applyAlignment="1" applyProtection="1">
      <alignment vertical="center"/>
      <protection/>
    </xf>
    <xf numFmtId="3" fontId="4" fillId="39"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37" fontId="5" fillId="34" borderId="26" xfId="0" applyNumberFormat="1" applyFont="1" applyFill="1" applyBorder="1" applyAlignment="1" applyProtection="1">
      <alignment horizontal="right" vertical="center"/>
      <protection/>
    </xf>
    <xf numFmtId="3" fontId="5" fillId="39" borderId="19" xfId="0" applyNumberFormat="1" applyFont="1" applyFill="1" applyBorder="1" applyAlignment="1" applyProtection="1">
      <alignment vertical="center"/>
      <protection/>
    </xf>
    <xf numFmtId="3" fontId="5" fillId="39" borderId="17" xfId="0" applyNumberFormat="1" applyFont="1" applyFill="1" applyBorder="1" applyAlignment="1" applyProtection="1">
      <alignment vertical="center"/>
      <protection/>
    </xf>
    <xf numFmtId="37" fontId="4" fillId="39" borderId="19" xfId="0" applyNumberFormat="1" applyFont="1" applyFill="1" applyBorder="1" applyAlignment="1" applyProtection="1">
      <alignment vertical="center"/>
      <protection/>
    </xf>
    <xf numFmtId="37" fontId="4" fillId="39" borderId="17" xfId="0" applyNumberFormat="1" applyFont="1" applyFill="1" applyBorder="1" applyAlignment="1" applyProtection="1">
      <alignment vertical="center"/>
      <protection/>
    </xf>
    <xf numFmtId="37" fontId="5"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3" xfId="0" applyFont="1" applyBorder="1" applyAlignment="1">
      <alignment vertical="center"/>
    </xf>
    <xf numFmtId="0" fontId="5" fillId="34" borderId="21" xfId="0" applyNumberFormat="1" applyFont="1" applyFill="1" applyBorder="1" applyAlignment="1" applyProtection="1">
      <alignment horizontal="center" vertical="center"/>
      <protection/>
    </xf>
    <xf numFmtId="0" fontId="5" fillId="34" borderId="16" xfId="0" applyNumberFormat="1"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1" fontId="5" fillId="34" borderId="23"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lignment vertical="center"/>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26" xfId="0" applyBorder="1" applyAlignment="1">
      <alignment horizontal="right" vertical="center"/>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3" fontId="5" fillId="34" borderId="19" xfId="0" applyNumberFormat="1" applyFont="1" applyFill="1" applyBorder="1" applyAlignment="1" applyProtection="1">
      <alignment horizontal="right" vertical="center"/>
      <protection/>
    </xf>
    <xf numFmtId="3" fontId="5" fillId="34" borderId="17" xfId="0" applyNumberFormat="1" applyFont="1" applyFill="1" applyBorder="1" applyAlignment="1" applyProtection="1">
      <alignment horizontal="right" vertical="center"/>
      <protection/>
    </xf>
    <xf numFmtId="3" fontId="18" fillId="40" borderId="19" xfId="0" applyNumberFormat="1" applyFont="1" applyFill="1" applyBorder="1" applyAlignment="1" applyProtection="1">
      <alignment horizontal="center" vertical="center"/>
      <protection/>
    </xf>
    <xf numFmtId="3" fontId="18" fillId="40" borderId="17" xfId="0" applyNumberFormat="1" applyFont="1" applyFill="1" applyBorder="1" applyAlignment="1" applyProtection="1">
      <alignment horizontal="center" vertical="center"/>
      <protection/>
    </xf>
    <xf numFmtId="3" fontId="4" fillId="39" borderId="19" xfId="0" applyNumberFormat="1" applyFont="1" applyFill="1" applyBorder="1" applyAlignment="1" applyProtection="1">
      <alignment horizontal="right" vertical="center"/>
      <protection/>
    </xf>
    <xf numFmtId="0" fontId="0" fillId="0" borderId="17" xfId="0" applyBorder="1" applyAlignment="1">
      <alignment horizontal="right" vertical="center"/>
    </xf>
    <xf numFmtId="3" fontId="5" fillId="39" borderId="19" xfId="0" applyNumberFormat="1" applyFont="1" applyFill="1" applyBorder="1" applyAlignment="1" applyProtection="1">
      <alignment horizontal="right" vertical="center"/>
      <protection/>
    </xf>
    <xf numFmtId="3" fontId="5" fillId="39" borderId="17" xfId="0" applyNumberFormat="1" applyFont="1" applyFill="1" applyBorder="1" applyAlignment="1" applyProtection="1">
      <alignment horizontal="right" vertical="center"/>
      <protection/>
    </xf>
    <xf numFmtId="3" fontId="4" fillId="39" borderId="17" xfId="0" applyNumberFormat="1" applyFont="1" applyFill="1" applyBorder="1" applyAlignment="1" applyProtection="1">
      <alignment horizontal="right" vertical="center"/>
      <protection/>
    </xf>
    <xf numFmtId="3" fontId="4" fillId="39" borderId="21" xfId="0" applyNumberFormat="1" applyFont="1" applyFill="1" applyBorder="1" applyAlignment="1" applyProtection="1">
      <alignment horizontal="right" vertical="center"/>
      <protection/>
    </xf>
    <xf numFmtId="0" fontId="0" fillId="0" borderId="16" xfId="0" applyBorder="1" applyAlignment="1">
      <alignment horizontal="right" vertical="center"/>
    </xf>
    <xf numFmtId="1" fontId="5" fillId="34" borderId="16" xfId="0" applyNumberFormat="1" applyFont="1" applyFill="1" applyBorder="1" applyAlignment="1" applyProtection="1">
      <alignment horizontal="center" vertical="center"/>
      <protection/>
    </xf>
    <xf numFmtId="3" fontId="5" fillId="33" borderId="19" xfId="0" applyNumberFormat="1" applyFont="1" applyFill="1" applyBorder="1" applyAlignment="1" applyProtection="1">
      <alignment horizontal="right" vertical="center"/>
      <protection locked="0"/>
    </xf>
    <xf numFmtId="3" fontId="5" fillId="33" borderId="17" xfId="0" applyNumberFormat="1" applyFont="1" applyFill="1" applyBorder="1" applyAlignment="1" applyProtection="1">
      <alignment horizontal="right" vertical="center"/>
      <protection locked="0"/>
    </xf>
    <xf numFmtId="3" fontId="5" fillId="34" borderId="19" xfId="42" applyNumberFormat="1" applyFont="1" applyFill="1" applyBorder="1" applyAlignment="1" applyProtection="1">
      <alignment horizontal="right" vertical="center"/>
      <protection/>
    </xf>
    <xf numFmtId="3" fontId="5" fillId="34" borderId="17" xfId="42" applyNumberFormat="1" applyFont="1" applyFill="1" applyBorder="1" applyAlignment="1" applyProtection="1">
      <alignment horizontal="right" vertical="center"/>
      <protection/>
    </xf>
    <xf numFmtId="0" fontId="5" fillId="34" borderId="19" xfId="0" applyFont="1" applyFill="1" applyBorder="1" applyAlignment="1" applyProtection="1">
      <alignment vertical="center"/>
      <protection/>
    </xf>
    <xf numFmtId="0" fontId="5" fillId="34" borderId="17" xfId="0"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5" fillId="34" borderId="19" xfId="0" applyFont="1" applyFill="1" applyBorder="1" applyAlignment="1">
      <alignment vertical="center"/>
    </xf>
    <xf numFmtId="0" fontId="5" fillId="34" borderId="17" xfId="0" applyFont="1" applyFill="1" applyBorder="1" applyAlignment="1">
      <alignment vertical="center"/>
    </xf>
    <xf numFmtId="0" fontId="5" fillId="33" borderId="0" xfId="0" applyFont="1" applyFill="1" applyAlignment="1" applyProtection="1">
      <alignment horizontal="center" vertical="center"/>
      <protection locked="0"/>
    </xf>
    <xf numFmtId="0" fontId="0" fillId="33" borderId="0" xfId="0" applyFill="1" applyAlignment="1" applyProtection="1">
      <alignment vertical="center"/>
      <protection locked="0"/>
    </xf>
    <xf numFmtId="37" fontId="5" fillId="34" borderId="0" xfId="73" applyNumberFormat="1" applyFont="1" applyFill="1" applyAlignment="1" applyProtection="1">
      <alignment horizontal="center"/>
      <protection/>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left" vertical="justify" wrapText="1"/>
    </xf>
    <xf numFmtId="0" fontId="5" fillId="0" borderId="0" xfId="0" applyFont="1" applyAlignment="1">
      <alignment horizontal="center" wrapText="1"/>
    </xf>
    <xf numFmtId="0" fontId="5" fillId="0" borderId="0" xfId="0" applyFont="1" applyAlignment="1">
      <alignment horizontal="right"/>
    </xf>
    <xf numFmtId="0" fontId="5" fillId="0" borderId="0" xfId="0" applyFont="1" applyAlignment="1" applyProtection="1">
      <alignment horizontal="left" vertical="justify"/>
      <protection locked="0"/>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Hyperlink 4" xfId="61"/>
    <cellStyle name="Hyperlink 5" xfId="62"/>
    <cellStyle name="Hyperlink 6" xfId="63"/>
    <cellStyle name="Input" xfId="64"/>
    <cellStyle name="Linked Cell" xfId="65"/>
    <cellStyle name="Neutral" xfId="66"/>
    <cellStyle name="Normal 10" xfId="67"/>
    <cellStyle name="Normal 11" xfId="68"/>
    <cellStyle name="Normal 12" xfId="69"/>
    <cellStyle name="Normal 12 2" xfId="70"/>
    <cellStyle name="Normal 13" xfId="71"/>
    <cellStyle name="Normal 13 2" xfId="72"/>
    <cellStyle name="Normal 14" xfId="73"/>
    <cellStyle name="Normal 15" xfId="74"/>
    <cellStyle name="Normal 16" xfId="75"/>
    <cellStyle name="Normal 17" xfId="76"/>
    <cellStyle name="Normal 18" xfId="77"/>
    <cellStyle name="Normal 19" xfId="78"/>
    <cellStyle name="Normal 2" xfId="79"/>
    <cellStyle name="Normal 2 10" xfId="80"/>
    <cellStyle name="Normal 2 10 2" xfId="81"/>
    <cellStyle name="Normal 2 10 3" xfId="82"/>
    <cellStyle name="Normal 2 10 4" xfId="83"/>
    <cellStyle name="Normal 2 10 5" xfId="84"/>
    <cellStyle name="Normal 2 10 6" xfId="85"/>
    <cellStyle name="Normal 2 10 7" xfId="86"/>
    <cellStyle name="Normal 2 10 8" xfId="87"/>
    <cellStyle name="Normal 2 11" xfId="88"/>
    <cellStyle name="Normal 2 11 2" xfId="89"/>
    <cellStyle name="Normal 2 11 3" xfId="90"/>
    <cellStyle name="Normal 2 11 4" xfId="91"/>
    <cellStyle name="Normal 2 11 5" xfId="92"/>
    <cellStyle name="Normal 2 11 6" xfId="93"/>
    <cellStyle name="Normal 2 11 7" xfId="94"/>
    <cellStyle name="Normal 2 11 8" xfId="95"/>
    <cellStyle name="Normal 2 12" xfId="96"/>
    <cellStyle name="Normal 2 13" xfId="97"/>
    <cellStyle name="Normal 2 14" xfId="98"/>
    <cellStyle name="Normal 2 2" xfId="99"/>
    <cellStyle name="Normal 2 2 10" xfId="100"/>
    <cellStyle name="Normal 2 2 11" xfId="101"/>
    <cellStyle name="Normal 2 2 12" xfId="102"/>
    <cellStyle name="Normal 2 2 13" xfId="103"/>
    <cellStyle name="Normal 2 2 14" xfId="104"/>
    <cellStyle name="Normal 2 2 15" xfId="105"/>
    <cellStyle name="Normal 2 2 2" xfId="106"/>
    <cellStyle name="Normal 2 2 3" xfId="107"/>
    <cellStyle name="Normal 2 2 4" xfId="108"/>
    <cellStyle name="Normal 2 2 5" xfId="109"/>
    <cellStyle name="Normal 2 2 6" xfId="110"/>
    <cellStyle name="Normal 2 2 7" xfId="111"/>
    <cellStyle name="Normal 2 2 8" xfId="112"/>
    <cellStyle name="Normal 2 2 9" xfId="113"/>
    <cellStyle name="Normal 2 3" xfId="114"/>
    <cellStyle name="Normal 2 3 2" xfId="115"/>
    <cellStyle name="Normal 2 3 3" xfId="116"/>
    <cellStyle name="Normal 2 4" xfId="117"/>
    <cellStyle name="Normal 2 4 2" xfId="118"/>
    <cellStyle name="Normal 2 4 3" xfId="119"/>
    <cellStyle name="Normal 2 5" xfId="120"/>
    <cellStyle name="Normal 2 5 2" xfId="121"/>
    <cellStyle name="Normal 2 5 3" xfId="122"/>
    <cellStyle name="Normal 2 6" xfId="123"/>
    <cellStyle name="Normal 2 6 2" xfId="124"/>
    <cellStyle name="Normal 2 6 3" xfId="125"/>
    <cellStyle name="Normal 2 7" xfId="126"/>
    <cellStyle name="Normal 2 7 2" xfId="127"/>
    <cellStyle name="Normal 2 7 3" xfId="128"/>
    <cellStyle name="Normal 2 7 4" xfId="129"/>
    <cellStyle name="Normal 2 7 5" xfId="130"/>
    <cellStyle name="Normal 2 7 6" xfId="131"/>
    <cellStyle name="Normal 2 7 7" xfId="132"/>
    <cellStyle name="Normal 2 7 8" xfId="133"/>
    <cellStyle name="Normal 2 8" xfId="134"/>
    <cellStyle name="Normal 2 8 2" xfId="135"/>
    <cellStyle name="Normal 2 8 3" xfId="136"/>
    <cellStyle name="Normal 2 8 4" xfId="137"/>
    <cellStyle name="Normal 2 8 5" xfId="138"/>
    <cellStyle name="Normal 2 8 6" xfId="139"/>
    <cellStyle name="Normal 2 8 7" xfId="140"/>
    <cellStyle name="Normal 2 8 8" xfId="141"/>
    <cellStyle name="Normal 2 9" xfId="142"/>
    <cellStyle name="Normal 2 9 2" xfId="143"/>
    <cellStyle name="Normal 2 9 3" xfId="144"/>
    <cellStyle name="Normal 2 9 4" xfId="145"/>
    <cellStyle name="Normal 2 9 5" xfId="146"/>
    <cellStyle name="Normal 2 9 6" xfId="147"/>
    <cellStyle name="Normal 2 9 7" xfId="148"/>
    <cellStyle name="Normal 2 9 8" xfId="149"/>
    <cellStyle name="Normal 3" xfId="150"/>
    <cellStyle name="Normal 3 2" xfId="151"/>
    <cellStyle name="Normal 4" xfId="152"/>
    <cellStyle name="Normal 4 2" xfId="153"/>
    <cellStyle name="Normal 5" xfId="154"/>
    <cellStyle name="Normal 6" xfId="155"/>
    <cellStyle name="Normal 6 2" xfId="156"/>
    <cellStyle name="Normal 7" xfId="157"/>
    <cellStyle name="Normal 7 2" xfId="158"/>
    <cellStyle name="Normal 7 3" xfId="159"/>
    <cellStyle name="Normal 8" xfId="160"/>
    <cellStyle name="Normal 9" xfId="161"/>
    <cellStyle name="Normal_debt" xfId="162"/>
    <cellStyle name="Normal_lpform" xfId="163"/>
    <cellStyle name="Note" xfId="164"/>
    <cellStyle name="Output" xfId="165"/>
    <cellStyle name="Percent" xfId="166"/>
    <cellStyle name="Title" xfId="167"/>
    <cellStyle name="Total" xfId="168"/>
    <cellStyle name="Warning Text" xfId="169"/>
  </cellStyles>
  <dxfs count="24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7"/>
  <sheetViews>
    <sheetView tabSelected="1" zoomScale="80" zoomScaleNormal="80" zoomScalePageLayoutView="0" workbookViewId="0" topLeftCell="A1">
      <selection activeCell="A78" sqref="A78"/>
    </sheetView>
  </sheetViews>
  <sheetFormatPr defaultColWidth="8.8984375" defaultRowHeight="15"/>
  <cols>
    <col min="1" max="1" width="75.69921875" style="8" customWidth="1"/>
    <col min="2" max="16384" width="8.8984375" style="8" customWidth="1"/>
  </cols>
  <sheetData>
    <row r="1" ht="15">
      <c r="A1" s="7" t="s">
        <v>523</v>
      </c>
    </row>
    <row r="3" ht="34.5" customHeight="1">
      <c r="A3" s="9" t="s">
        <v>509</v>
      </c>
    </row>
    <row r="4" ht="15">
      <c r="A4" s="10"/>
    </row>
    <row r="5" ht="85.5" customHeight="1">
      <c r="A5" s="11" t="s">
        <v>553</v>
      </c>
    </row>
    <row r="6" ht="15">
      <c r="A6" s="11"/>
    </row>
    <row r="7" ht="55.5" customHeight="1">
      <c r="A7" s="11" t="s">
        <v>594</v>
      </c>
    </row>
    <row r="8" ht="15">
      <c r="A8" s="11"/>
    </row>
    <row r="9" ht="15">
      <c r="A9" s="7" t="s">
        <v>556</v>
      </c>
    </row>
    <row r="10" ht="15">
      <c r="A10" s="7"/>
    </row>
    <row r="11" ht="15">
      <c r="A11" s="10" t="s">
        <v>559</v>
      </c>
    </row>
    <row r="13" ht="38.25" customHeight="1">
      <c r="A13" s="12" t="s">
        <v>627</v>
      </c>
    </row>
    <row r="14" ht="14.25" customHeight="1">
      <c r="A14" s="12"/>
    </row>
    <row r="16" ht="15">
      <c r="A16" s="7" t="s">
        <v>619</v>
      </c>
    </row>
    <row r="18" ht="34.5" customHeight="1">
      <c r="A18" s="11" t="s">
        <v>557</v>
      </c>
    </row>
    <row r="19" ht="12" customHeight="1">
      <c r="A19" s="11"/>
    </row>
    <row r="20" ht="16.5" customHeight="1">
      <c r="A20" s="13" t="s">
        <v>507</v>
      </c>
    </row>
    <row r="21" ht="9.75" customHeight="1">
      <c r="A21" s="14"/>
    </row>
    <row r="22" ht="15">
      <c r="A22" s="15" t="s">
        <v>522</v>
      </c>
    </row>
    <row r="23" ht="15">
      <c r="A23" s="16"/>
    </row>
    <row r="24" ht="85.5" customHeight="1">
      <c r="A24" s="17" t="s">
        <v>533</v>
      </c>
    </row>
    <row r="25" ht="19.5" customHeight="1">
      <c r="A25" s="11"/>
    </row>
    <row r="26" ht="19.5" customHeight="1">
      <c r="A26" s="18" t="s">
        <v>508</v>
      </c>
    </row>
    <row r="28" ht="15">
      <c r="A28" s="19" t="s">
        <v>554</v>
      </c>
    </row>
    <row r="30" ht="20.25" customHeight="1">
      <c r="A30" s="11" t="s">
        <v>555</v>
      </c>
    </row>
    <row r="32" ht="15">
      <c r="A32" s="7" t="s">
        <v>347</v>
      </c>
    </row>
    <row r="34" ht="69" customHeight="1">
      <c r="A34" s="11" t="s">
        <v>558</v>
      </c>
    </row>
    <row r="35" ht="38.25" customHeight="1">
      <c r="A35" s="11" t="s">
        <v>534</v>
      </c>
    </row>
    <row r="36" ht="51" customHeight="1">
      <c r="A36" s="20" t="s">
        <v>510</v>
      </c>
    </row>
    <row r="37" ht="11.25" customHeight="1"/>
    <row r="38" ht="80.25" customHeight="1">
      <c r="A38" s="11" t="s">
        <v>588</v>
      </c>
    </row>
    <row r="39" ht="67.5" customHeight="1">
      <c r="A39" s="11" t="s">
        <v>595</v>
      </c>
    </row>
    <row r="40" ht="103.5" customHeight="1">
      <c r="A40" s="11" t="s">
        <v>596</v>
      </c>
    </row>
    <row r="41" ht="12.75" customHeight="1"/>
    <row r="42" ht="73.5" customHeight="1">
      <c r="A42" s="418" t="s">
        <v>209</v>
      </c>
    </row>
    <row r="43" ht="69.75" customHeight="1">
      <c r="A43" s="419" t="s">
        <v>210</v>
      </c>
    </row>
    <row r="44" ht="12.75" customHeight="1"/>
    <row r="45" ht="67.5" customHeight="1">
      <c r="A45" s="11" t="s">
        <v>211</v>
      </c>
    </row>
    <row r="46" ht="37.5" customHeight="1">
      <c r="A46" s="11" t="s">
        <v>212</v>
      </c>
    </row>
    <row r="47" ht="72.75" customHeight="1">
      <c r="A47" s="11" t="s">
        <v>213</v>
      </c>
    </row>
    <row r="48" ht="13.5" customHeight="1">
      <c r="A48" s="11"/>
    </row>
    <row r="49" ht="70.5" customHeight="1">
      <c r="A49" s="11" t="s">
        <v>214</v>
      </c>
    </row>
    <row r="50" ht="126" customHeight="1">
      <c r="A50" s="11" t="s">
        <v>215</v>
      </c>
    </row>
    <row r="51" ht="35.25" customHeight="1">
      <c r="A51" s="11" t="s">
        <v>216</v>
      </c>
    </row>
    <row r="52" ht="15.75" customHeight="1">
      <c r="A52" s="11"/>
    </row>
    <row r="53" ht="83.25" customHeight="1">
      <c r="A53" s="11" t="s">
        <v>217</v>
      </c>
    </row>
    <row r="54" ht="12.75" customHeight="1"/>
    <row r="55" ht="71.25" customHeight="1">
      <c r="A55" s="11" t="s">
        <v>218</v>
      </c>
    </row>
    <row r="56" ht="45" customHeight="1">
      <c r="A56" s="11" t="s">
        <v>245</v>
      </c>
    </row>
    <row r="57" ht="97.5" customHeight="1">
      <c r="A57" s="11" t="s">
        <v>247</v>
      </c>
    </row>
    <row r="58" ht="42.75" customHeight="1">
      <c r="A58" s="386" t="s">
        <v>246</v>
      </c>
    </row>
    <row r="59" ht="14.25" customHeight="1"/>
    <row r="60" s="11" customFormat="1" ht="58.5" customHeight="1">
      <c r="A60" s="11" t="s">
        <v>219</v>
      </c>
    </row>
    <row r="62" ht="69" customHeight="1">
      <c r="A62" s="11" t="s">
        <v>220</v>
      </c>
    </row>
    <row r="63" ht="11.25" customHeight="1"/>
    <row r="64" ht="96.75" customHeight="1">
      <c r="A64" s="11" t="s">
        <v>221</v>
      </c>
    </row>
    <row r="65" ht="131.25" customHeight="1">
      <c r="A65" s="11" t="s">
        <v>222</v>
      </c>
    </row>
    <row r="66" ht="77.25" customHeight="1">
      <c r="A66" s="11" t="s">
        <v>223</v>
      </c>
    </row>
    <row r="67" ht="112.5" customHeight="1">
      <c r="A67" s="11" t="s">
        <v>224</v>
      </c>
    </row>
    <row r="68" ht="138" customHeight="1">
      <c r="A68" s="11" t="s">
        <v>225</v>
      </c>
    </row>
    <row r="69" ht="57.75" customHeight="1">
      <c r="A69" s="11" t="s">
        <v>226</v>
      </c>
    </row>
    <row r="70" ht="120.75" customHeight="1">
      <c r="A70" s="387" t="s">
        <v>227</v>
      </c>
    </row>
    <row r="71" ht="57" customHeight="1">
      <c r="A71" s="11" t="s">
        <v>228</v>
      </c>
    </row>
    <row r="72" ht="90.75" customHeight="1">
      <c r="A72" s="11" t="s">
        <v>229</v>
      </c>
    </row>
    <row r="73" ht="122.25" customHeight="1">
      <c r="A73" s="388" t="s">
        <v>230</v>
      </c>
    </row>
    <row r="74" ht="111.75" customHeight="1">
      <c r="A74" s="389" t="s">
        <v>231</v>
      </c>
    </row>
    <row r="75" ht="64.5" customHeight="1">
      <c r="A75" s="390" t="s">
        <v>232</v>
      </c>
    </row>
    <row r="76" ht="15" customHeight="1"/>
    <row r="77" ht="131.25" customHeight="1">
      <c r="A77" s="11" t="s">
        <v>233</v>
      </c>
    </row>
    <row r="78" ht="129.75" customHeight="1">
      <c r="A78" s="11" t="s">
        <v>234</v>
      </c>
    </row>
    <row r="79" ht="53.25" customHeight="1">
      <c r="A79" s="11" t="s">
        <v>235</v>
      </c>
    </row>
    <row r="80" ht="20.25" customHeight="1">
      <c r="A80" s="11" t="s">
        <v>236</v>
      </c>
    </row>
    <row r="81" ht="14.25" customHeight="1">
      <c r="A81" s="11"/>
    </row>
    <row r="82" ht="54" customHeight="1">
      <c r="A82" s="11" t="s">
        <v>237</v>
      </c>
    </row>
    <row r="83" ht="41.25" customHeight="1">
      <c r="A83" s="420" t="s">
        <v>239</v>
      </c>
    </row>
    <row r="84" ht="45" customHeight="1">
      <c r="A84" s="420" t="s">
        <v>240</v>
      </c>
    </row>
    <row r="85" ht="66" customHeight="1">
      <c r="A85" s="420" t="s">
        <v>241</v>
      </c>
    </row>
    <row r="86" ht="15" customHeight="1">
      <c r="A86" s="11"/>
    </row>
    <row r="87" ht="72" customHeight="1">
      <c r="A87" s="11" t="s">
        <v>238</v>
      </c>
    </row>
  </sheetData>
  <sheetProtection sheet="1"/>
  <printOptions/>
  <pageMargins left="0.5" right="0.5" top="0.5" bottom="0.5" header="0.5" footer="0.25"/>
  <pageSetup blackAndWhite="1" fitToHeight="2" horizontalDpi="300" verticalDpi="300" orientation="portrait" scale="90" r:id="rId1"/>
  <headerFooter alignWithMargins="0">
    <oddFooter>&amp;Lrevised 12/08/09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A9" sqref="A9"/>
    </sheetView>
  </sheetViews>
  <sheetFormatPr defaultColWidth="8.8984375" defaultRowHeight="15"/>
  <cols>
    <col min="1" max="1" width="20.69921875" style="23" customWidth="1"/>
    <col min="2" max="3" width="7.69921875" style="23" customWidth="1"/>
    <col min="4" max="4" width="8.69921875" style="23" customWidth="1"/>
    <col min="5" max="5" width="12.69921875" style="23" customWidth="1"/>
    <col min="6" max="6" width="13.69921875" style="23" customWidth="1"/>
    <col min="7" max="12" width="9.69921875" style="23" customWidth="1"/>
    <col min="13" max="16384" width="8.8984375" style="23" customWidth="1"/>
  </cols>
  <sheetData>
    <row r="1" spans="1:12" ht="18.75" customHeight="1">
      <c r="A1" s="162" t="str">
        <f>inputPrYr!$D$2</f>
        <v>CITY OF BURR OAK</v>
      </c>
      <c r="B1" s="22"/>
      <c r="C1" s="22"/>
      <c r="D1" s="22"/>
      <c r="E1" s="22"/>
      <c r="F1" s="22"/>
      <c r="G1" s="22"/>
      <c r="H1" s="22"/>
      <c r="I1" s="22"/>
      <c r="J1" s="22"/>
      <c r="K1" s="22"/>
      <c r="L1" s="206">
        <f>inputPrYr!$C$5</f>
        <v>2012</v>
      </c>
    </row>
    <row r="2" spans="1:12" ht="15">
      <c r="A2" s="162"/>
      <c r="B2" s="22"/>
      <c r="C2" s="22"/>
      <c r="D2" s="22"/>
      <c r="E2" s="22"/>
      <c r="F2" s="22"/>
      <c r="G2" s="22"/>
      <c r="H2" s="22"/>
      <c r="I2" s="22"/>
      <c r="J2" s="22"/>
      <c r="K2" s="22"/>
      <c r="L2" s="157"/>
    </row>
    <row r="3" spans="1:12" ht="15">
      <c r="A3" s="207" t="s">
        <v>355</v>
      </c>
      <c r="B3" s="33"/>
      <c r="C3" s="33"/>
      <c r="D3" s="33"/>
      <c r="E3" s="33"/>
      <c r="F3" s="33"/>
      <c r="G3" s="33"/>
      <c r="H3" s="33"/>
      <c r="I3" s="33"/>
      <c r="J3" s="33"/>
      <c r="K3" s="33"/>
      <c r="L3" s="33"/>
    </row>
    <row r="4" spans="1:12" ht="15">
      <c r="A4" s="22"/>
      <c r="B4" s="208"/>
      <c r="C4" s="208"/>
      <c r="D4" s="208"/>
      <c r="E4" s="208"/>
      <c r="F4" s="208"/>
      <c r="G4" s="208"/>
      <c r="H4" s="208"/>
      <c r="I4" s="208"/>
      <c r="J4" s="208"/>
      <c r="K4" s="208"/>
      <c r="L4" s="208"/>
    </row>
    <row r="5" spans="1:12" ht="15">
      <c r="A5" s="22"/>
      <c r="B5" s="177" t="s">
        <v>322</v>
      </c>
      <c r="C5" s="177" t="s">
        <v>322</v>
      </c>
      <c r="D5" s="177" t="s">
        <v>337</v>
      </c>
      <c r="E5" s="177"/>
      <c r="F5" s="177" t="s">
        <v>468</v>
      </c>
      <c r="G5" s="22"/>
      <c r="H5" s="22"/>
      <c r="I5" s="209" t="s">
        <v>323</v>
      </c>
      <c r="J5" s="210"/>
      <c r="K5" s="209" t="s">
        <v>323</v>
      </c>
      <c r="L5" s="210"/>
    </row>
    <row r="6" spans="1:12" ht="15">
      <c r="A6" s="22"/>
      <c r="B6" s="131" t="s">
        <v>324</v>
      </c>
      <c r="C6" s="131" t="s">
        <v>469</v>
      </c>
      <c r="D6" s="131" t="s">
        <v>325</v>
      </c>
      <c r="E6" s="131" t="s">
        <v>278</v>
      </c>
      <c r="F6" s="131" t="s">
        <v>470</v>
      </c>
      <c r="G6" s="454" t="s">
        <v>326</v>
      </c>
      <c r="H6" s="455"/>
      <c r="I6" s="456">
        <f>L1-1</f>
        <v>2011</v>
      </c>
      <c r="J6" s="457"/>
      <c r="K6" s="456">
        <f>L1</f>
        <v>2012</v>
      </c>
      <c r="L6" s="457"/>
    </row>
    <row r="7" spans="1:12" ht="15">
      <c r="A7" s="212" t="s">
        <v>327</v>
      </c>
      <c r="B7" s="134" t="s">
        <v>328</v>
      </c>
      <c r="C7" s="134" t="s">
        <v>471</v>
      </c>
      <c r="D7" s="134" t="s">
        <v>300</v>
      </c>
      <c r="E7" s="134" t="s">
        <v>329</v>
      </c>
      <c r="F7" s="211" t="str">
        <f>CONCATENATE("Jan 1,",L1-1,"")</f>
        <v>Jan 1,2011</v>
      </c>
      <c r="G7" s="141" t="s">
        <v>337</v>
      </c>
      <c r="H7" s="141" t="s">
        <v>339</v>
      </c>
      <c r="I7" s="141" t="s">
        <v>337</v>
      </c>
      <c r="J7" s="141" t="s">
        <v>339</v>
      </c>
      <c r="K7" s="141" t="s">
        <v>337</v>
      </c>
      <c r="L7" s="141" t="s">
        <v>339</v>
      </c>
    </row>
    <row r="8" spans="1:12" ht="15">
      <c r="A8" s="212" t="s">
        <v>330</v>
      </c>
      <c r="B8" s="48"/>
      <c r="C8" s="48"/>
      <c r="D8" s="213"/>
      <c r="E8" s="214"/>
      <c r="F8" s="214"/>
      <c r="G8" s="48"/>
      <c r="H8" s="48"/>
      <c r="I8" s="214"/>
      <c r="J8" s="214"/>
      <c r="K8" s="214"/>
      <c r="L8" s="214"/>
    </row>
    <row r="9" spans="1:12" ht="15">
      <c r="A9" s="54"/>
      <c r="B9" s="425"/>
      <c r="C9" s="425"/>
      <c r="D9" s="215"/>
      <c r="E9" s="216"/>
      <c r="F9" s="217"/>
      <c r="G9" s="218"/>
      <c r="H9" s="218"/>
      <c r="I9" s="217"/>
      <c r="J9" s="217"/>
      <c r="K9" s="217"/>
      <c r="L9" s="217"/>
    </row>
    <row r="10" spans="1:12" ht="15">
      <c r="A10" s="54"/>
      <c r="B10" s="425"/>
      <c r="C10" s="425"/>
      <c r="D10" s="215"/>
      <c r="E10" s="216"/>
      <c r="F10" s="217"/>
      <c r="G10" s="218"/>
      <c r="H10" s="218"/>
      <c r="I10" s="217"/>
      <c r="J10" s="217"/>
      <c r="K10" s="217"/>
      <c r="L10" s="217"/>
    </row>
    <row r="11" spans="1:12" ht="15">
      <c r="A11" s="54"/>
      <c r="B11" s="425"/>
      <c r="C11" s="425"/>
      <c r="D11" s="215"/>
      <c r="E11" s="216"/>
      <c r="F11" s="217"/>
      <c r="G11" s="218"/>
      <c r="H11" s="218"/>
      <c r="I11" s="217"/>
      <c r="J11" s="217"/>
      <c r="K11" s="217"/>
      <c r="L11" s="217"/>
    </row>
    <row r="12" spans="1:12" ht="15">
      <c r="A12" s="54"/>
      <c r="B12" s="425"/>
      <c r="C12" s="425"/>
      <c r="D12" s="215"/>
      <c r="E12" s="216"/>
      <c r="F12" s="217"/>
      <c r="G12" s="218"/>
      <c r="H12" s="218"/>
      <c r="I12" s="217"/>
      <c r="J12" s="217"/>
      <c r="K12" s="217"/>
      <c r="L12" s="217"/>
    </row>
    <row r="13" spans="1:12" ht="15">
      <c r="A13" s="54"/>
      <c r="B13" s="425"/>
      <c r="C13" s="425"/>
      <c r="D13" s="215"/>
      <c r="E13" s="216"/>
      <c r="F13" s="217"/>
      <c r="G13" s="218"/>
      <c r="H13" s="218"/>
      <c r="I13" s="217"/>
      <c r="J13" s="217"/>
      <c r="K13" s="217"/>
      <c r="L13" s="217"/>
    </row>
    <row r="14" spans="1:12" ht="15">
      <c r="A14" s="54"/>
      <c r="B14" s="425"/>
      <c r="C14" s="425"/>
      <c r="D14" s="215"/>
      <c r="E14" s="216"/>
      <c r="F14" s="217"/>
      <c r="G14" s="218"/>
      <c r="H14" s="218"/>
      <c r="I14" s="217"/>
      <c r="J14" s="217"/>
      <c r="K14" s="217"/>
      <c r="L14" s="217"/>
    </row>
    <row r="15" spans="1:12" ht="15">
      <c r="A15" s="54"/>
      <c r="B15" s="425"/>
      <c r="C15" s="425"/>
      <c r="D15" s="215"/>
      <c r="E15" s="216"/>
      <c r="F15" s="217"/>
      <c r="G15" s="218"/>
      <c r="H15" s="218"/>
      <c r="I15" s="217"/>
      <c r="J15" s="217"/>
      <c r="K15" s="217"/>
      <c r="L15" s="217"/>
    </row>
    <row r="16" spans="1:12" ht="15">
      <c r="A16" s="54"/>
      <c r="B16" s="425"/>
      <c r="C16" s="425"/>
      <c r="D16" s="215"/>
      <c r="E16" s="216"/>
      <c r="F16" s="217"/>
      <c r="G16" s="218"/>
      <c r="H16" s="218"/>
      <c r="I16" s="217"/>
      <c r="J16" s="217"/>
      <c r="K16" s="217"/>
      <c r="L16" s="217"/>
    </row>
    <row r="17" spans="1:12" ht="15">
      <c r="A17" s="54"/>
      <c r="B17" s="425"/>
      <c r="C17" s="425"/>
      <c r="D17" s="215"/>
      <c r="E17" s="216"/>
      <c r="F17" s="217"/>
      <c r="G17" s="218"/>
      <c r="H17" s="218"/>
      <c r="I17" s="217"/>
      <c r="J17" s="217"/>
      <c r="K17" s="217"/>
      <c r="L17" s="217"/>
    </row>
    <row r="18" spans="1:12" ht="15">
      <c r="A18" s="54"/>
      <c r="B18" s="425"/>
      <c r="C18" s="425"/>
      <c r="D18" s="215"/>
      <c r="E18" s="216"/>
      <c r="F18" s="217"/>
      <c r="G18" s="218"/>
      <c r="H18" s="218"/>
      <c r="I18" s="217"/>
      <c r="J18" s="217"/>
      <c r="K18" s="217"/>
      <c r="L18" s="217"/>
    </row>
    <row r="19" spans="1:12" ht="15">
      <c r="A19" s="54"/>
      <c r="B19" s="425"/>
      <c r="C19" s="425"/>
      <c r="D19" s="215"/>
      <c r="E19" s="216"/>
      <c r="F19" s="217"/>
      <c r="G19" s="218"/>
      <c r="H19" s="218"/>
      <c r="I19" s="217"/>
      <c r="J19" s="217"/>
      <c r="K19" s="217"/>
      <c r="L19" s="217"/>
    </row>
    <row r="20" spans="1:12" ht="15">
      <c r="A20" s="219" t="s">
        <v>331</v>
      </c>
      <c r="B20" s="220"/>
      <c r="C20" s="220"/>
      <c r="D20" s="221"/>
      <c r="E20" s="222"/>
      <c r="F20" s="223">
        <f>SUM(F9:F19)</f>
        <v>0</v>
      </c>
      <c r="G20" s="224"/>
      <c r="H20" s="224"/>
      <c r="I20" s="223">
        <f>SUM(I9:I19)</f>
        <v>0</v>
      </c>
      <c r="J20" s="223">
        <f>SUM(J9:J19)</f>
        <v>0</v>
      </c>
      <c r="K20" s="223">
        <f>SUM(K9:K19)</f>
        <v>0</v>
      </c>
      <c r="L20" s="223">
        <f>SUM(L9:L19)</f>
        <v>0</v>
      </c>
    </row>
    <row r="21" spans="1:12" ht="15">
      <c r="A21" s="212" t="s">
        <v>332</v>
      </c>
      <c r="B21" s="225"/>
      <c r="C21" s="225"/>
      <c r="D21" s="226"/>
      <c r="E21" s="198"/>
      <c r="F21" s="198"/>
      <c r="G21" s="227"/>
      <c r="H21" s="227"/>
      <c r="I21" s="198"/>
      <c r="J21" s="198"/>
      <c r="K21" s="198"/>
      <c r="L21" s="198"/>
    </row>
    <row r="22" spans="1:12" ht="15">
      <c r="A22" s="54"/>
      <c r="B22" s="425"/>
      <c r="C22" s="425"/>
      <c r="D22" s="215"/>
      <c r="E22" s="216"/>
      <c r="F22" s="217"/>
      <c r="G22" s="218"/>
      <c r="H22" s="218"/>
      <c r="I22" s="217"/>
      <c r="J22" s="217"/>
      <c r="K22" s="217"/>
      <c r="L22" s="217"/>
    </row>
    <row r="23" spans="1:12" ht="15">
      <c r="A23" s="54"/>
      <c r="B23" s="425"/>
      <c r="C23" s="425"/>
      <c r="D23" s="215"/>
      <c r="E23" s="216"/>
      <c r="F23" s="217"/>
      <c r="G23" s="218"/>
      <c r="H23" s="218"/>
      <c r="I23" s="217"/>
      <c r="J23" s="217"/>
      <c r="K23" s="217"/>
      <c r="L23" s="217"/>
    </row>
    <row r="24" spans="1:12" ht="15">
      <c r="A24" s="54"/>
      <c r="B24" s="425"/>
      <c r="C24" s="425"/>
      <c r="D24" s="215"/>
      <c r="E24" s="216"/>
      <c r="F24" s="217"/>
      <c r="G24" s="218"/>
      <c r="H24" s="218"/>
      <c r="I24" s="217"/>
      <c r="J24" s="217"/>
      <c r="K24" s="217"/>
      <c r="L24" s="217"/>
    </row>
    <row r="25" spans="1:12" ht="15">
      <c r="A25" s="54"/>
      <c r="B25" s="425"/>
      <c r="C25" s="425"/>
      <c r="D25" s="215"/>
      <c r="E25" s="216"/>
      <c r="F25" s="217"/>
      <c r="G25" s="218"/>
      <c r="H25" s="218"/>
      <c r="I25" s="217"/>
      <c r="J25" s="217"/>
      <c r="K25" s="217"/>
      <c r="L25" s="217"/>
    </row>
    <row r="26" spans="1:12" ht="15">
      <c r="A26" s="54"/>
      <c r="B26" s="425"/>
      <c r="C26" s="425"/>
      <c r="D26" s="215"/>
      <c r="E26" s="216"/>
      <c r="F26" s="217"/>
      <c r="G26" s="218"/>
      <c r="H26" s="218"/>
      <c r="I26" s="217"/>
      <c r="J26" s="217"/>
      <c r="K26" s="217"/>
      <c r="L26" s="217"/>
    </row>
    <row r="27" spans="1:12" ht="15">
      <c r="A27" s="54"/>
      <c r="B27" s="425"/>
      <c r="C27" s="425"/>
      <c r="D27" s="215"/>
      <c r="E27" s="216"/>
      <c r="F27" s="217"/>
      <c r="G27" s="218"/>
      <c r="H27" s="218"/>
      <c r="I27" s="217"/>
      <c r="J27" s="217"/>
      <c r="K27" s="217"/>
      <c r="L27" s="217"/>
    </row>
    <row r="28" spans="1:12" ht="15">
      <c r="A28" s="54"/>
      <c r="B28" s="425"/>
      <c r="C28" s="425"/>
      <c r="D28" s="215"/>
      <c r="E28" s="216"/>
      <c r="F28" s="217"/>
      <c r="G28" s="218"/>
      <c r="H28" s="218"/>
      <c r="I28" s="217"/>
      <c r="J28" s="217"/>
      <c r="K28" s="217"/>
      <c r="L28" s="217"/>
    </row>
    <row r="29" spans="1:12" ht="15">
      <c r="A29" s="54"/>
      <c r="B29" s="425"/>
      <c r="C29" s="425"/>
      <c r="D29" s="215"/>
      <c r="E29" s="216"/>
      <c r="F29" s="217"/>
      <c r="G29" s="218"/>
      <c r="H29" s="218"/>
      <c r="I29" s="217"/>
      <c r="J29" s="217"/>
      <c r="K29" s="217"/>
      <c r="L29" s="217"/>
    </row>
    <row r="30" spans="1:12" ht="15">
      <c r="A30" s="54"/>
      <c r="B30" s="425"/>
      <c r="C30" s="425"/>
      <c r="D30" s="215"/>
      <c r="E30" s="216"/>
      <c r="F30" s="217"/>
      <c r="G30" s="218"/>
      <c r="H30" s="218"/>
      <c r="I30" s="217"/>
      <c r="J30" s="217"/>
      <c r="K30" s="217"/>
      <c r="L30" s="217"/>
    </row>
    <row r="31" spans="1:12" ht="15">
      <c r="A31" s="54"/>
      <c r="B31" s="425"/>
      <c r="C31" s="425"/>
      <c r="D31" s="215"/>
      <c r="E31" s="216"/>
      <c r="F31" s="217"/>
      <c r="G31" s="218"/>
      <c r="H31" s="218"/>
      <c r="I31" s="217"/>
      <c r="J31" s="217"/>
      <c r="K31" s="217"/>
      <c r="L31" s="217"/>
    </row>
    <row r="32" spans="1:12" ht="15">
      <c r="A32" s="219" t="s">
        <v>333</v>
      </c>
      <c r="B32" s="220"/>
      <c r="C32" s="220"/>
      <c r="D32" s="228"/>
      <c r="E32" s="222"/>
      <c r="F32" s="229">
        <f>SUM(F22:F31)</f>
        <v>0</v>
      </c>
      <c r="G32" s="224"/>
      <c r="H32" s="224"/>
      <c r="I32" s="229">
        <f>SUM(I22:I31)</f>
        <v>0</v>
      </c>
      <c r="J32" s="229">
        <f>SUM(J22:J31)</f>
        <v>0</v>
      </c>
      <c r="K32" s="223">
        <f>SUM(K22:K31)</f>
        <v>0</v>
      </c>
      <c r="L32" s="229">
        <f>SUM(L22:L31)</f>
        <v>0</v>
      </c>
    </row>
    <row r="33" spans="1:12" ht="15">
      <c r="A33" s="212" t="s">
        <v>334</v>
      </c>
      <c r="B33" s="225"/>
      <c r="C33" s="225"/>
      <c r="D33" s="226"/>
      <c r="E33" s="198"/>
      <c r="F33" s="230"/>
      <c r="G33" s="227"/>
      <c r="H33" s="227"/>
      <c r="I33" s="198"/>
      <c r="J33" s="198"/>
      <c r="K33" s="198"/>
      <c r="L33" s="198"/>
    </row>
    <row r="34" spans="1:12" ht="15">
      <c r="A34" s="54"/>
      <c r="B34" s="425"/>
      <c r="C34" s="425"/>
      <c r="D34" s="215"/>
      <c r="E34" s="216"/>
      <c r="F34" s="217"/>
      <c r="G34" s="218"/>
      <c r="H34" s="218"/>
      <c r="I34" s="217"/>
      <c r="J34" s="217"/>
      <c r="K34" s="217"/>
      <c r="L34" s="217"/>
    </row>
    <row r="35" spans="1:12" ht="15">
      <c r="A35" s="54"/>
      <c r="B35" s="425"/>
      <c r="C35" s="425"/>
      <c r="D35" s="215"/>
      <c r="E35" s="216"/>
      <c r="F35" s="217"/>
      <c r="G35" s="218"/>
      <c r="H35" s="218"/>
      <c r="I35" s="217"/>
      <c r="J35" s="217"/>
      <c r="K35" s="217"/>
      <c r="L35" s="217"/>
    </row>
    <row r="36" spans="1:12" ht="15">
      <c r="A36" s="54"/>
      <c r="B36" s="425"/>
      <c r="C36" s="425"/>
      <c r="D36" s="215"/>
      <c r="E36" s="216"/>
      <c r="F36" s="217"/>
      <c r="G36" s="218"/>
      <c r="H36" s="218"/>
      <c r="I36" s="217"/>
      <c r="J36" s="217"/>
      <c r="K36" s="217"/>
      <c r="L36" s="217"/>
    </row>
    <row r="37" spans="1:12" ht="15">
      <c r="A37" s="54"/>
      <c r="B37" s="425"/>
      <c r="C37" s="425"/>
      <c r="D37" s="215"/>
      <c r="E37" s="216"/>
      <c r="F37" s="217"/>
      <c r="G37" s="218"/>
      <c r="H37" s="218"/>
      <c r="I37" s="217"/>
      <c r="J37" s="217"/>
      <c r="K37" s="217"/>
      <c r="L37" s="217"/>
    </row>
    <row r="38" spans="1:12" ht="15">
      <c r="A38" s="54"/>
      <c r="B38" s="425"/>
      <c r="C38" s="425"/>
      <c r="D38" s="215"/>
      <c r="E38" s="216"/>
      <c r="F38" s="217"/>
      <c r="G38" s="218"/>
      <c r="H38" s="218"/>
      <c r="I38" s="217"/>
      <c r="J38" s="217"/>
      <c r="K38" s="217"/>
      <c r="L38" s="217"/>
    </row>
    <row r="39" spans="1:12" ht="15">
      <c r="A39" s="54"/>
      <c r="B39" s="425"/>
      <c r="C39" s="425"/>
      <c r="D39" s="215"/>
      <c r="E39" s="216"/>
      <c r="F39" s="217"/>
      <c r="G39" s="218"/>
      <c r="H39" s="218"/>
      <c r="I39" s="217"/>
      <c r="J39" s="217"/>
      <c r="K39" s="217"/>
      <c r="L39" s="217"/>
    </row>
    <row r="40" spans="1:12" ht="15">
      <c r="A40" s="54"/>
      <c r="B40" s="425"/>
      <c r="C40" s="425"/>
      <c r="D40" s="215"/>
      <c r="E40" s="216"/>
      <c r="F40" s="217"/>
      <c r="G40" s="218"/>
      <c r="H40" s="218"/>
      <c r="I40" s="217"/>
      <c r="J40" s="217"/>
      <c r="K40" s="217"/>
      <c r="L40" s="217"/>
    </row>
    <row r="41" spans="1:28" ht="15">
      <c r="A41" s="54"/>
      <c r="B41" s="425"/>
      <c r="C41" s="425"/>
      <c r="D41" s="215"/>
      <c r="E41" s="216"/>
      <c r="F41" s="217"/>
      <c r="G41" s="218"/>
      <c r="H41" s="218"/>
      <c r="I41" s="217"/>
      <c r="J41" s="217"/>
      <c r="K41" s="217"/>
      <c r="L41" s="217"/>
      <c r="M41" s="8"/>
      <c r="N41" s="8"/>
      <c r="O41" s="8"/>
      <c r="P41" s="8"/>
      <c r="Q41" s="8"/>
      <c r="R41" s="8"/>
      <c r="S41" s="8"/>
      <c r="T41" s="8"/>
      <c r="U41" s="8"/>
      <c r="V41" s="8"/>
      <c r="W41" s="8"/>
      <c r="X41" s="8"/>
      <c r="Y41" s="8"/>
      <c r="Z41" s="8"/>
      <c r="AA41" s="8"/>
      <c r="AB41" s="8"/>
    </row>
    <row r="42" spans="1:12" ht="15">
      <c r="A42" s="219" t="s">
        <v>472</v>
      </c>
      <c r="B42" s="197"/>
      <c r="C42" s="197"/>
      <c r="D42" s="228"/>
      <c r="E42" s="222"/>
      <c r="F42" s="229">
        <f>SUM(F34:F41)</f>
        <v>0</v>
      </c>
      <c r="G42" s="222"/>
      <c r="H42" s="222"/>
      <c r="I42" s="229">
        <f>SUM(I34:I41)</f>
        <v>0</v>
      </c>
      <c r="J42" s="229">
        <f>SUM(J34:J41)</f>
        <v>0</v>
      </c>
      <c r="K42" s="229">
        <f>SUM(K34:K41)</f>
        <v>0</v>
      </c>
      <c r="L42" s="229">
        <f>SUM(L34:L41)</f>
        <v>0</v>
      </c>
    </row>
    <row r="43" spans="1:12" ht="15">
      <c r="A43" s="219" t="s">
        <v>335</v>
      </c>
      <c r="B43" s="197"/>
      <c r="C43" s="197"/>
      <c r="D43" s="197"/>
      <c r="E43" s="222"/>
      <c r="F43" s="229">
        <f>SUM(F20+F32+F42)</f>
        <v>0</v>
      </c>
      <c r="G43" s="222"/>
      <c r="H43" s="222"/>
      <c r="I43" s="229">
        <f>SUM(I20+I32+I42)</f>
        <v>0</v>
      </c>
      <c r="J43" s="229">
        <f>SUM(J20+J32+J42)</f>
        <v>0</v>
      </c>
      <c r="K43" s="229">
        <f>SUM(K20+K32+K42)</f>
        <v>0</v>
      </c>
      <c r="L43" s="229">
        <f>SUM(L20+L32+L42)</f>
        <v>0</v>
      </c>
    </row>
    <row r="44" spans="1:12" ht="15">
      <c r="A44" s="8"/>
      <c r="B44" s="8"/>
      <c r="C44" s="8"/>
      <c r="D44" s="8"/>
      <c r="E44" s="8"/>
      <c r="F44" s="8"/>
      <c r="G44" s="8"/>
      <c r="H44" s="8"/>
      <c r="I44" s="8"/>
      <c r="J44" s="8"/>
      <c r="K44" s="8"/>
      <c r="L44" s="8"/>
    </row>
    <row r="45" spans="5:12" ht="15">
      <c r="E45" s="231"/>
      <c r="F45" s="231"/>
      <c r="I45" s="231"/>
      <c r="J45" s="231"/>
      <c r="K45" s="231"/>
      <c r="L45" s="231"/>
    </row>
    <row r="46" spans="5:13" ht="15">
      <c r="E46" s="8"/>
      <c r="G46" s="232"/>
      <c r="M46" s="8"/>
    </row>
    <row r="47" spans="1:12" ht="15">
      <c r="A47" s="8"/>
      <c r="B47" s="8"/>
      <c r="C47" s="8"/>
      <c r="D47" s="8"/>
      <c r="E47" s="8"/>
      <c r="F47" s="8"/>
      <c r="G47" s="8"/>
      <c r="H47" s="8"/>
      <c r="I47" s="8"/>
      <c r="J47" s="8"/>
      <c r="K47" s="8"/>
      <c r="L47" s="8"/>
    </row>
    <row r="48" spans="1:12" ht="15">
      <c r="A48" s="8"/>
      <c r="B48" s="8"/>
      <c r="C48" s="8"/>
      <c r="D48" s="8"/>
      <c r="E48" s="8"/>
      <c r="F48" s="8"/>
      <c r="G48" s="8"/>
      <c r="H48" s="8"/>
      <c r="I48" s="8"/>
      <c r="J48" s="8"/>
      <c r="K48" s="8"/>
      <c r="L48" s="8"/>
    </row>
  </sheetData>
  <sheetProtection sheet="1" objects="1" scenarios="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&amp;Lrevised 8/14/08&amp;CPage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A3" sqref="A3"/>
    </sheetView>
  </sheetViews>
  <sheetFormatPr defaultColWidth="8.8984375" defaultRowHeight="15"/>
  <cols>
    <col min="1" max="1" width="23.59765625" style="23" customWidth="1"/>
    <col min="2" max="4" width="9.69921875" style="23" customWidth="1"/>
    <col min="5" max="5" width="18.296875" style="23" customWidth="1"/>
    <col min="6" max="8" width="15.69921875" style="23" customWidth="1"/>
    <col min="9" max="16384" width="8.8984375" style="23" customWidth="1"/>
  </cols>
  <sheetData>
    <row r="1" spans="1:8" ht="15">
      <c r="A1" s="162" t="str">
        <f>inputPrYr!$D$2</f>
        <v>CITY OF BURR OAK</v>
      </c>
      <c r="B1" s="22"/>
      <c r="C1" s="22"/>
      <c r="D1" s="22"/>
      <c r="E1" s="22"/>
      <c r="F1" s="22"/>
      <c r="G1" s="22"/>
      <c r="H1" s="233">
        <f>inputPrYr!$C$5</f>
        <v>2012</v>
      </c>
    </row>
    <row r="2" spans="1:8" ht="15">
      <c r="A2" s="162"/>
      <c r="B2" s="22"/>
      <c r="C2" s="22"/>
      <c r="D2" s="22"/>
      <c r="E2" s="22"/>
      <c r="F2" s="22"/>
      <c r="G2" s="22"/>
      <c r="H2" s="157"/>
    </row>
    <row r="3" spans="1:8" ht="15">
      <c r="A3" s="22"/>
      <c r="B3" s="22"/>
      <c r="C3" s="22"/>
      <c r="D3" s="22"/>
      <c r="E3" s="22"/>
      <c r="F3" s="22"/>
      <c r="G3" s="22"/>
      <c r="H3" s="123"/>
    </row>
    <row r="4" spans="1:8" ht="15">
      <c r="A4" s="207" t="s">
        <v>349</v>
      </c>
      <c r="B4" s="33"/>
      <c r="C4" s="33"/>
      <c r="D4" s="33"/>
      <c r="E4" s="33"/>
      <c r="F4" s="33"/>
      <c r="G4" s="33"/>
      <c r="H4" s="33"/>
    </row>
    <row r="5" spans="1:8" ht="15">
      <c r="A5" s="56"/>
      <c r="B5" s="208"/>
      <c r="C5" s="208"/>
      <c r="D5" s="208"/>
      <c r="E5" s="208"/>
      <c r="F5" s="208"/>
      <c r="G5" s="208"/>
      <c r="H5" s="208"/>
    </row>
    <row r="6" spans="1:8" ht="15">
      <c r="A6" s="22"/>
      <c r="B6" s="137"/>
      <c r="C6" s="137"/>
      <c r="D6" s="137"/>
      <c r="E6" s="177" t="s">
        <v>623</v>
      </c>
      <c r="F6" s="137"/>
      <c r="G6" s="137"/>
      <c r="H6" s="137"/>
    </row>
    <row r="7" spans="1:8" ht="15">
      <c r="A7" s="22"/>
      <c r="B7" s="131"/>
      <c r="C7" s="131" t="s">
        <v>336</v>
      </c>
      <c r="D7" s="131" t="s">
        <v>337</v>
      </c>
      <c r="E7" s="131" t="s">
        <v>278</v>
      </c>
      <c r="F7" s="131" t="s">
        <v>339</v>
      </c>
      <c r="G7" s="131" t="s">
        <v>340</v>
      </c>
      <c r="H7" s="131" t="s">
        <v>340</v>
      </c>
    </row>
    <row r="8" spans="1:8" ht="15">
      <c r="A8" s="22"/>
      <c r="B8" s="131" t="s">
        <v>341</v>
      </c>
      <c r="C8" s="131" t="s">
        <v>342</v>
      </c>
      <c r="D8" s="131" t="s">
        <v>325</v>
      </c>
      <c r="E8" s="131" t="s">
        <v>343</v>
      </c>
      <c r="F8" s="131" t="s">
        <v>389</v>
      </c>
      <c r="G8" s="131" t="s">
        <v>344</v>
      </c>
      <c r="H8" s="131" t="s">
        <v>344</v>
      </c>
    </row>
    <row r="9" spans="1:8" ht="15">
      <c r="A9" s="234" t="s">
        <v>345</v>
      </c>
      <c r="B9" s="134" t="s">
        <v>322</v>
      </c>
      <c r="C9" s="235" t="s">
        <v>346</v>
      </c>
      <c r="D9" s="134" t="s">
        <v>300</v>
      </c>
      <c r="E9" s="235" t="s">
        <v>413</v>
      </c>
      <c r="F9" s="236" t="str">
        <f>CONCATENATE("Jan 1 ",H1-1,"")</f>
        <v>Jan 1 2011</v>
      </c>
      <c r="G9" s="134">
        <f>H1-1</f>
        <v>2011</v>
      </c>
      <c r="H9" s="134">
        <f>H1</f>
        <v>2012</v>
      </c>
    </row>
    <row r="10" spans="1:8" ht="15">
      <c r="A10" s="54"/>
      <c r="B10" s="237"/>
      <c r="C10" s="238"/>
      <c r="D10" s="215"/>
      <c r="E10" s="216"/>
      <c r="F10" s="216"/>
      <c r="G10" s="216"/>
      <c r="H10" s="216"/>
    </row>
    <row r="11" spans="1:8" ht="15">
      <c r="A11" s="54"/>
      <c r="B11" s="237"/>
      <c r="C11" s="238"/>
      <c r="D11" s="215"/>
      <c r="E11" s="216"/>
      <c r="F11" s="216"/>
      <c r="G11" s="216"/>
      <c r="H11" s="216"/>
    </row>
    <row r="12" spans="1:8" ht="15">
      <c r="A12" s="54"/>
      <c r="B12" s="237"/>
      <c r="C12" s="238"/>
      <c r="D12" s="215"/>
      <c r="E12" s="216"/>
      <c r="F12" s="216"/>
      <c r="G12" s="216"/>
      <c r="H12" s="216"/>
    </row>
    <row r="13" spans="1:8" ht="15">
      <c r="A13" s="54"/>
      <c r="B13" s="237"/>
      <c r="C13" s="238"/>
      <c r="D13" s="215"/>
      <c r="E13" s="216"/>
      <c r="F13" s="216"/>
      <c r="G13" s="216"/>
      <c r="H13" s="216"/>
    </row>
    <row r="14" spans="1:8" ht="15">
      <c r="A14" s="54"/>
      <c r="B14" s="425"/>
      <c r="C14" s="238"/>
      <c r="D14" s="215"/>
      <c r="E14" s="216"/>
      <c r="F14" s="216"/>
      <c r="G14" s="216"/>
      <c r="H14" s="216"/>
    </row>
    <row r="15" spans="1:8" ht="15">
      <c r="A15" s="54"/>
      <c r="B15" s="237"/>
      <c r="C15" s="238"/>
      <c r="D15" s="215"/>
      <c r="E15" s="216"/>
      <c r="F15" s="216"/>
      <c r="G15" s="216"/>
      <c r="H15" s="216"/>
    </row>
    <row r="16" spans="1:8" ht="15">
      <c r="A16" s="54"/>
      <c r="B16" s="237"/>
      <c r="C16" s="238"/>
      <c r="D16" s="215"/>
      <c r="E16" s="216"/>
      <c r="F16" s="216"/>
      <c r="G16" s="216"/>
      <c r="H16" s="216"/>
    </row>
    <row r="17" spans="1:8" ht="15">
      <c r="A17" s="54"/>
      <c r="B17" s="237"/>
      <c r="C17" s="238"/>
      <c r="D17" s="215"/>
      <c r="E17" s="216"/>
      <c r="F17" s="216"/>
      <c r="G17" s="216"/>
      <c r="H17" s="216"/>
    </row>
    <row r="18" spans="1:8" ht="15">
      <c r="A18" s="54"/>
      <c r="B18" s="237"/>
      <c r="C18" s="238"/>
      <c r="D18" s="215"/>
      <c r="E18" s="216"/>
      <c r="F18" s="216"/>
      <c r="G18" s="216"/>
      <c r="H18" s="216"/>
    </row>
    <row r="19" spans="1:8" ht="15">
      <c r="A19" s="54"/>
      <c r="B19" s="237"/>
      <c r="C19" s="238"/>
      <c r="D19" s="215"/>
      <c r="E19" s="216"/>
      <c r="F19" s="216"/>
      <c r="G19" s="216"/>
      <c r="H19" s="216"/>
    </row>
    <row r="20" spans="1:8" ht="15">
      <c r="A20" s="54"/>
      <c r="B20" s="237"/>
      <c r="C20" s="238"/>
      <c r="D20" s="215"/>
      <c r="E20" s="216"/>
      <c r="F20" s="216"/>
      <c r="G20" s="216"/>
      <c r="H20" s="216"/>
    </row>
    <row r="21" spans="1:8" ht="15">
      <c r="A21" s="54"/>
      <c r="B21" s="237"/>
      <c r="C21" s="238"/>
      <c r="D21" s="215"/>
      <c r="E21" s="216"/>
      <c r="F21" s="216"/>
      <c r="G21" s="216"/>
      <c r="H21" s="216"/>
    </row>
    <row r="22" spans="1:8" ht="15">
      <c r="A22" s="54"/>
      <c r="B22" s="237"/>
      <c r="C22" s="238"/>
      <c r="D22" s="215"/>
      <c r="E22" s="216"/>
      <c r="F22" s="216"/>
      <c r="G22" s="216"/>
      <c r="H22" s="216"/>
    </row>
    <row r="23" spans="1:8" ht="15">
      <c r="A23" s="54"/>
      <c r="B23" s="237"/>
      <c r="C23" s="238"/>
      <c r="D23" s="215"/>
      <c r="E23" s="216"/>
      <c r="F23" s="216"/>
      <c r="G23" s="216"/>
      <c r="H23" s="216"/>
    </row>
    <row r="24" spans="1:8" ht="15">
      <c r="A24" s="54"/>
      <c r="B24" s="237"/>
      <c r="C24" s="238"/>
      <c r="D24" s="215"/>
      <c r="E24" s="216"/>
      <c r="F24" s="216"/>
      <c r="G24" s="216"/>
      <c r="H24" s="216"/>
    </row>
    <row r="25" spans="1:8" ht="15">
      <c r="A25" s="54"/>
      <c r="B25" s="237"/>
      <c r="C25" s="238"/>
      <c r="D25" s="215"/>
      <c r="E25" s="216"/>
      <c r="F25" s="216"/>
      <c r="G25" s="216"/>
      <c r="H25" s="216"/>
    </row>
    <row r="26" spans="1:8" ht="15">
      <c r="A26" s="54"/>
      <c r="B26" s="237"/>
      <c r="C26" s="238"/>
      <c r="D26" s="215"/>
      <c r="E26" s="216"/>
      <c r="F26" s="216"/>
      <c r="G26" s="216"/>
      <c r="H26" s="216"/>
    </row>
    <row r="27" spans="1:8" ht="15">
      <c r="A27" s="54"/>
      <c r="B27" s="237"/>
      <c r="C27" s="238"/>
      <c r="D27" s="215"/>
      <c r="E27" s="216"/>
      <c r="F27" s="216"/>
      <c r="G27" s="216"/>
      <c r="H27" s="216"/>
    </row>
    <row r="28" spans="1:8" ht="15.75" thickBot="1">
      <c r="A28" s="239" t="s">
        <v>273</v>
      </c>
      <c r="B28" s="161"/>
      <c r="C28" s="161"/>
      <c r="D28" s="161"/>
      <c r="E28" s="161"/>
      <c r="F28" s="240">
        <f>SUM(F10:F27)</f>
        <v>0</v>
      </c>
      <c r="G28" s="240">
        <f>SUM(G10:G27)</f>
        <v>0</v>
      </c>
      <c r="H28" s="240">
        <f>SUM(H10:H27)</f>
        <v>0</v>
      </c>
    </row>
    <row r="29" spans="1:8" ht="15.75" thickTop="1">
      <c r="A29" s="22"/>
      <c r="B29" s="22"/>
      <c r="C29" s="22"/>
      <c r="D29" s="22"/>
      <c r="E29" s="22"/>
      <c r="F29" s="22"/>
      <c r="G29" s="162"/>
      <c r="H29" s="162"/>
    </row>
    <row r="30" spans="1:8" ht="15">
      <c r="A30" s="241" t="s">
        <v>561</v>
      </c>
      <c r="B30" s="242"/>
      <c r="C30" s="242"/>
      <c r="D30" s="242"/>
      <c r="E30" s="242"/>
      <c r="F30" s="242"/>
      <c r="G30" s="162"/>
      <c r="H30" s="162"/>
    </row>
  </sheetData>
  <sheetProtection/>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&amp;Lrevised 8/06/07&amp;CPage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23"/>
  <sheetViews>
    <sheetView zoomScalePageLayoutView="0" workbookViewId="0" topLeftCell="A1">
      <selection activeCell="H1" sqref="H1"/>
    </sheetView>
  </sheetViews>
  <sheetFormatPr defaultColWidth="8.8984375" defaultRowHeight="15"/>
  <cols>
    <col min="1" max="1" width="28.69921875" style="23" customWidth="1"/>
    <col min="2" max="2" width="9.59765625" style="23" customWidth="1"/>
    <col min="3" max="3" width="10.3984375" style="23" customWidth="1"/>
    <col min="4" max="4" width="5.69921875" style="23" customWidth="1"/>
    <col min="5" max="5" width="9.69921875" style="23" customWidth="1"/>
    <col min="6" max="6" width="6.69921875" style="23" customWidth="1"/>
    <col min="7" max="7" width="16.19921875" style="23" customWidth="1"/>
    <col min="8" max="16384" width="8.8984375" style="23" customWidth="1"/>
  </cols>
  <sheetData>
    <row r="1" spans="1:7" ht="15">
      <c r="A1" s="162" t="str">
        <f>inputPrYr!D2</f>
        <v>CITY OF BURR OAK</v>
      </c>
      <c r="B1" s="162"/>
      <c r="C1" s="22"/>
      <c r="D1" s="22"/>
      <c r="E1" s="22"/>
      <c r="F1" s="22"/>
      <c r="G1" s="233">
        <f>inputPrYr!C5</f>
        <v>2012</v>
      </c>
    </row>
    <row r="2" spans="1:7" ht="15">
      <c r="A2" s="22"/>
      <c r="B2" s="22"/>
      <c r="C2" s="22"/>
      <c r="D2" s="22"/>
      <c r="E2" s="22"/>
      <c r="F2" s="22"/>
      <c r="G2" s="157"/>
    </row>
    <row r="3" spans="1:7" ht="15">
      <c r="A3" s="41" t="s">
        <v>352</v>
      </c>
      <c r="B3" s="41"/>
      <c r="C3" s="22"/>
      <c r="D3" s="22"/>
      <c r="E3" s="22"/>
      <c r="F3" s="22"/>
      <c r="G3" s="123"/>
    </row>
    <row r="4" spans="1:7" ht="15">
      <c r="A4" s="22"/>
      <c r="B4" s="22"/>
      <c r="C4" s="243"/>
      <c r="D4" s="243"/>
      <c r="E4" s="243"/>
      <c r="F4" s="243"/>
      <c r="G4" s="243"/>
    </row>
    <row r="5" spans="1:7" ht="15">
      <c r="A5" s="160" t="s">
        <v>285</v>
      </c>
      <c r="B5" s="160"/>
      <c r="C5" s="483" t="s">
        <v>305</v>
      </c>
      <c r="D5" s="484"/>
      <c r="E5" s="485" t="s">
        <v>432</v>
      </c>
      <c r="F5" s="486"/>
      <c r="G5" s="129" t="s">
        <v>433</v>
      </c>
    </row>
    <row r="6" spans="1:7" ht="15">
      <c r="A6" s="184" t="str">
        <f>inputPrYr!B17</f>
        <v>General</v>
      </c>
      <c r="B6" s="184"/>
      <c r="C6" s="481">
        <f>G1-2</f>
        <v>2010</v>
      </c>
      <c r="D6" s="482"/>
      <c r="E6" s="481">
        <f>G1-1</f>
        <v>2011</v>
      </c>
      <c r="F6" s="482"/>
      <c r="G6" s="244">
        <f>G1</f>
        <v>2012</v>
      </c>
    </row>
    <row r="7" spans="1:7" ht="15">
      <c r="A7" s="245" t="s">
        <v>408</v>
      </c>
      <c r="B7" s="246"/>
      <c r="C7" s="492">
        <v>3759</v>
      </c>
      <c r="D7" s="493"/>
      <c r="E7" s="464">
        <f>C111</f>
        <v>0</v>
      </c>
      <c r="F7" s="465"/>
      <c r="G7" s="214">
        <f>E111</f>
        <v>6270</v>
      </c>
    </row>
    <row r="8" spans="1:7" ht="15">
      <c r="A8" s="249" t="s">
        <v>410</v>
      </c>
      <c r="B8" s="246"/>
      <c r="C8" s="466"/>
      <c r="D8" s="467"/>
      <c r="E8" s="466"/>
      <c r="F8" s="467"/>
      <c r="G8" s="70"/>
    </row>
    <row r="9" spans="1:7" ht="15">
      <c r="A9" s="245" t="s">
        <v>286</v>
      </c>
      <c r="B9" s="246"/>
      <c r="C9" s="458">
        <v>13108</v>
      </c>
      <c r="D9" s="459"/>
      <c r="E9" s="466">
        <f>inputPrYr!E17</f>
        <v>13414</v>
      </c>
      <c r="F9" s="467"/>
      <c r="G9" s="253" t="s">
        <v>274</v>
      </c>
    </row>
    <row r="10" spans="1:7" ht="15">
      <c r="A10" s="245" t="s">
        <v>287</v>
      </c>
      <c r="B10" s="246"/>
      <c r="C10" s="458">
        <v>157</v>
      </c>
      <c r="D10" s="459"/>
      <c r="E10" s="458">
        <v>0</v>
      </c>
      <c r="F10" s="459"/>
      <c r="G10" s="254"/>
    </row>
    <row r="11" spans="1:7" ht="15">
      <c r="A11" s="245" t="s">
        <v>288</v>
      </c>
      <c r="B11" s="246"/>
      <c r="C11" s="458">
        <v>5450</v>
      </c>
      <c r="D11" s="459"/>
      <c r="E11" s="458">
        <v>5400</v>
      </c>
      <c r="F11" s="459"/>
      <c r="G11" s="70">
        <f>mvalloc!C7</f>
        <v>5457</v>
      </c>
    </row>
    <row r="12" spans="1:7" ht="15">
      <c r="A12" s="245" t="s">
        <v>289</v>
      </c>
      <c r="B12" s="246"/>
      <c r="C12" s="458">
        <v>94</v>
      </c>
      <c r="D12" s="459"/>
      <c r="E12" s="458">
        <v>90</v>
      </c>
      <c r="F12" s="459"/>
      <c r="G12" s="70">
        <f>mvalloc!D7</f>
        <v>91</v>
      </c>
    </row>
    <row r="13" spans="1:7" ht="15">
      <c r="A13" s="245" t="s">
        <v>385</v>
      </c>
      <c r="B13" s="246"/>
      <c r="C13" s="458">
        <v>119</v>
      </c>
      <c r="D13" s="459"/>
      <c r="E13" s="458">
        <v>145</v>
      </c>
      <c r="F13" s="459"/>
      <c r="G13" s="70">
        <f>mvalloc!E7</f>
        <v>168</v>
      </c>
    </row>
    <row r="14" spans="1:7" ht="15">
      <c r="A14" s="245" t="s">
        <v>386</v>
      </c>
      <c r="B14" s="246"/>
      <c r="C14" s="458">
        <v>3445</v>
      </c>
      <c r="D14" s="459"/>
      <c r="E14" s="458">
        <v>2418</v>
      </c>
      <c r="F14" s="459"/>
      <c r="G14" s="70">
        <f>inputOth!E15</f>
        <v>2260</v>
      </c>
    </row>
    <row r="15" spans="1:7" ht="15">
      <c r="A15" s="245" t="s">
        <v>439</v>
      </c>
      <c r="B15" s="246"/>
      <c r="C15" s="458">
        <v>0</v>
      </c>
      <c r="D15" s="459"/>
      <c r="E15" s="458"/>
      <c r="F15" s="459"/>
      <c r="G15" s="70">
        <f>inputOth!E40</f>
        <v>0</v>
      </c>
    </row>
    <row r="16" spans="1:7" ht="15">
      <c r="A16" s="245" t="s">
        <v>440</v>
      </c>
      <c r="B16" s="246"/>
      <c r="C16" s="458"/>
      <c r="D16" s="459"/>
      <c r="E16" s="458"/>
      <c r="F16" s="459"/>
      <c r="G16" s="70">
        <f>inputOth!E41</f>
        <v>0</v>
      </c>
    </row>
    <row r="17" spans="1:7" ht="15">
      <c r="A17" s="144" t="s">
        <v>441</v>
      </c>
      <c r="B17" s="246"/>
      <c r="C17" s="458"/>
      <c r="D17" s="459"/>
      <c r="E17" s="458"/>
      <c r="F17" s="459"/>
      <c r="G17" s="70">
        <f>mvalloc!F7</f>
        <v>0</v>
      </c>
    </row>
    <row r="18" spans="1:7" ht="15">
      <c r="A18" s="251" t="s">
        <v>717</v>
      </c>
      <c r="B18" s="255"/>
      <c r="C18" s="458">
        <v>7749</v>
      </c>
      <c r="D18" s="459"/>
      <c r="E18" s="458">
        <v>7500</v>
      </c>
      <c r="F18" s="459"/>
      <c r="G18" s="254">
        <v>7500</v>
      </c>
    </row>
    <row r="19" spans="1:7" ht="15">
      <c r="A19" s="251" t="s">
        <v>718</v>
      </c>
      <c r="B19" s="255"/>
      <c r="C19" s="458">
        <v>65</v>
      </c>
      <c r="D19" s="459"/>
      <c r="E19" s="458">
        <v>115</v>
      </c>
      <c r="F19" s="459"/>
      <c r="G19" s="254">
        <v>65</v>
      </c>
    </row>
    <row r="20" spans="1:7" ht="15">
      <c r="A20" s="251" t="s">
        <v>719</v>
      </c>
      <c r="B20" s="255"/>
      <c r="C20" s="458">
        <v>2</v>
      </c>
      <c r="D20" s="459"/>
      <c r="E20" s="458">
        <v>2</v>
      </c>
      <c r="F20" s="459"/>
      <c r="G20" s="254">
        <v>0</v>
      </c>
    </row>
    <row r="21" spans="1:7" ht="15">
      <c r="A21" s="251" t="s">
        <v>720</v>
      </c>
      <c r="B21" s="255"/>
      <c r="C21" s="458">
        <v>7858</v>
      </c>
      <c r="D21" s="459"/>
      <c r="E21" s="458">
        <v>8800</v>
      </c>
      <c r="F21" s="459"/>
      <c r="G21" s="254">
        <v>8900</v>
      </c>
    </row>
    <row r="22" spans="1:7" ht="15">
      <c r="A22" s="251" t="s">
        <v>741</v>
      </c>
      <c r="B22" s="255"/>
      <c r="C22" s="458"/>
      <c r="D22" s="459"/>
      <c r="E22" s="458">
        <v>7136</v>
      </c>
      <c r="F22" s="459"/>
      <c r="G22" s="254"/>
    </row>
    <row r="23" spans="1:7" ht="15">
      <c r="A23" s="251"/>
      <c r="B23" s="255"/>
      <c r="C23" s="458"/>
      <c r="D23" s="459"/>
      <c r="E23" s="458"/>
      <c r="F23" s="459"/>
      <c r="G23" s="254"/>
    </row>
    <row r="24" spans="1:7" ht="15">
      <c r="A24" s="251"/>
      <c r="B24" s="255"/>
      <c r="C24" s="458"/>
      <c r="D24" s="459"/>
      <c r="E24" s="458"/>
      <c r="F24" s="459"/>
      <c r="G24" s="254"/>
    </row>
    <row r="25" spans="1:7" ht="15">
      <c r="A25" s="251"/>
      <c r="B25" s="255"/>
      <c r="C25" s="458"/>
      <c r="D25" s="459"/>
      <c r="E25" s="458"/>
      <c r="F25" s="459"/>
      <c r="G25" s="254"/>
    </row>
    <row r="26" spans="1:7" ht="15">
      <c r="A26" s="251"/>
      <c r="B26" s="255"/>
      <c r="C26" s="458"/>
      <c r="D26" s="459"/>
      <c r="E26" s="458"/>
      <c r="F26" s="459"/>
      <c r="G26" s="254"/>
    </row>
    <row r="27" spans="1:7" ht="15">
      <c r="A27" s="251"/>
      <c r="B27" s="255"/>
      <c r="C27" s="458"/>
      <c r="D27" s="459"/>
      <c r="E27" s="458"/>
      <c r="F27" s="459"/>
      <c r="G27" s="254"/>
    </row>
    <row r="28" spans="1:7" ht="15">
      <c r="A28" s="251"/>
      <c r="B28" s="255"/>
      <c r="C28" s="458"/>
      <c r="D28" s="459"/>
      <c r="E28" s="458"/>
      <c r="F28" s="459"/>
      <c r="G28" s="254"/>
    </row>
    <row r="29" spans="1:7" ht="15">
      <c r="A29" s="251"/>
      <c r="B29" s="255"/>
      <c r="C29" s="458"/>
      <c r="D29" s="459"/>
      <c r="E29" s="458"/>
      <c r="F29" s="459"/>
      <c r="G29" s="254"/>
    </row>
    <row r="30" spans="1:7" ht="15">
      <c r="A30" s="251"/>
      <c r="B30" s="255"/>
      <c r="C30" s="458"/>
      <c r="D30" s="459"/>
      <c r="E30" s="458"/>
      <c r="F30" s="459"/>
      <c r="G30" s="254"/>
    </row>
    <row r="31" spans="1:7" ht="15">
      <c r="A31" s="251"/>
      <c r="B31" s="255"/>
      <c r="C31" s="458"/>
      <c r="D31" s="459"/>
      <c r="E31" s="458"/>
      <c r="F31" s="459"/>
      <c r="G31" s="254"/>
    </row>
    <row r="32" spans="1:7" ht="15">
      <c r="A32" s="251"/>
      <c r="B32" s="255"/>
      <c r="C32" s="458"/>
      <c r="D32" s="459"/>
      <c r="E32" s="458"/>
      <c r="F32" s="459"/>
      <c r="G32" s="254"/>
    </row>
    <row r="33" spans="1:7" ht="15">
      <c r="A33" s="251"/>
      <c r="B33" s="255"/>
      <c r="C33" s="458"/>
      <c r="D33" s="459"/>
      <c r="E33" s="458"/>
      <c r="F33" s="459"/>
      <c r="G33" s="254"/>
    </row>
    <row r="34" spans="1:7" ht="15">
      <c r="A34" s="251"/>
      <c r="B34" s="255"/>
      <c r="C34" s="458"/>
      <c r="D34" s="459"/>
      <c r="E34" s="458"/>
      <c r="F34" s="459"/>
      <c r="G34" s="254"/>
    </row>
    <row r="35" spans="1:7" ht="15">
      <c r="A35" s="251"/>
      <c r="B35" s="255"/>
      <c r="C35" s="458"/>
      <c r="D35" s="459"/>
      <c r="E35" s="458"/>
      <c r="F35" s="459"/>
      <c r="G35" s="254"/>
    </row>
    <row r="36" spans="1:7" ht="15">
      <c r="A36" s="251"/>
      <c r="B36" s="255"/>
      <c r="C36" s="458"/>
      <c r="D36" s="459"/>
      <c r="E36" s="458"/>
      <c r="F36" s="459"/>
      <c r="G36" s="254"/>
    </row>
    <row r="37" spans="1:7" ht="15">
      <c r="A37" s="251"/>
      <c r="B37" s="255"/>
      <c r="C37" s="458"/>
      <c r="D37" s="459"/>
      <c r="E37" s="458"/>
      <c r="F37" s="459"/>
      <c r="G37" s="254"/>
    </row>
    <row r="38" spans="1:7" ht="15">
      <c r="A38" s="251"/>
      <c r="B38" s="255"/>
      <c r="C38" s="458"/>
      <c r="D38" s="459"/>
      <c r="E38" s="458"/>
      <c r="F38" s="459"/>
      <c r="G38" s="254"/>
    </row>
    <row r="39" spans="1:7" ht="15">
      <c r="A39" s="251"/>
      <c r="B39" s="255"/>
      <c r="C39" s="458"/>
      <c r="D39" s="459"/>
      <c r="E39" s="458"/>
      <c r="F39" s="459"/>
      <c r="G39" s="254"/>
    </row>
    <row r="40" spans="1:7" ht="15">
      <c r="A40" s="251"/>
      <c r="B40" s="255"/>
      <c r="C40" s="458"/>
      <c r="D40" s="459"/>
      <c r="E40" s="458"/>
      <c r="F40" s="459"/>
      <c r="G40" s="254"/>
    </row>
    <row r="41" spans="1:7" ht="15">
      <c r="A41" s="251"/>
      <c r="B41" s="255"/>
      <c r="C41" s="458"/>
      <c r="D41" s="459"/>
      <c r="E41" s="458"/>
      <c r="F41" s="459"/>
      <c r="G41" s="254"/>
    </row>
    <row r="42" spans="1:7" ht="15">
      <c r="A42" s="251"/>
      <c r="B42" s="255"/>
      <c r="C42" s="458"/>
      <c r="D42" s="459"/>
      <c r="E42" s="458"/>
      <c r="F42" s="459"/>
      <c r="G42" s="254"/>
    </row>
    <row r="43" spans="1:7" ht="15">
      <c r="A43" s="251"/>
      <c r="B43" s="255"/>
      <c r="C43" s="458"/>
      <c r="D43" s="459"/>
      <c r="E43" s="458"/>
      <c r="F43" s="459"/>
      <c r="G43" s="254"/>
    </row>
    <row r="44" spans="1:7" ht="15">
      <c r="A44" s="251"/>
      <c r="B44" s="255"/>
      <c r="C44" s="458"/>
      <c r="D44" s="459"/>
      <c r="E44" s="458"/>
      <c r="F44" s="459"/>
      <c r="G44" s="254"/>
    </row>
    <row r="45" spans="1:7" ht="15">
      <c r="A45" s="251"/>
      <c r="B45" s="255"/>
      <c r="C45" s="458"/>
      <c r="D45" s="459"/>
      <c r="E45" s="458"/>
      <c r="F45" s="459"/>
      <c r="G45" s="254"/>
    </row>
    <row r="46" spans="1:7" ht="15">
      <c r="A46" s="251"/>
      <c r="B46" s="255"/>
      <c r="C46" s="458"/>
      <c r="D46" s="459"/>
      <c r="E46" s="458"/>
      <c r="F46" s="459"/>
      <c r="G46" s="254"/>
    </row>
    <row r="47" spans="1:7" ht="15">
      <c r="A47" s="251"/>
      <c r="B47" s="255"/>
      <c r="C47" s="458"/>
      <c r="D47" s="459"/>
      <c r="E47" s="458"/>
      <c r="F47" s="459"/>
      <c r="G47" s="254"/>
    </row>
    <row r="48" spans="1:7" ht="15">
      <c r="A48" s="251"/>
      <c r="B48" s="255"/>
      <c r="C48" s="458"/>
      <c r="D48" s="459"/>
      <c r="E48" s="458"/>
      <c r="F48" s="459"/>
      <c r="G48" s="254"/>
    </row>
    <row r="49" spans="1:7" ht="15">
      <c r="A49" s="251"/>
      <c r="B49" s="255"/>
      <c r="C49" s="458"/>
      <c r="D49" s="459"/>
      <c r="E49" s="458"/>
      <c r="F49" s="459"/>
      <c r="G49" s="254"/>
    </row>
    <row r="50" spans="1:7" ht="15">
      <c r="A50" s="251"/>
      <c r="B50" s="255"/>
      <c r="C50" s="458"/>
      <c r="D50" s="459"/>
      <c r="E50" s="458"/>
      <c r="F50" s="459"/>
      <c r="G50" s="254"/>
    </row>
    <row r="51" spans="1:7" ht="15">
      <c r="A51" s="251"/>
      <c r="B51" s="255"/>
      <c r="C51" s="458"/>
      <c r="D51" s="459"/>
      <c r="E51" s="458"/>
      <c r="F51" s="459"/>
      <c r="G51" s="254"/>
    </row>
    <row r="52" spans="1:7" ht="15">
      <c r="A52" s="251"/>
      <c r="B52" s="255"/>
      <c r="C52" s="458"/>
      <c r="D52" s="459"/>
      <c r="E52" s="458"/>
      <c r="F52" s="459"/>
      <c r="G52" s="254"/>
    </row>
    <row r="53" spans="1:7" ht="15">
      <c r="A53" s="256" t="s">
        <v>290</v>
      </c>
      <c r="B53" s="255"/>
      <c r="C53" s="458"/>
      <c r="D53" s="459"/>
      <c r="E53" s="458"/>
      <c r="F53" s="459"/>
      <c r="G53" s="254"/>
    </row>
    <row r="54" spans="1:7" ht="15">
      <c r="A54" s="144" t="s">
        <v>549</v>
      </c>
      <c r="B54" s="246"/>
      <c r="C54" s="458">
        <v>195</v>
      </c>
      <c r="D54" s="459"/>
      <c r="E54" s="458">
        <v>2750</v>
      </c>
      <c r="F54" s="459"/>
      <c r="G54" s="252">
        <v>1750</v>
      </c>
    </row>
    <row r="55" spans="1:7" ht="15">
      <c r="A55" s="245" t="s">
        <v>550</v>
      </c>
      <c r="B55" s="246"/>
      <c r="C55" s="468">
        <f>IF(C56*0.1&lt;C54,"Exceed 10% Rule","")</f>
      </c>
      <c r="D55" s="469"/>
      <c r="E55" s="468">
        <f>IF(E56*0.1&lt;E54,"Exceed 10% Rule","")</f>
      </c>
      <c r="F55" s="469"/>
      <c r="G55" s="257">
        <f>IF(G56*0.1+G116&lt;G54,"Exceed 10% Rule","")</f>
      </c>
    </row>
    <row r="56" spans="1:7" ht="15">
      <c r="A56" s="258" t="s">
        <v>291</v>
      </c>
      <c r="B56" s="246"/>
      <c r="C56" s="470">
        <f>SUM(C9:C54)</f>
        <v>38242</v>
      </c>
      <c r="D56" s="471"/>
      <c r="E56" s="470">
        <f>SUM(E9:E54)</f>
        <v>47770</v>
      </c>
      <c r="F56" s="471"/>
      <c r="G56" s="259">
        <f>SUM(G10:G54)</f>
        <v>26191</v>
      </c>
    </row>
    <row r="57" spans="1:7" ht="15">
      <c r="A57" s="258" t="s">
        <v>292</v>
      </c>
      <c r="B57" s="246"/>
      <c r="C57" s="470">
        <f>C7+C56</f>
        <v>42001</v>
      </c>
      <c r="D57" s="471"/>
      <c r="E57" s="470">
        <f>E7+E56</f>
        <v>47770</v>
      </c>
      <c r="F57" s="471"/>
      <c r="G57" s="259">
        <f>G7+G56</f>
        <v>32461</v>
      </c>
    </row>
    <row r="58" spans="1:7" ht="15">
      <c r="A58" s="22"/>
      <c r="B58" s="22"/>
      <c r="C58" s="22"/>
      <c r="D58" s="22"/>
      <c r="E58" s="22"/>
      <c r="F58" s="22"/>
      <c r="G58" s="22"/>
    </row>
    <row r="59" spans="1:7" ht="15">
      <c r="A59" s="444" t="s">
        <v>428</v>
      </c>
      <c r="B59" s="444"/>
      <c r="C59" s="444"/>
      <c r="D59" s="444"/>
      <c r="E59" s="444"/>
      <c r="F59" s="444"/>
      <c r="G59" s="444"/>
    </row>
    <row r="60" spans="1:7" ht="15">
      <c r="A60" s="162" t="str">
        <f>inputPrYr!D2</f>
        <v>CITY OF BURR OAK</v>
      </c>
      <c r="B60" s="162"/>
      <c r="C60" s="22"/>
      <c r="D60" s="22"/>
      <c r="E60" s="22"/>
      <c r="F60" s="22"/>
      <c r="G60" s="157"/>
    </row>
    <row r="61" spans="1:7" ht="15">
      <c r="A61" s="22"/>
      <c r="B61" s="22"/>
      <c r="C61" s="22"/>
      <c r="D61" s="22"/>
      <c r="E61" s="22"/>
      <c r="F61" s="22"/>
      <c r="G61" s="123"/>
    </row>
    <row r="62" spans="1:7" ht="15">
      <c r="A62" s="239" t="s">
        <v>352</v>
      </c>
      <c r="B62" s="239"/>
      <c r="C62" s="208"/>
      <c r="D62" s="208"/>
      <c r="E62" s="208"/>
      <c r="F62" s="208"/>
      <c r="G62" s="208"/>
    </row>
    <row r="63" spans="1:7" ht="15">
      <c r="A63" s="22" t="s">
        <v>285</v>
      </c>
      <c r="B63" s="22"/>
      <c r="C63" s="483" t="s">
        <v>305</v>
      </c>
      <c r="D63" s="484"/>
      <c r="E63" s="485" t="s">
        <v>432</v>
      </c>
      <c r="F63" s="486"/>
      <c r="G63" s="129" t="s">
        <v>433</v>
      </c>
    </row>
    <row r="64" spans="1:7" ht="15">
      <c r="A64" s="183" t="str">
        <f>inputPrYr!B17</f>
        <v>General</v>
      </c>
      <c r="B64" s="184"/>
      <c r="C64" s="481">
        <f>C6</f>
        <v>2010</v>
      </c>
      <c r="D64" s="482"/>
      <c r="E64" s="481">
        <f>E6</f>
        <v>2011</v>
      </c>
      <c r="F64" s="482"/>
      <c r="G64" s="244">
        <f>G6</f>
        <v>2012</v>
      </c>
    </row>
    <row r="65" spans="1:7" ht="15">
      <c r="A65" s="260" t="s">
        <v>292</v>
      </c>
      <c r="B65" s="246"/>
      <c r="C65" s="464">
        <f>C57</f>
        <v>42001</v>
      </c>
      <c r="D65" s="465"/>
      <c r="E65" s="464">
        <f>E57</f>
        <v>47770</v>
      </c>
      <c r="F65" s="465"/>
      <c r="G65" s="214">
        <f>G57</f>
        <v>32461</v>
      </c>
    </row>
    <row r="66" spans="1:7" ht="15">
      <c r="A66" s="245" t="s">
        <v>294</v>
      </c>
      <c r="B66" s="246"/>
      <c r="C66" s="466"/>
      <c r="D66" s="467"/>
      <c r="E66" s="466"/>
      <c r="F66" s="467"/>
      <c r="G66" s="70"/>
    </row>
    <row r="67" spans="1:7" ht="15">
      <c r="A67" s="261" t="str">
        <f>GenDetail!A7</f>
        <v>Salaries, Office and Other</v>
      </c>
      <c r="B67" s="262"/>
      <c r="C67" s="460">
        <f>GenDetail!B15</f>
        <v>24544</v>
      </c>
      <c r="D67" s="461"/>
      <c r="E67" s="460">
        <f>GenDetail!C15</f>
        <v>25000</v>
      </c>
      <c r="F67" s="461"/>
      <c r="G67" s="263">
        <f>GenDetail!D15</f>
        <v>25057</v>
      </c>
    </row>
    <row r="68" spans="1:7" ht="15">
      <c r="A68" s="261" t="str">
        <f>GenDetail!A16</f>
        <v>Utitilities</v>
      </c>
      <c r="B68" s="262"/>
      <c r="C68" s="460">
        <f>GenDetail!B21</f>
        <v>13140</v>
      </c>
      <c r="D68" s="461"/>
      <c r="E68" s="460">
        <f>GenDetail!C21</f>
        <v>13150</v>
      </c>
      <c r="F68" s="461"/>
      <c r="G68" s="263">
        <f>GenDetail!D21</f>
        <v>13200</v>
      </c>
    </row>
    <row r="69" spans="1:7" ht="15">
      <c r="A69" s="261" t="str">
        <f>GenDetail!A22</f>
        <v>Street Expense</v>
      </c>
      <c r="B69" s="262"/>
      <c r="C69" s="460">
        <f>GenDetail!B27</f>
        <v>0</v>
      </c>
      <c r="D69" s="461"/>
      <c r="E69" s="460">
        <f>GenDetail!C27</f>
        <v>0</v>
      </c>
      <c r="F69" s="461"/>
      <c r="G69" s="263">
        <f>GenDetail!D27</f>
        <v>0</v>
      </c>
    </row>
    <row r="70" spans="1:7" ht="15">
      <c r="A70" s="261" t="str">
        <f>GenDetail!A28</f>
        <v>Equipment Expense</v>
      </c>
      <c r="B70" s="262"/>
      <c r="C70" s="460">
        <f>GenDetail!B33</f>
        <v>4317</v>
      </c>
      <c r="D70" s="461"/>
      <c r="E70" s="460">
        <f>GenDetail!C33</f>
        <v>5000</v>
      </c>
      <c r="F70" s="461"/>
      <c r="G70" s="263">
        <f>GenDetail!D33</f>
        <v>7800</v>
      </c>
    </row>
    <row r="71" spans="1:7" ht="15">
      <c r="A71" s="261" t="str">
        <f>GenDetail!A34</f>
        <v>Storm Clean-up</v>
      </c>
      <c r="B71" s="262"/>
      <c r="C71" s="460">
        <f>GenDetail!B39</f>
        <v>0</v>
      </c>
      <c r="D71" s="461"/>
      <c r="E71" s="460">
        <f>GenDetail!C39</f>
        <v>5900</v>
      </c>
      <c r="F71" s="461"/>
      <c r="G71" s="263">
        <f>GenDetail!D39</f>
        <v>0</v>
      </c>
    </row>
    <row r="72" spans="1:7" ht="15">
      <c r="A72" s="261" t="str">
        <f>GenDetail!A40</f>
        <v>Fema</v>
      </c>
      <c r="B72" s="262"/>
      <c r="C72" s="460">
        <f>GenDetail!B45</f>
        <v>0</v>
      </c>
      <c r="D72" s="461"/>
      <c r="E72" s="460">
        <f>GenDetail!C45</f>
        <v>-7550</v>
      </c>
      <c r="F72" s="461"/>
      <c r="G72" s="263">
        <f>GenDetail!D45</f>
        <v>0</v>
      </c>
    </row>
    <row r="73" spans="1:7" ht="15">
      <c r="A73" s="261">
        <f>GenDetail!A46</f>
        <v>0</v>
      </c>
      <c r="B73" s="262"/>
      <c r="C73" s="460">
        <f>GenDetail!B51</f>
        <v>0</v>
      </c>
      <c r="D73" s="461"/>
      <c r="E73" s="460">
        <f>GenDetail!C51</f>
        <v>0</v>
      </c>
      <c r="F73" s="461"/>
      <c r="G73" s="263">
        <f>GenDetail!D51</f>
        <v>0</v>
      </c>
    </row>
    <row r="74" spans="1:7" ht="15">
      <c r="A74" s="261">
        <f>GenDetail!A52</f>
        <v>0</v>
      </c>
      <c r="B74" s="262"/>
      <c r="C74" s="460">
        <f>GenDetail!B57</f>
        <v>0</v>
      </c>
      <c r="D74" s="461"/>
      <c r="E74" s="460">
        <f>GenDetail!C57</f>
        <v>0</v>
      </c>
      <c r="F74" s="461"/>
      <c r="G74" s="263">
        <f>GenDetail!D57</f>
        <v>0</v>
      </c>
    </row>
    <row r="75" spans="1:8" ht="15">
      <c r="A75" s="264" t="s">
        <v>592</v>
      </c>
      <c r="B75" s="262"/>
      <c r="C75" s="462">
        <f>SUM(C67:C74)</f>
        <v>42001</v>
      </c>
      <c r="D75" s="463"/>
      <c r="E75" s="462">
        <f>SUM(E67:E74)</f>
        <v>41500</v>
      </c>
      <c r="F75" s="463"/>
      <c r="G75" s="152">
        <f>SUM(G67:G74)</f>
        <v>46057</v>
      </c>
      <c r="H75" s="265"/>
    </row>
    <row r="76" spans="1:7" ht="15">
      <c r="A76" s="256"/>
      <c r="B76" s="255"/>
      <c r="C76" s="458"/>
      <c r="D76" s="459"/>
      <c r="E76" s="458"/>
      <c r="F76" s="459"/>
      <c r="G76" s="254"/>
    </row>
    <row r="77" spans="1:7" ht="15">
      <c r="A77" s="256"/>
      <c r="B77" s="255"/>
      <c r="C77" s="458"/>
      <c r="D77" s="459"/>
      <c r="E77" s="458"/>
      <c r="F77" s="459"/>
      <c r="G77" s="254"/>
    </row>
    <row r="78" spans="1:7" ht="15">
      <c r="A78" s="256"/>
      <c r="B78" s="255"/>
      <c r="C78" s="458"/>
      <c r="D78" s="459"/>
      <c r="E78" s="458"/>
      <c r="F78" s="459"/>
      <c r="G78" s="254"/>
    </row>
    <row r="79" spans="1:7" ht="15">
      <c r="A79" s="256"/>
      <c r="B79" s="255"/>
      <c r="C79" s="458"/>
      <c r="D79" s="459"/>
      <c r="E79" s="458"/>
      <c r="F79" s="459"/>
      <c r="G79" s="254"/>
    </row>
    <row r="80" spans="1:7" ht="15">
      <c r="A80" s="256"/>
      <c r="B80" s="255"/>
      <c r="C80" s="458"/>
      <c r="D80" s="459"/>
      <c r="E80" s="458"/>
      <c r="F80" s="459"/>
      <c r="G80" s="254"/>
    </row>
    <row r="81" spans="1:7" ht="15">
      <c r="A81" s="256"/>
      <c r="B81" s="255"/>
      <c r="C81" s="458"/>
      <c r="D81" s="459"/>
      <c r="E81" s="458"/>
      <c r="F81" s="459"/>
      <c r="G81" s="254"/>
    </row>
    <row r="82" spans="1:7" ht="15">
      <c r="A82" s="266"/>
      <c r="B82" s="255"/>
      <c r="C82" s="458"/>
      <c r="D82" s="459"/>
      <c r="E82" s="458"/>
      <c r="F82" s="459"/>
      <c r="G82" s="254"/>
    </row>
    <row r="83" spans="1:7" ht="15">
      <c r="A83" s="266"/>
      <c r="B83" s="255"/>
      <c r="C83" s="458"/>
      <c r="D83" s="459"/>
      <c r="E83" s="458"/>
      <c r="F83" s="459"/>
      <c r="G83" s="254"/>
    </row>
    <row r="84" spans="1:7" ht="15">
      <c r="A84" s="266"/>
      <c r="B84" s="255"/>
      <c r="C84" s="458"/>
      <c r="D84" s="459"/>
      <c r="E84" s="458"/>
      <c r="F84" s="459"/>
      <c r="G84" s="254"/>
    </row>
    <row r="85" spans="1:7" ht="15">
      <c r="A85" s="266"/>
      <c r="B85" s="255"/>
      <c r="C85" s="458"/>
      <c r="D85" s="459"/>
      <c r="E85" s="458"/>
      <c r="F85" s="459"/>
      <c r="G85" s="254"/>
    </row>
    <row r="86" spans="1:7" ht="15">
      <c r="A86" s="266"/>
      <c r="B86" s="255"/>
      <c r="C86" s="458"/>
      <c r="D86" s="459"/>
      <c r="E86" s="458"/>
      <c r="F86" s="459"/>
      <c r="G86" s="254"/>
    </row>
    <row r="87" spans="1:7" ht="15">
      <c r="A87" s="266"/>
      <c r="B87" s="255"/>
      <c r="C87" s="458"/>
      <c r="D87" s="459"/>
      <c r="E87" s="458"/>
      <c r="F87" s="459"/>
      <c r="G87" s="254"/>
    </row>
    <row r="88" spans="1:7" ht="15">
      <c r="A88" s="266"/>
      <c r="B88" s="255"/>
      <c r="C88" s="458"/>
      <c r="D88" s="459"/>
      <c r="E88" s="458"/>
      <c r="F88" s="459"/>
      <c r="G88" s="254"/>
    </row>
    <row r="89" spans="1:7" ht="15">
      <c r="A89" s="266"/>
      <c r="B89" s="255"/>
      <c r="C89" s="458"/>
      <c r="D89" s="459"/>
      <c r="E89" s="458"/>
      <c r="F89" s="459"/>
      <c r="G89" s="254"/>
    </row>
    <row r="90" spans="1:7" ht="15">
      <c r="A90" s="266"/>
      <c r="B90" s="255"/>
      <c r="C90" s="458"/>
      <c r="D90" s="459"/>
      <c r="E90" s="458"/>
      <c r="F90" s="459"/>
      <c r="G90" s="254"/>
    </row>
    <row r="91" spans="1:7" ht="15">
      <c r="A91" s="266"/>
      <c r="B91" s="255"/>
      <c r="C91" s="458"/>
      <c r="D91" s="459"/>
      <c r="E91" s="458"/>
      <c r="F91" s="459"/>
      <c r="G91" s="254"/>
    </row>
    <row r="92" spans="1:7" ht="15">
      <c r="A92" s="266"/>
      <c r="B92" s="255"/>
      <c r="C92" s="458"/>
      <c r="D92" s="459"/>
      <c r="E92" s="458"/>
      <c r="F92" s="459"/>
      <c r="G92" s="254"/>
    </row>
    <row r="93" spans="1:7" ht="15">
      <c r="A93" s="266"/>
      <c r="B93" s="255"/>
      <c r="C93" s="458"/>
      <c r="D93" s="459"/>
      <c r="E93" s="458"/>
      <c r="F93" s="459"/>
      <c r="G93" s="254"/>
    </row>
    <row r="94" spans="1:7" ht="15">
      <c r="A94" s="266"/>
      <c r="B94" s="255"/>
      <c r="C94" s="458"/>
      <c r="D94" s="459"/>
      <c r="E94" s="458"/>
      <c r="F94" s="459"/>
      <c r="G94" s="254"/>
    </row>
    <row r="95" spans="1:7" ht="15">
      <c r="A95" s="266"/>
      <c r="B95" s="255"/>
      <c r="C95" s="458"/>
      <c r="D95" s="459"/>
      <c r="E95" s="458"/>
      <c r="F95" s="459"/>
      <c r="G95" s="254"/>
    </row>
    <row r="96" spans="1:7" ht="15">
      <c r="A96" s="266"/>
      <c r="B96" s="255"/>
      <c r="C96" s="458"/>
      <c r="D96" s="459"/>
      <c r="E96" s="458"/>
      <c r="F96" s="459"/>
      <c r="G96" s="254"/>
    </row>
    <row r="97" spans="1:7" ht="15">
      <c r="A97" s="266"/>
      <c r="B97" s="255"/>
      <c r="C97" s="458"/>
      <c r="D97" s="459"/>
      <c r="E97" s="458"/>
      <c r="F97" s="459"/>
      <c r="G97" s="254"/>
    </row>
    <row r="98" spans="1:7" ht="15">
      <c r="A98" s="266"/>
      <c r="B98" s="255"/>
      <c r="C98" s="458"/>
      <c r="D98" s="459"/>
      <c r="E98" s="458"/>
      <c r="F98" s="459"/>
      <c r="G98" s="254"/>
    </row>
    <row r="99" spans="1:7" ht="15">
      <c r="A99" s="266"/>
      <c r="B99" s="255"/>
      <c r="C99" s="458"/>
      <c r="D99" s="459"/>
      <c r="E99" s="458"/>
      <c r="F99" s="459"/>
      <c r="G99" s="254"/>
    </row>
    <row r="100" spans="1:7" ht="15">
      <c r="A100" s="266"/>
      <c r="B100" s="255"/>
      <c r="C100" s="458"/>
      <c r="D100" s="459"/>
      <c r="E100" s="458"/>
      <c r="F100" s="459"/>
      <c r="G100" s="254"/>
    </row>
    <row r="101" spans="1:7" ht="15">
      <c r="A101" s="266"/>
      <c r="B101" s="255"/>
      <c r="C101" s="458"/>
      <c r="D101" s="459"/>
      <c r="E101" s="458"/>
      <c r="F101" s="459"/>
      <c r="G101" s="254"/>
    </row>
    <row r="102" spans="1:7" ht="15">
      <c r="A102" s="266"/>
      <c r="B102" s="255"/>
      <c r="C102" s="458"/>
      <c r="D102" s="459"/>
      <c r="E102" s="458"/>
      <c r="F102" s="459"/>
      <c r="G102" s="254"/>
    </row>
    <row r="103" spans="1:7" ht="15">
      <c r="A103" s="266"/>
      <c r="B103" s="255"/>
      <c r="C103" s="458"/>
      <c r="D103" s="459"/>
      <c r="E103" s="458"/>
      <c r="F103" s="459"/>
      <c r="G103" s="254"/>
    </row>
    <row r="104" spans="1:7" ht="15">
      <c r="A104" s="266"/>
      <c r="B104" s="255"/>
      <c r="C104" s="458"/>
      <c r="D104" s="459"/>
      <c r="E104" s="458"/>
      <c r="F104" s="459"/>
      <c r="G104" s="254"/>
    </row>
    <row r="105" spans="1:7" ht="15">
      <c r="A105" s="266"/>
      <c r="B105" s="255"/>
      <c r="C105" s="458"/>
      <c r="D105" s="459"/>
      <c r="E105" s="458"/>
      <c r="F105" s="459"/>
      <c r="G105" s="254"/>
    </row>
    <row r="106" spans="1:7" ht="15">
      <c r="A106" s="266"/>
      <c r="B106" s="255"/>
      <c r="C106" s="458"/>
      <c r="D106" s="459"/>
      <c r="E106" s="458"/>
      <c r="F106" s="459"/>
      <c r="G106" s="254"/>
    </row>
    <row r="107" spans="1:7" ht="15.75" customHeight="1">
      <c r="A107" s="267" t="s">
        <v>551</v>
      </c>
      <c r="B107" s="246"/>
      <c r="C107" s="458"/>
      <c r="D107" s="459"/>
      <c r="E107" s="458"/>
      <c r="F107" s="459"/>
      <c r="G107" s="263">
        <f>nhood!E6</f>
      </c>
    </row>
    <row r="108" spans="1:7" ht="15">
      <c r="A108" s="267" t="s">
        <v>549</v>
      </c>
      <c r="B108" s="246"/>
      <c r="C108" s="458"/>
      <c r="D108" s="459"/>
      <c r="E108" s="458"/>
      <c r="F108" s="459"/>
      <c r="G108" s="254"/>
    </row>
    <row r="109" spans="1:7" ht="15">
      <c r="A109" s="267" t="s">
        <v>552</v>
      </c>
      <c r="B109" s="246"/>
      <c r="C109" s="468">
        <f>IF(C110*0.1&lt;C108,"Exceed 10% Rule","")</f>
      </c>
      <c r="D109" s="469"/>
      <c r="E109" s="468">
        <f>IF(E110*0.1&lt;E108,"Exceed 10% Rule","")</f>
      </c>
      <c r="F109" s="469"/>
      <c r="G109" s="257">
        <f>IF(G110*0.1&lt;G108,"Exceed 10% Rule","")</f>
      </c>
    </row>
    <row r="110" spans="1:7" ht="15">
      <c r="A110" s="258" t="s">
        <v>298</v>
      </c>
      <c r="B110" s="246"/>
      <c r="C110" s="476">
        <f>SUM(C75:C108)</f>
        <v>42001</v>
      </c>
      <c r="D110" s="477"/>
      <c r="E110" s="476">
        <f>SUM(E75:E108)</f>
        <v>41500</v>
      </c>
      <c r="F110" s="477"/>
      <c r="G110" s="268">
        <f>SUM(G75:G108)</f>
        <v>46057</v>
      </c>
    </row>
    <row r="111" spans="1:7" ht="15">
      <c r="A111" s="135" t="s">
        <v>409</v>
      </c>
      <c r="B111" s="246"/>
      <c r="C111" s="474">
        <f>C57-C110</f>
        <v>0</v>
      </c>
      <c r="D111" s="475"/>
      <c r="E111" s="474">
        <f>E57-E110</f>
        <v>6270</v>
      </c>
      <c r="F111" s="475"/>
      <c r="G111" s="253" t="s">
        <v>274</v>
      </c>
    </row>
    <row r="112" spans="1:8" ht="15">
      <c r="A112" s="123" t="str">
        <f>CONCATENATE("",$G$1-2,"/",$G$1-1," Budget Authority Amount:")</f>
        <v>2010/2011 Budget Authority Amount:</v>
      </c>
      <c r="B112" s="269">
        <f>inputOth!B60</f>
        <v>44298</v>
      </c>
      <c r="C112" s="269">
        <f>inputPrYr!D17</f>
        <v>41500</v>
      </c>
      <c r="D112" s="478" t="s">
        <v>586</v>
      </c>
      <c r="E112" s="479"/>
      <c r="F112" s="480"/>
      <c r="G112" s="254"/>
      <c r="H112" s="270">
        <f>IF((G110/0.95)-G110&lt;G112,"Exceeds 5% ","")</f>
      </c>
    </row>
    <row r="113" spans="1:7" ht="15">
      <c r="A113" s="123"/>
      <c r="B113" s="271">
        <f>IF(C110&gt;B112,"See Tab A","")</f>
      </c>
      <c r="C113" s="271">
        <f>IF(E110&gt;C112,"See Tab C","")</f>
      </c>
      <c r="D113" s="22"/>
      <c r="E113" s="472" t="s">
        <v>589</v>
      </c>
      <c r="F113" s="473"/>
      <c r="G113" s="70">
        <f>G110+G112</f>
        <v>46057</v>
      </c>
    </row>
    <row r="114" spans="1:7" ht="15">
      <c r="A114" s="123"/>
      <c r="B114" s="271">
        <f>IF(C111&lt;0,"See Tab B","")</f>
      </c>
      <c r="C114" s="271">
        <f>IF(E111&lt;0,"See Tab D","")</f>
      </c>
      <c r="D114" s="22"/>
      <c r="E114" s="472" t="s">
        <v>299</v>
      </c>
      <c r="F114" s="473"/>
      <c r="G114" s="263">
        <f>IF(G113-G57&gt;0,G113-G57,0)</f>
        <v>13596</v>
      </c>
    </row>
    <row r="115" spans="1:7" ht="15">
      <c r="A115" s="123"/>
      <c r="B115" s="123"/>
      <c r="C115" s="487" t="s">
        <v>590</v>
      </c>
      <c r="D115" s="488"/>
      <c r="E115" s="488"/>
      <c r="F115" s="273">
        <f>inputOth!$E$46</f>
        <v>0</v>
      </c>
      <c r="G115" s="70">
        <f>ROUND(IF(F115&gt;0,(G114*F115),0),0)</f>
        <v>0</v>
      </c>
    </row>
    <row r="116" spans="1:7" ht="15.75" thickBot="1">
      <c r="A116" s="22"/>
      <c r="B116" s="22"/>
      <c r="C116" s="489" t="str">
        <f>CONCATENATE("Amount of  ",$G$1-1," Ad Valorem Tax")</f>
        <v>Amount of  2011 Ad Valorem Tax</v>
      </c>
      <c r="D116" s="490"/>
      <c r="E116" s="490"/>
      <c r="F116" s="491"/>
      <c r="G116" s="274">
        <f>G114+G115</f>
        <v>13596</v>
      </c>
    </row>
    <row r="117" spans="1:7" ht="15.75" thickTop="1">
      <c r="A117" s="22"/>
      <c r="B117" s="22"/>
      <c r="C117" s="22"/>
      <c r="D117" s="22"/>
      <c r="E117" s="22"/>
      <c r="F117" s="22"/>
      <c r="G117" s="22"/>
    </row>
    <row r="118" spans="1:7" ht="15">
      <c r="A118" s="444" t="s">
        <v>429</v>
      </c>
      <c r="B118" s="444"/>
      <c r="C118" s="444"/>
      <c r="D118" s="444"/>
      <c r="E118" s="444"/>
      <c r="F118" s="444"/>
      <c r="G118" s="444"/>
    </row>
    <row r="120" spans="1:2" ht="15">
      <c r="A120" s="85"/>
      <c r="B120" s="85"/>
    </row>
    <row r="123" spans="1:4" ht="15">
      <c r="A123" s="8"/>
      <c r="B123" s="8"/>
      <c r="C123" s="8"/>
      <c r="D123" s="8"/>
    </row>
  </sheetData>
  <sheetProtection sheet="1" objects="1" scenarios="1"/>
  <mergeCells count="211">
    <mergeCell ref="C7:D7"/>
    <mergeCell ref="C8:D8"/>
    <mergeCell ref="E7:F7"/>
    <mergeCell ref="C5:D5"/>
    <mergeCell ref="C6:D6"/>
    <mergeCell ref="E5:F5"/>
    <mergeCell ref="E6:F6"/>
    <mergeCell ref="E8:F8"/>
    <mergeCell ref="A118:G118"/>
    <mergeCell ref="C63:D63"/>
    <mergeCell ref="C64:D64"/>
    <mergeCell ref="C65:D65"/>
    <mergeCell ref="C66:D66"/>
    <mergeCell ref="E63:F63"/>
    <mergeCell ref="E114:F114"/>
    <mergeCell ref="C115:E115"/>
    <mergeCell ref="C116:F116"/>
    <mergeCell ref="C109:D109"/>
    <mergeCell ref="E9:F9"/>
    <mergeCell ref="C55:D55"/>
    <mergeCell ref="C56:D56"/>
    <mergeCell ref="C57:D57"/>
    <mergeCell ref="E64:F64"/>
    <mergeCell ref="C9:D9"/>
    <mergeCell ref="C12:D12"/>
    <mergeCell ref="C19:D19"/>
    <mergeCell ref="C11:D11"/>
    <mergeCell ref="C10:D10"/>
    <mergeCell ref="D112:F112"/>
    <mergeCell ref="C73:D73"/>
    <mergeCell ref="C110:D110"/>
    <mergeCell ref="C18:D18"/>
    <mergeCell ref="C74:D74"/>
    <mergeCell ref="C13:D13"/>
    <mergeCell ref="C14:D14"/>
    <mergeCell ref="C15:D15"/>
    <mergeCell ref="C16:D16"/>
    <mergeCell ref="C17:D17"/>
    <mergeCell ref="E113:F113"/>
    <mergeCell ref="C111:D111"/>
    <mergeCell ref="E109:F109"/>
    <mergeCell ref="E110:F110"/>
    <mergeCell ref="E111:F111"/>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44:D44"/>
    <mergeCell ref="C45:D45"/>
    <mergeCell ref="C38:D38"/>
    <mergeCell ref="C39:D39"/>
    <mergeCell ref="C40:D40"/>
    <mergeCell ref="C41:D41"/>
    <mergeCell ref="E18:F18"/>
    <mergeCell ref="C50:D50"/>
    <mergeCell ref="C51:D51"/>
    <mergeCell ref="C52:D52"/>
    <mergeCell ref="C46:D46"/>
    <mergeCell ref="C47:D47"/>
    <mergeCell ref="C48:D48"/>
    <mergeCell ref="C49:D49"/>
    <mergeCell ref="C42:D42"/>
    <mergeCell ref="C43:D43"/>
    <mergeCell ref="E14:F14"/>
    <mergeCell ref="E15:F15"/>
    <mergeCell ref="E16:F16"/>
    <mergeCell ref="E17:F17"/>
    <mergeCell ref="E10:F10"/>
    <mergeCell ref="E11:F11"/>
    <mergeCell ref="E12:F12"/>
    <mergeCell ref="E13:F13"/>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A59:G59"/>
    <mergeCell ref="C54:D54"/>
    <mergeCell ref="C53:D53"/>
    <mergeCell ref="E55:F55"/>
    <mergeCell ref="E56:F56"/>
    <mergeCell ref="E57:F57"/>
    <mergeCell ref="E51:F51"/>
    <mergeCell ref="E52:F52"/>
    <mergeCell ref="E53:F53"/>
    <mergeCell ref="E54:F54"/>
    <mergeCell ref="E65:F65"/>
    <mergeCell ref="E66:F66"/>
    <mergeCell ref="E72:F72"/>
    <mergeCell ref="E73:F73"/>
    <mergeCell ref="E74:F74"/>
    <mergeCell ref="E75:F75"/>
    <mergeCell ref="E76:F76"/>
    <mergeCell ref="E77:F77"/>
    <mergeCell ref="C67:D67"/>
    <mergeCell ref="C68:D68"/>
    <mergeCell ref="C72:D72"/>
    <mergeCell ref="C78:D78"/>
    <mergeCell ref="C79:D79"/>
    <mergeCell ref="C75:D75"/>
    <mergeCell ref="C76:D76"/>
    <mergeCell ref="C77:D77"/>
    <mergeCell ref="C69:D69"/>
    <mergeCell ref="C70:D70"/>
    <mergeCell ref="C71:D71"/>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106:D106"/>
    <mergeCell ref="C107:D107"/>
    <mergeCell ref="C100:D100"/>
    <mergeCell ref="C101:D101"/>
    <mergeCell ref="C102:D102"/>
    <mergeCell ref="C103:D103"/>
    <mergeCell ref="E78:F78"/>
    <mergeCell ref="E79:F79"/>
    <mergeCell ref="C104:D104"/>
    <mergeCell ref="C105:D105"/>
    <mergeCell ref="C96:D96"/>
    <mergeCell ref="C97:D97"/>
    <mergeCell ref="C98:D98"/>
    <mergeCell ref="C99:D99"/>
    <mergeCell ref="E80:F80"/>
    <mergeCell ref="E81:F81"/>
    <mergeCell ref="E82:F82"/>
    <mergeCell ref="E83:F83"/>
    <mergeCell ref="C108:D108"/>
    <mergeCell ref="E67:F67"/>
    <mergeCell ref="E68:F68"/>
    <mergeCell ref="E69:F69"/>
    <mergeCell ref="E70:F70"/>
    <mergeCell ref="E71:F71"/>
    <mergeCell ref="E88:F88"/>
    <mergeCell ref="E89:F89"/>
    <mergeCell ref="E90:F90"/>
    <mergeCell ref="E91:F91"/>
    <mergeCell ref="E84:F84"/>
    <mergeCell ref="E85:F85"/>
    <mergeCell ref="E86:F86"/>
    <mergeCell ref="E87:F87"/>
    <mergeCell ref="E107:F107"/>
    <mergeCell ref="E92:F92"/>
    <mergeCell ref="E93:F93"/>
    <mergeCell ref="E94:F94"/>
    <mergeCell ref="E95:F95"/>
    <mergeCell ref="E96:F96"/>
    <mergeCell ref="E97:F97"/>
    <mergeCell ref="E108:F108"/>
    <mergeCell ref="E103:F103"/>
    <mergeCell ref="E104:F104"/>
    <mergeCell ref="E105:F105"/>
    <mergeCell ref="E106:F106"/>
    <mergeCell ref="E98:F98"/>
    <mergeCell ref="E99:F99"/>
    <mergeCell ref="E100:F100"/>
    <mergeCell ref="E101:F101"/>
    <mergeCell ref="E102:F102"/>
  </mergeCells>
  <conditionalFormatting sqref="G112">
    <cfRule type="cellIs" priority="2" dxfId="245" operator="greaterThan" stopIfTrue="1">
      <formula>$G$110/0.95-$G$110</formula>
    </cfRule>
  </conditionalFormatting>
  <conditionalFormatting sqref="G108">
    <cfRule type="cellIs" priority="3" dxfId="245" operator="greaterThan" stopIfTrue="1">
      <formula>$G$110*0.1</formula>
    </cfRule>
  </conditionalFormatting>
  <conditionalFormatting sqref="E110:F110">
    <cfRule type="cellIs" priority="4" dxfId="1" operator="greaterThan" stopIfTrue="1">
      <formula>$C$112</formula>
    </cfRule>
  </conditionalFormatting>
  <conditionalFormatting sqref="C110:D110">
    <cfRule type="cellIs" priority="5" dxfId="1" operator="greaterThan" stopIfTrue="1">
      <formula>$B$112</formula>
    </cfRule>
  </conditionalFormatting>
  <conditionalFormatting sqref="C111:D111">
    <cfRule type="cellIs" priority="6" dxfId="1" operator="lessThan" stopIfTrue="1">
      <formula>0</formula>
    </cfRule>
  </conditionalFormatting>
  <conditionalFormatting sqref="C108:D108">
    <cfRule type="cellIs" priority="7" dxfId="1" operator="greaterThan" stopIfTrue="1">
      <formula>$C$110*0.1</formula>
    </cfRule>
  </conditionalFormatting>
  <conditionalFormatting sqref="E108:F108">
    <cfRule type="cellIs" priority="8" dxfId="1" operator="greaterThan" stopIfTrue="1">
      <formula>$E$110*0.1</formula>
    </cfRule>
  </conditionalFormatting>
  <conditionalFormatting sqref="E54:F54">
    <cfRule type="cellIs" priority="9" dxfId="1" operator="greaterThan" stopIfTrue="1">
      <formula>$E$56*0.1</formula>
    </cfRule>
  </conditionalFormatting>
  <conditionalFormatting sqref="C54:D54">
    <cfRule type="cellIs" priority="10" dxfId="1" operator="greaterThan" stopIfTrue="1">
      <formula>$C$56*0.1</formula>
    </cfRule>
  </conditionalFormatting>
  <conditionalFormatting sqref="G54">
    <cfRule type="cellIs" priority="11" dxfId="245" operator="greaterThan" stopIfTrue="1">
      <formula>$G$56*0.1+G116</formula>
    </cfRule>
  </conditionalFormatting>
  <conditionalFormatting sqref="E111:F111">
    <cfRule type="cellIs" priority="1" dxfId="0" operator="lessThan" stopIfTrue="1">
      <formula>0</formula>
    </cfRule>
  </conditionalFormatting>
  <printOptions/>
  <pageMargins left="0.5" right="0.5" top="1" bottom="0.5" header="0.5" footer="0.25"/>
  <pageSetup blackAndWhite="1" fitToHeight="2" fitToWidth="1" horizontalDpi="300" verticalDpi="300" orientation="portrait" scale="71" r:id="rId1"/>
  <headerFooter alignWithMargins="0">
    <oddHeader>&amp;RState of Kansas
City
</oddHeader>
    <oddFooter>&amp;Lrevised 10/2/09</oddFooter>
  </headerFooter>
  <rowBreaks count="1" manualBreakCount="1">
    <brk id="60" max="65535" man="1"/>
  </rowBreaks>
  <colBreaks count="1" manualBreakCount="1">
    <brk id="7"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E1" sqref="E1"/>
    </sheetView>
  </sheetViews>
  <sheetFormatPr defaultColWidth="8.8984375" defaultRowHeight="15"/>
  <cols>
    <col min="1" max="1" width="28.296875" style="8" customWidth="1"/>
    <col min="2" max="3" width="15.69921875" style="8" customWidth="1"/>
    <col min="4" max="4" width="16.09765625" style="8" customWidth="1"/>
    <col min="5" max="16384" width="8.8984375" style="8" customWidth="1"/>
  </cols>
  <sheetData>
    <row r="1" spans="1:4" ht="15">
      <c r="A1" s="162" t="str">
        <f>inputPrYr!D2</f>
        <v>CITY OF BURR OAK</v>
      </c>
      <c r="B1" s="22"/>
      <c r="C1" s="160"/>
      <c r="D1" s="22">
        <f>inputPrYr!C5</f>
        <v>2012</v>
      </c>
    </row>
    <row r="2" spans="1:4" ht="15">
      <c r="A2" s="22"/>
      <c r="B2" s="22"/>
      <c r="C2" s="22"/>
      <c r="D2" s="160"/>
    </row>
    <row r="3" spans="1:4" ht="15">
      <c r="A3" s="41"/>
      <c r="B3" s="275"/>
      <c r="C3" s="275"/>
      <c r="D3" s="275"/>
    </row>
    <row r="4" spans="1:4" ht="15">
      <c r="A4" s="160" t="s">
        <v>285</v>
      </c>
      <c r="B4" s="276" t="s">
        <v>305</v>
      </c>
      <c r="C4" s="129" t="s">
        <v>432</v>
      </c>
      <c r="D4" s="129" t="s">
        <v>433</v>
      </c>
    </row>
    <row r="5" spans="1:4" ht="15">
      <c r="A5" s="56" t="s">
        <v>593</v>
      </c>
      <c r="B5" s="244">
        <f>D1-2</f>
        <v>2010</v>
      </c>
      <c r="C5" s="244">
        <f>D1-1</f>
        <v>2011</v>
      </c>
      <c r="D5" s="244">
        <f>D1</f>
        <v>2012</v>
      </c>
    </row>
    <row r="6" spans="1:4" ht="15">
      <c r="A6" s="212" t="s">
        <v>294</v>
      </c>
      <c r="B6" s="70"/>
      <c r="C6" s="70"/>
      <c r="D6" s="70"/>
    </row>
    <row r="7" spans="1:4" ht="15">
      <c r="A7" s="277" t="s">
        <v>723</v>
      </c>
      <c r="B7" s="70"/>
      <c r="C7" s="70"/>
      <c r="D7" s="70"/>
    </row>
    <row r="8" spans="1:4" ht="15">
      <c r="A8" s="278" t="s">
        <v>302</v>
      </c>
      <c r="B8" s="254">
        <v>24544</v>
      </c>
      <c r="C8" s="254">
        <v>25000</v>
      </c>
      <c r="D8" s="254">
        <v>25057</v>
      </c>
    </row>
    <row r="9" spans="1:4" ht="15">
      <c r="A9" s="278" t="s">
        <v>295</v>
      </c>
      <c r="B9" s="254"/>
      <c r="C9" s="254"/>
      <c r="D9" s="254"/>
    </row>
    <row r="10" spans="1:4" ht="15">
      <c r="A10" s="278" t="s">
        <v>296</v>
      </c>
      <c r="B10" s="254"/>
      <c r="C10" s="254"/>
      <c r="D10" s="254"/>
    </row>
    <row r="11" spans="1:4" ht="15">
      <c r="A11" s="278" t="s">
        <v>297</v>
      </c>
      <c r="B11" s="254"/>
      <c r="C11" s="254"/>
      <c r="D11" s="254"/>
    </row>
    <row r="12" spans="1:4" ht="15">
      <c r="A12" s="278"/>
      <c r="B12" s="254"/>
      <c r="C12" s="254"/>
      <c r="D12" s="254"/>
    </row>
    <row r="13" spans="1:4" ht="15">
      <c r="A13" s="54"/>
      <c r="B13" s="254"/>
      <c r="C13" s="254"/>
      <c r="D13" s="254"/>
    </row>
    <row r="14" spans="1:4" ht="15">
      <c r="A14" s="54"/>
      <c r="B14" s="254"/>
      <c r="C14" s="254"/>
      <c r="D14" s="254"/>
    </row>
    <row r="15" spans="1:4" ht="15">
      <c r="A15" s="212" t="s">
        <v>623</v>
      </c>
      <c r="B15" s="268">
        <f>SUM(B8:B14)</f>
        <v>24544</v>
      </c>
      <c r="C15" s="268">
        <f>SUM(C8:C14)</f>
        <v>25000</v>
      </c>
      <c r="D15" s="268">
        <f>SUM(D8:D14)</f>
        <v>25057</v>
      </c>
    </row>
    <row r="16" spans="1:4" ht="15">
      <c r="A16" s="279" t="s">
        <v>724</v>
      </c>
      <c r="B16" s="162"/>
      <c r="C16" s="162"/>
      <c r="D16" s="162"/>
    </row>
    <row r="17" spans="1:4" ht="15">
      <c r="A17" s="278" t="s">
        <v>302</v>
      </c>
      <c r="B17" s="254">
        <v>13140</v>
      </c>
      <c r="C17" s="254">
        <v>13150</v>
      </c>
      <c r="D17" s="254">
        <v>13200</v>
      </c>
    </row>
    <row r="18" spans="1:4" ht="15">
      <c r="A18" s="278" t="s">
        <v>295</v>
      </c>
      <c r="B18" s="254"/>
      <c r="C18" s="254"/>
      <c r="D18" s="254"/>
    </row>
    <row r="19" spans="1:4" ht="15">
      <c r="A19" s="278" t="s">
        <v>296</v>
      </c>
      <c r="B19" s="254"/>
      <c r="C19" s="254"/>
      <c r="D19" s="254"/>
    </row>
    <row r="20" spans="1:4" ht="15">
      <c r="A20" s="278" t="s">
        <v>297</v>
      </c>
      <c r="B20" s="254"/>
      <c r="C20" s="254"/>
      <c r="D20" s="254"/>
    </row>
    <row r="21" spans="1:4" ht="15">
      <c r="A21" s="212" t="s">
        <v>623</v>
      </c>
      <c r="B21" s="268">
        <f>SUM(B17:B20)</f>
        <v>13140</v>
      </c>
      <c r="C21" s="268">
        <f>SUM(C17:C20)</f>
        <v>13150</v>
      </c>
      <c r="D21" s="268">
        <f>SUM(D17:D20)</f>
        <v>13200</v>
      </c>
    </row>
    <row r="22" spans="1:4" ht="15">
      <c r="A22" s="279" t="s">
        <v>721</v>
      </c>
      <c r="B22" s="162"/>
      <c r="C22" s="162"/>
      <c r="D22" s="162"/>
    </row>
    <row r="23" spans="1:4" ht="15">
      <c r="A23" s="278" t="s">
        <v>302</v>
      </c>
      <c r="B23" s="254"/>
      <c r="C23" s="254"/>
      <c r="D23" s="254"/>
    </row>
    <row r="24" spans="1:4" ht="15">
      <c r="A24" s="278" t="s">
        <v>295</v>
      </c>
      <c r="B24" s="254"/>
      <c r="C24" s="254"/>
      <c r="D24" s="254"/>
    </row>
    <row r="25" spans="1:4" ht="15">
      <c r="A25" s="278" t="s">
        <v>296</v>
      </c>
      <c r="B25" s="254"/>
      <c r="C25" s="254"/>
      <c r="D25" s="254"/>
    </row>
    <row r="26" spans="1:4" ht="15">
      <c r="A26" s="278" t="s">
        <v>297</v>
      </c>
      <c r="B26" s="254"/>
      <c r="C26" s="254"/>
      <c r="D26" s="254"/>
    </row>
    <row r="27" spans="1:4" ht="15">
      <c r="A27" s="212" t="s">
        <v>623</v>
      </c>
      <c r="B27" s="268">
        <f>SUM(B23:B26)</f>
        <v>0</v>
      </c>
      <c r="C27" s="268">
        <f>SUM(C23:C26)</f>
        <v>0</v>
      </c>
      <c r="D27" s="268">
        <f>SUM(D23:D26)</f>
        <v>0</v>
      </c>
    </row>
    <row r="28" spans="1:4" ht="15">
      <c r="A28" s="279" t="s">
        <v>722</v>
      </c>
      <c r="B28" s="162"/>
      <c r="C28" s="162"/>
      <c r="D28" s="162"/>
    </row>
    <row r="29" spans="1:4" ht="15">
      <c r="A29" s="278" t="s">
        <v>302</v>
      </c>
      <c r="B29" s="254">
        <v>4317</v>
      </c>
      <c r="C29" s="254">
        <v>5000</v>
      </c>
      <c r="D29" s="254">
        <v>7800</v>
      </c>
    </row>
    <row r="30" spans="1:4" ht="15">
      <c r="A30" s="278" t="s">
        <v>295</v>
      </c>
      <c r="B30" s="254"/>
      <c r="C30" s="254"/>
      <c r="D30" s="254"/>
    </row>
    <row r="31" spans="1:4" ht="15">
      <c r="A31" s="278" t="s">
        <v>296</v>
      </c>
      <c r="B31" s="254"/>
      <c r="C31" s="254"/>
      <c r="D31" s="254"/>
    </row>
    <row r="32" spans="1:4" ht="15">
      <c r="A32" s="278" t="s">
        <v>297</v>
      </c>
      <c r="B32" s="254"/>
      <c r="C32" s="254"/>
      <c r="D32" s="254"/>
    </row>
    <row r="33" spans="1:4" ht="15">
      <c r="A33" s="212" t="s">
        <v>623</v>
      </c>
      <c r="B33" s="268">
        <f>SUM(B29:B32)</f>
        <v>4317</v>
      </c>
      <c r="C33" s="268">
        <f>SUM(C29:C32)</f>
        <v>5000</v>
      </c>
      <c r="D33" s="268">
        <f>SUM(D29:D32)</f>
        <v>7800</v>
      </c>
    </row>
    <row r="34" spans="1:4" ht="15">
      <c r="A34" s="279" t="s">
        <v>740</v>
      </c>
      <c r="B34" s="162"/>
      <c r="C34" s="162"/>
      <c r="D34" s="162"/>
    </row>
    <row r="35" spans="1:4" ht="15">
      <c r="A35" s="278" t="s">
        <v>302</v>
      </c>
      <c r="B35" s="254"/>
      <c r="C35" s="254">
        <v>5900</v>
      </c>
      <c r="D35" s="254"/>
    </row>
    <row r="36" spans="1:4" ht="15">
      <c r="A36" s="278" t="s">
        <v>295</v>
      </c>
      <c r="B36" s="254"/>
      <c r="C36" s="254"/>
      <c r="D36" s="254"/>
    </row>
    <row r="37" spans="1:4" ht="15">
      <c r="A37" s="278" t="s">
        <v>296</v>
      </c>
      <c r="B37" s="254"/>
      <c r="C37" s="254"/>
      <c r="D37" s="254"/>
    </row>
    <row r="38" spans="1:4" ht="15">
      <c r="A38" s="278" t="s">
        <v>297</v>
      </c>
      <c r="B38" s="254"/>
      <c r="C38" s="254"/>
      <c r="D38" s="254"/>
    </row>
    <row r="39" spans="1:4" ht="15">
      <c r="A39" s="212" t="s">
        <v>623</v>
      </c>
      <c r="B39" s="268">
        <f>SUM(B35:B38)</f>
        <v>0</v>
      </c>
      <c r="C39" s="268">
        <f>SUM(C35:C38)</f>
        <v>5900</v>
      </c>
      <c r="D39" s="268">
        <f>SUM(D35:D38)</f>
        <v>0</v>
      </c>
    </row>
    <row r="40" spans="1:4" ht="15">
      <c r="A40" s="279" t="s">
        <v>744</v>
      </c>
      <c r="B40" s="162"/>
      <c r="C40" s="162"/>
      <c r="D40" s="162"/>
    </row>
    <row r="41" spans="1:4" ht="15">
      <c r="A41" s="278" t="s">
        <v>302</v>
      </c>
      <c r="B41" s="254"/>
      <c r="C41" s="254">
        <v>-7550</v>
      </c>
      <c r="D41" s="254"/>
    </row>
    <row r="42" spans="1:4" ht="15">
      <c r="A42" s="278" t="s">
        <v>295</v>
      </c>
      <c r="B42" s="254"/>
      <c r="C42" s="254"/>
      <c r="D42" s="254"/>
    </row>
    <row r="43" spans="1:4" ht="15">
      <c r="A43" s="278" t="s">
        <v>296</v>
      </c>
      <c r="B43" s="254"/>
      <c r="C43" s="254"/>
      <c r="D43" s="254"/>
    </row>
    <row r="44" spans="1:4" ht="15">
      <c r="A44" s="278" t="s">
        <v>297</v>
      </c>
      <c r="B44" s="254"/>
      <c r="C44" s="254"/>
      <c r="D44" s="254"/>
    </row>
    <row r="45" spans="1:4" ht="15">
      <c r="A45" s="212" t="s">
        <v>623</v>
      </c>
      <c r="B45" s="268">
        <f>SUM(B41:B44)</f>
        <v>0</v>
      </c>
      <c r="C45" s="268">
        <f>SUM(C41:C44)</f>
        <v>-7550</v>
      </c>
      <c r="D45" s="268">
        <f>SUM(D41:D44)</f>
        <v>0</v>
      </c>
    </row>
    <row r="46" spans="1:4" ht="15">
      <c r="A46" s="279"/>
      <c r="B46" s="162"/>
      <c r="C46" s="162"/>
      <c r="D46" s="162"/>
    </row>
    <row r="47" spans="1:4" ht="15">
      <c r="A47" s="278" t="s">
        <v>302</v>
      </c>
      <c r="B47" s="254"/>
      <c r="C47" s="254"/>
      <c r="D47" s="254"/>
    </row>
    <row r="48" spans="1:4" ht="15">
      <c r="A48" s="278" t="s">
        <v>295</v>
      </c>
      <c r="B48" s="254"/>
      <c r="C48" s="254"/>
      <c r="D48" s="254"/>
    </row>
    <row r="49" spans="1:4" ht="15">
      <c r="A49" s="278" t="s">
        <v>296</v>
      </c>
      <c r="B49" s="254"/>
      <c r="C49" s="254"/>
      <c r="D49" s="254"/>
    </row>
    <row r="50" spans="1:4" ht="15">
      <c r="A50" s="278" t="s">
        <v>297</v>
      </c>
      <c r="B50" s="254"/>
      <c r="C50" s="254"/>
      <c r="D50" s="254"/>
    </row>
    <row r="51" spans="1:4" ht="15">
      <c r="A51" s="212" t="s">
        <v>623</v>
      </c>
      <c r="B51" s="268">
        <f>SUM(B47:B50)</f>
        <v>0</v>
      </c>
      <c r="C51" s="268">
        <f>SUM(C47:C50)</f>
        <v>0</v>
      </c>
      <c r="D51" s="268">
        <f>SUM(D47:D50)</f>
        <v>0</v>
      </c>
    </row>
    <row r="52" spans="1:4" ht="15">
      <c r="A52" s="279"/>
      <c r="B52" s="162"/>
      <c r="C52" s="162"/>
      <c r="D52" s="162"/>
    </row>
    <row r="53" spans="1:4" ht="15">
      <c r="A53" s="278" t="s">
        <v>302</v>
      </c>
      <c r="B53" s="254"/>
      <c r="C53" s="254"/>
      <c r="D53" s="254"/>
    </row>
    <row r="54" spans="1:4" ht="15">
      <c r="A54" s="278" t="s">
        <v>295</v>
      </c>
      <c r="B54" s="254"/>
      <c r="C54" s="254"/>
      <c r="D54" s="254"/>
    </row>
    <row r="55" spans="1:4" ht="15">
      <c r="A55" s="278" t="s">
        <v>296</v>
      </c>
      <c r="B55" s="254"/>
      <c r="C55" s="254"/>
      <c r="D55" s="254"/>
    </row>
    <row r="56" spans="1:4" ht="15">
      <c r="A56" s="278" t="s">
        <v>297</v>
      </c>
      <c r="B56" s="254"/>
      <c r="C56" s="254"/>
      <c r="D56" s="254"/>
    </row>
    <row r="57" spans="1:4" ht="15">
      <c r="A57" s="212" t="s">
        <v>623</v>
      </c>
      <c r="B57" s="268">
        <f>SUM(B53:B56)</f>
        <v>0</v>
      </c>
      <c r="C57" s="268">
        <f>SUM(C53:C56)</f>
        <v>0</v>
      </c>
      <c r="D57" s="268">
        <f>SUM(D53:D56)</f>
        <v>0</v>
      </c>
    </row>
    <row r="58" spans="1:4" ht="15">
      <c r="A58" s="22"/>
      <c r="B58" s="162"/>
      <c r="C58" s="162"/>
      <c r="D58" s="162"/>
    </row>
    <row r="59" spans="1:4" ht="15.75" thickBot="1">
      <c r="A59" s="212" t="s">
        <v>303</v>
      </c>
      <c r="B59" s="280">
        <f>B15+B21+B27+B33+B39+B45+B51+B57</f>
        <v>42001</v>
      </c>
      <c r="C59" s="280">
        <f>C15+C21+C27+C33+C39+C45+C51+C57</f>
        <v>41500</v>
      </c>
      <c r="D59" s="280">
        <f>D15+D21+D27+D33+D39+D45+D51+D57</f>
        <v>46057</v>
      </c>
    </row>
    <row r="60" spans="1:4" ht="15.75" thickTop="1">
      <c r="A60" s="281" t="s">
        <v>591</v>
      </c>
      <c r="B60" s="162"/>
      <c r="C60" s="162"/>
      <c r="D60" s="162"/>
    </row>
    <row r="61" spans="1:4" ht="15">
      <c r="A61" s="22"/>
      <c r="B61" s="282" t="s">
        <v>430</v>
      </c>
      <c r="C61" s="162"/>
      <c r="D61" s="162"/>
    </row>
  </sheetData>
  <sheetProtection sheet="1" objects="1" scenarios="1"/>
  <printOptions/>
  <pageMargins left="0.5" right="0.5" top="1" bottom="0.5" header="0.5" footer="0.5"/>
  <pageSetup blackAndWhite="1" fitToHeight="1" fitToWidth="1" horizontalDpi="300" verticalDpi="300" orientation="portrait" scale="68" r:id="rId1"/>
  <headerFooter alignWithMargins="0">
    <oddHeader>&amp;RState of Kansas
City
</oddHeader>
    <oddFooter>&amp;Lrevised 8/14/08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H1" sqref="H1"/>
    </sheetView>
  </sheetViews>
  <sheetFormatPr defaultColWidth="8.8984375" defaultRowHeight="15"/>
  <cols>
    <col min="1" max="1" width="28.69921875" style="23" customWidth="1"/>
    <col min="2" max="2" width="9.59765625" style="23" customWidth="1"/>
    <col min="3" max="3" width="10.3984375" style="23" customWidth="1"/>
    <col min="4" max="4" width="5.69921875" style="23" customWidth="1"/>
    <col min="5" max="5" width="9.69921875" style="23" customWidth="1"/>
    <col min="6" max="6" width="6.69921875" style="23" customWidth="1"/>
    <col min="7" max="7" width="16.19921875" style="23" customWidth="1"/>
    <col min="8" max="16384" width="8.8984375" style="23" customWidth="1"/>
  </cols>
  <sheetData>
    <row r="1" spans="1:7" ht="15">
      <c r="A1" s="162" t="str">
        <f>inputPrYr!D2</f>
        <v>CITY OF BURR OAK</v>
      </c>
      <c r="B1" s="162"/>
      <c r="C1" s="22"/>
      <c r="D1" s="22"/>
      <c r="E1" s="22"/>
      <c r="F1" s="22"/>
      <c r="G1" s="206">
        <f>inputPrYr!$C$5</f>
        <v>2012</v>
      </c>
    </row>
    <row r="2" spans="1:7" ht="15">
      <c r="A2" s="22"/>
      <c r="B2" s="22"/>
      <c r="C2" s="22"/>
      <c r="D2" s="22"/>
      <c r="E2" s="22"/>
      <c r="F2" s="22"/>
      <c r="G2" s="157"/>
    </row>
    <row r="3" spans="1:7" ht="15">
      <c r="A3" s="41" t="s">
        <v>548</v>
      </c>
      <c r="B3" s="41"/>
      <c r="C3" s="182"/>
      <c r="D3" s="182"/>
      <c r="E3" s="182"/>
      <c r="F3" s="182"/>
      <c r="G3" s="283"/>
    </row>
    <row r="4" spans="1:7" ht="15">
      <c r="A4" s="22"/>
      <c r="B4" s="22"/>
      <c r="C4" s="284"/>
      <c r="D4" s="284"/>
      <c r="E4" s="284"/>
      <c r="F4" s="284"/>
      <c r="G4" s="284"/>
    </row>
    <row r="5" spans="1:7" ht="15">
      <c r="A5" s="29" t="s">
        <v>285</v>
      </c>
      <c r="B5" s="29"/>
      <c r="C5" s="483" t="s">
        <v>305</v>
      </c>
      <c r="D5" s="484"/>
      <c r="E5" s="485" t="s">
        <v>432</v>
      </c>
      <c r="F5" s="486"/>
      <c r="G5" s="129" t="s">
        <v>433</v>
      </c>
    </row>
    <row r="6" spans="1:7" ht="15">
      <c r="A6" s="184" t="str">
        <f>inputPrYr!B18</f>
        <v>Debt Service</v>
      </c>
      <c r="B6" s="184"/>
      <c r="C6" s="456">
        <f>G1-2</f>
        <v>2010</v>
      </c>
      <c r="D6" s="505"/>
      <c r="E6" s="456">
        <f>G1-1</f>
        <v>2011</v>
      </c>
      <c r="F6" s="505"/>
      <c r="G6" s="191">
        <f>G1</f>
        <v>2012</v>
      </c>
    </row>
    <row r="7" spans="1:7" ht="15">
      <c r="A7" s="135" t="s">
        <v>408</v>
      </c>
      <c r="B7" s="285"/>
      <c r="C7" s="506"/>
      <c r="D7" s="507"/>
      <c r="E7" s="508">
        <f>C54</f>
        <v>0</v>
      </c>
      <c r="F7" s="509"/>
      <c r="G7" s="287">
        <f>E54</f>
        <v>0</v>
      </c>
    </row>
    <row r="8" spans="1:7" ht="15">
      <c r="A8" s="147" t="s">
        <v>410</v>
      </c>
      <c r="B8" s="285"/>
      <c r="C8" s="494"/>
      <c r="D8" s="495"/>
      <c r="E8" s="508"/>
      <c r="F8" s="509"/>
      <c r="G8" s="287"/>
    </row>
    <row r="9" spans="1:7" ht="15">
      <c r="A9" s="135" t="s">
        <v>286</v>
      </c>
      <c r="B9" s="285"/>
      <c r="C9" s="458"/>
      <c r="D9" s="459"/>
      <c r="E9" s="494">
        <f>inputPrYr!E18</f>
        <v>0</v>
      </c>
      <c r="F9" s="495"/>
      <c r="G9" s="288" t="s">
        <v>274</v>
      </c>
    </row>
    <row r="10" spans="1:7" ht="15">
      <c r="A10" s="135" t="s">
        <v>287</v>
      </c>
      <c r="B10" s="285"/>
      <c r="C10" s="458"/>
      <c r="D10" s="459"/>
      <c r="E10" s="458"/>
      <c r="F10" s="459"/>
      <c r="G10" s="289"/>
    </row>
    <row r="11" spans="1:7" ht="15">
      <c r="A11" s="135" t="s">
        <v>288</v>
      </c>
      <c r="B11" s="285"/>
      <c r="C11" s="458"/>
      <c r="D11" s="459"/>
      <c r="E11" s="458"/>
      <c r="F11" s="459"/>
      <c r="G11" s="290" t="str">
        <f>mvalloc!C8</f>
        <v>  </v>
      </c>
    </row>
    <row r="12" spans="1:7" ht="15">
      <c r="A12" s="135" t="s">
        <v>289</v>
      </c>
      <c r="B12" s="285"/>
      <c r="C12" s="458"/>
      <c r="D12" s="459"/>
      <c r="E12" s="458"/>
      <c r="F12" s="459"/>
      <c r="G12" s="290" t="str">
        <f>mvalloc!D8</f>
        <v> </v>
      </c>
    </row>
    <row r="13" spans="1:7" ht="15">
      <c r="A13" s="291" t="s">
        <v>385</v>
      </c>
      <c r="B13" s="285"/>
      <c r="C13" s="458"/>
      <c r="D13" s="459"/>
      <c r="E13" s="458"/>
      <c r="F13" s="459"/>
      <c r="G13" s="290" t="str">
        <f>mvalloc!E8</f>
        <v> </v>
      </c>
    </row>
    <row r="14" spans="1:7" ht="15">
      <c r="A14" s="144" t="s">
        <v>441</v>
      </c>
      <c r="B14" s="285"/>
      <c r="C14" s="458"/>
      <c r="D14" s="459"/>
      <c r="E14" s="458"/>
      <c r="F14" s="459"/>
      <c r="G14" s="290" t="str">
        <f>mvalloc!F8</f>
        <v> </v>
      </c>
    </row>
    <row r="15" spans="1:7" ht="15">
      <c r="A15" s="291"/>
      <c r="B15" s="285"/>
      <c r="C15" s="458"/>
      <c r="D15" s="459"/>
      <c r="E15" s="458"/>
      <c r="F15" s="459"/>
      <c r="G15" s="290"/>
    </row>
    <row r="16" spans="1:7" ht="15">
      <c r="A16" s="292"/>
      <c r="B16" s="293"/>
      <c r="C16" s="458"/>
      <c r="D16" s="459"/>
      <c r="E16" s="458"/>
      <c r="F16" s="459"/>
      <c r="G16" s="289"/>
    </row>
    <row r="17" spans="1:7" ht="15">
      <c r="A17" s="292"/>
      <c r="B17" s="293"/>
      <c r="C17" s="458"/>
      <c r="D17" s="459"/>
      <c r="E17" s="458"/>
      <c r="F17" s="459"/>
      <c r="G17" s="294"/>
    </row>
    <row r="18" spans="1:7" ht="15">
      <c r="A18" s="292"/>
      <c r="B18" s="293"/>
      <c r="C18" s="458"/>
      <c r="D18" s="459"/>
      <c r="E18" s="458"/>
      <c r="F18" s="459"/>
      <c r="G18" s="289"/>
    </row>
    <row r="19" spans="1:7" ht="15">
      <c r="A19" s="292"/>
      <c r="B19" s="293"/>
      <c r="C19" s="458"/>
      <c r="D19" s="459"/>
      <c r="E19" s="458"/>
      <c r="F19" s="459"/>
      <c r="G19" s="289"/>
    </row>
    <row r="20" spans="1:7" ht="15">
      <c r="A20" s="292"/>
      <c r="B20" s="293"/>
      <c r="C20" s="458"/>
      <c r="D20" s="459"/>
      <c r="E20" s="458"/>
      <c r="F20" s="459"/>
      <c r="G20" s="289"/>
    </row>
    <row r="21" spans="1:7" ht="15">
      <c r="A21" s="292"/>
      <c r="B21" s="293"/>
      <c r="C21" s="458"/>
      <c r="D21" s="459"/>
      <c r="E21" s="458"/>
      <c r="F21" s="459"/>
      <c r="G21" s="289"/>
    </row>
    <row r="22" spans="1:7" ht="15">
      <c r="A22" s="292"/>
      <c r="B22" s="293"/>
      <c r="C22" s="458"/>
      <c r="D22" s="459"/>
      <c r="E22" s="458"/>
      <c r="F22" s="459"/>
      <c r="G22" s="289"/>
    </row>
    <row r="23" spans="1:7" ht="15">
      <c r="A23" s="292"/>
      <c r="B23" s="293"/>
      <c r="C23" s="458"/>
      <c r="D23" s="459"/>
      <c r="E23" s="458"/>
      <c r="F23" s="459"/>
      <c r="G23" s="289"/>
    </row>
    <row r="24" spans="1:7" ht="15">
      <c r="A24" s="292"/>
      <c r="B24" s="293"/>
      <c r="C24" s="458"/>
      <c r="D24" s="459"/>
      <c r="E24" s="458"/>
      <c r="F24" s="459"/>
      <c r="G24" s="289"/>
    </row>
    <row r="25" spans="1:7" ht="15">
      <c r="A25" s="292" t="s">
        <v>434</v>
      </c>
      <c r="B25" s="293"/>
      <c r="C25" s="458"/>
      <c r="D25" s="459"/>
      <c r="E25" s="458"/>
      <c r="F25" s="459"/>
      <c r="G25" s="289"/>
    </row>
    <row r="26" spans="1:7" ht="15">
      <c r="A26" s="295" t="s">
        <v>290</v>
      </c>
      <c r="B26" s="293"/>
      <c r="C26" s="458"/>
      <c r="D26" s="459"/>
      <c r="E26" s="458"/>
      <c r="F26" s="459"/>
      <c r="G26" s="289"/>
    </row>
    <row r="27" spans="1:7" ht="15">
      <c r="A27" s="144" t="s">
        <v>549</v>
      </c>
      <c r="B27" s="246"/>
      <c r="C27" s="458"/>
      <c r="D27" s="459"/>
      <c r="E27" s="458"/>
      <c r="F27" s="459"/>
      <c r="G27" s="286"/>
    </row>
    <row r="28" spans="1:7" ht="15">
      <c r="A28" s="245" t="s">
        <v>550</v>
      </c>
      <c r="B28" s="246"/>
      <c r="C28" s="496">
        <f>IF(C29*0.1&lt;C27,"Exceed 10% Rule","")</f>
      </c>
      <c r="D28" s="497"/>
      <c r="E28" s="496">
        <f>IF(E29*0.1&lt;E27,"Exceed 10% Rule","")</f>
      </c>
      <c r="F28" s="497"/>
      <c r="G28" s="297">
        <f>IF(G29*0.1+G59&lt;G27,"Exceed 10% Rule","")</f>
      </c>
    </row>
    <row r="29" spans="1:7" ht="15">
      <c r="A29" s="258" t="s">
        <v>291</v>
      </c>
      <c r="B29" s="285"/>
      <c r="C29" s="503">
        <f>SUM(C9:C27)</f>
        <v>0</v>
      </c>
      <c r="D29" s="504"/>
      <c r="E29" s="498">
        <f>SUM(E9:E27)</f>
        <v>0</v>
      </c>
      <c r="F29" s="502"/>
      <c r="G29" s="298">
        <f>SUM(G9:G27)</f>
        <v>0</v>
      </c>
    </row>
    <row r="30" spans="1:7" ht="15">
      <c r="A30" s="258" t="s">
        <v>292</v>
      </c>
      <c r="B30" s="285"/>
      <c r="C30" s="498">
        <f>C7+C29</f>
        <v>0</v>
      </c>
      <c r="D30" s="502"/>
      <c r="E30" s="498">
        <f>E7+E29</f>
        <v>0</v>
      </c>
      <c r="F30" s="502"/>
      <c r="G30" s="299">
        <f>G7+G29</f>
        <v>0</v>
      </c>
    </row>
    <row r="31" spans="1:7" ht="15">
      <c r="A31" s="147" t="s">
        <v>294</v>
      </c>
      <c r="B31" s="285"/>
      <c r="C31" s="494"/>
      <c r="D31" s="495"/>
      <c r="E31" s="494"/>
      <c r="F31" s="495"/>
      <c r="G31" s="290"/>
    </row>
    <row r="32" spans="1:7" ht="15">
      <c r="A32" s="266"/>
      <c r="B32" s="293"/>
      <c r="C32" s="458"/>
      <c r="D32" s="459"/>
      <c r="E32" s="458"/>
      <c r="F32" s="459"/>
      <c r="G32" s="289"/>
    </row>
    <row r="33" spans="1:7" ht="15">
      <c r="A33" s="266"/>
      <c r="B33" s="293"/>
      <c r="C33" s="458"/>
      <c r="D33" s="459"/>
      <c r="E33" s="458"/>
      <c r="F33" s="459"/>
      <c r="G33" s="289"/>
    </row>
    <row r="34" spans="1:7" ht="15">
      <c r="A34" s="266"/>
      <c r="B34" s="293"/>
      <c r="C34" s="458"/>
      <c r="D34" s="459"/>
      <c r="E34" s="458"/>
      <c r="F34" s="459"/>
      <c r="G34" s="289"/>
    </row>
    <row r="35" spans="1:7" ht="15">
      <c r="A35" s="266"/>
      <c r="B35" s="293"/>
      <c r="C35" s="458"/>
      <c r="D35" s="459"/>
      <c r="E35" s="458"/>
      <c r="F35" s="459"/>
      <c r="G35" s="289"/>
    </row>
    <row r="36" spans="1:7" ht="15">
      <c r="A36" s="266"/>
      <c r="B36" s="293"/>
      <c r="C36" s="458"/>
      <c r="D36" s="459"/>
      <c r="E36" s="458"/>
      <c r="F36" s="459"/>
      <c r="G36" s="289"/>
    </row>
    <row r="37" spans="1:7" ht="15">
      <c r="A37" s="266"/>
      <c r="B37" s="293"/>
      <c r="C37" s="458"/>
      <c r="D37" s="459"/>
      <c r="E37" s="458"/>
      <c r="F37" s="459"/>
      <c r="G37" s="289"/>
    </row>
    <row r="38" spans="1:7" ht="15">
      <c r="A38" s="266"/>
      <c r="B38" s="293"/>
      <c r="C38" s="458"/>
      <c r="D38" s="459"/>
      <c r="E38" s="458"/>
      <c r="F38" s="459"/>
      <c r="G38" s="289"/>
    </row>
    <row r="39" spans="1:7" ht="15">
      <c r="A39" s="266"/>
      <c r="B39" s="293"/>
      <c r="C39" s="458"/>
      <c r="D39" s="459"/>
      <c r="E39" s="458"/>
      <c r="F39" s="459"/>
      <c r="G39" s="289"/>
    </row>
    <row r="40" spans="1:7" ht="15">
      <c r="A40" s="266"/>
      <c r="B40" s="293"/>
      <c r="C40" s="458"/>
      <c r="D40" s="459"/>
      <c r="E40" s="458"/>
      <c r="F40" s="459"/>
      <c r="G40" s="289"/>
    </row>
    <row r="41" spans="1:7" ht="15">
      <c r="A41" s="266"/>
      <c r="B41" s="293"/>
      <c r="C41" s="458"/>
      <c r="D41" s="459"/>
      <c r="E41" s="458"/>
      <c r="F41" s="459"/>
      <c r="G41" s="289"/>
    </row>
    <row r="42" spans="1:7" ht="15">
      <c r="A42" s="266"/>
      <c r="B42" s="293"/>
      <c r="C42" s="458"/>
      <c r="D42" s="459"/>
      <c r="E42" s="458"/>
      <c r="F42" s="459"/>
      <c r="G42" s="289"/>
    </row>
    <row r="43" spans="1:7" ht="15">
      <c r="A43" s="266"/>
      <c r="B43" s="293"/>
      <c r="C43" s="458"/>
      <c r="D43" s="459"/>
      <c r="E43" s="458"/>
      <c r="F43" s="459"/>
      <c r="G43" s="289"/>
    </row>
    <row r="44" spans="1:7" ht="15">
      <c r="A44" s="266"/>
      <c r="B44" s="293"/>
      <c r="C44" s="458"/>
      <c r="D44" s="459"/>
      <c r="E44" s="458"/>
      <c r="F44" s="459"/>
      <c r="G44" s="289"/>
    </row>
    <row r="45" spans="1:7" ht="15">
      <c r="A45" s="266"/>
      <c r="B45" s="293"/>
      <c r="C45" s="458"/>
      <c r="D45" s="459"/>
      <c r="E45" s="458"/>
      <c r="F45" s="459"/>
      <c r="G45" s="289"/>
    </row>
    <row r="46" spans="1:7" ht="15">
      <c r="A46" s="266"/>
      <c r="B46" s="293"/>
      <c r="C46" s="458"/>
      <c r="D46" s="459"/>
      <c r="E46" s="458"/>
      <c r="F46" s="459"/>
      <c r="G46" s="289"/>
    </row>
    <row r="47" spans="1:7" ht="15">
      <c r="A47" s="266"/>
      <c r="B47" s="293"/>
      <c r="C47" s="458"/>
      <c r="D47" s="459"/>
      <c r="E47" s="458"/>
      <c r="F47" s="459"/>
      <c r="G47" s="289"/>
    </row>
    <row r="48" spans="1:7" ht="15">
      <c r="A48" s="266"/>
      <c r="B48" s="293"/>
      <c r="C48" s="458"/>
      <c r="D48" s="459"/>
      <c r="E48" s="458"/>
      <c r="F48" s="459"/>
      <c r="G48" s="289"/>
    </row>
    <row r="49" spans="1:7" ht="15">
      <c r="A49" s="266"/>
      <c r="B49" s="293"/>
      <c r="C49" s="458"/>
      <c r="D49" s="459"/>
      <c r="E49" s="458"/>
      <c r="F49" s="459"/>
      <c r="G49" s="289"/>
    </row>
    <row r="50" spans="1:7" ht="15">
      <c r="A50" s="267" t="s">
        <v>551</v>
      </c>
      <c r="B50" s="246"/>
      <c r="C50" s="458"/>
      <c r="D50" s="459"/>
      <c r="E50" s="458"/>
      <c r="F50" s="459"/>
      <c r="G50" s="300">
        <f>nhood!E7</f>
      </c>
    </row>
    <row r="51" spans="1:7" ht="15">
      <c r="A51" s="267" t="s">
        <v>549</v>
      </c>
      <c r="B51" s="246"/>
      <c r="C51" s="458"/>
      <c r="D51" s="459"/>
      <c r="E51" s="458"/>
      <c r="F51" s="459"/>
      <c r="G51" s="289"/>
    </row>
    <row r="52" spans="1:7" ht="15">
      <c r="A52" s="267" t="s">
        <v>552</v>
      </c>
      <c r="B52" s="246"/>
      <c r="C52" s="468">
        <f>IF(C53*0.1&lt;C51,"Exceed 10% Rule","")</f>
      </c>
      <c r="D52" s="469"/>
      <c r="E52" s="468">
        <f>IF(E53*0.1&lt;E51,"Exceed 10% Rule","")</f>
      </c>
      <c r="F52" s="469"/>
      <c r="G52" s="257">
        <f>IF(G53*0.1&lt;G51,"Exceed 10% Rule","")</f>
      </c>
    </row>
    <row r="53" spans="1:7" ht="15">
      <c r="A53" s="258" t="s">
        <v>298</v>
      </c>
      <c r="B53" s="285"/>
      <c r="C53" s="498">
        <f>SUM(C32:C51)</f>
        <v>0</v>
      </c>
      <c r="D53" s="499"/>
      <c r="E53" s="498">
        <f>SUM(E32:E51)</f>
        <v>0</v>
      </c>
      <c r="F53" s="502"/>
      <c r="G53" s="298">
        <f>SUM(G32:G51)</f>
        <v>0</v>
      </c>
    </row>
    <row r="54" spans="1:7" ht="15">
      <c r="A54" s="135" t="s">
        <v>409</v>
      </c>
      <c r="B54" s="285"/>
      <c r="C54" s="500">
        <f>C30-C53</f>
        <v>0</v>
      </c>
      <c r="D54" s="501"/>
      <c r="E54" s="500">
        <f>E30-E53</f>
        <v>0</v>
      </c>
      <c r="F54" s="501"/>
      <c r="G54" s="288" t="s">
        <v>274</v>
      </c>
    </row>
    <row r="55" spans="1:8" ht="15">
      <c r="A55" s="123" t="str">
        <f>CONCATENATE("",$G$1-2,"/",$G$1-1," Budget Authority Amount:")</f>
        <v>2010/2011 Budget Authority Amount:</v>
      </c>
      <c r="B55" s="269">
        <f>inputOth!B61</f>
        <v>0</v>
      </c>
      <c r="C55" s="269">
        <f>inputPrYr!D18</f>
        <v>0</v>
      </c>
      <c r="D55" s="478" t="s">
        <v>586</v>
      </c>
      <c r="E55" s="479"/>
      <c r="F55" s="480"/>
      <c r="G55" s="50"/>
      <c r="H55" s="270">
        <f>IF(G53/0.95-G53&lt;G55,"Exceeds 5%","")</f>
      </c>
    </row>
    <row r="56" spans="1:7" ht="15">
      <c r="A56" s="123"/>
      <c r="B56" s="271">
        <f>IF(C53&gt;B55,"See Tab A","")</f>
      </c>
      <c r="C56" s="271">
        <f>IF(E53&gt;C55,"See Tab C","")</f>
      </c>
      <c r="D56" s="22"/>
      <c r="E56" s="472" t="s">
        <v>589</v>
      </c>
      <c r="F56" s="473"/>
      <c r="G56" s="214">
        <f>G53+G55</f>
        <v>0</v>
      </c>
    </row>
    <row r="57" spans="1:7" ht="15">
      <c r="A57" s="123"/>
      <c r="B57" s="271">
        <f>IF(C54&lt;0,"See Tab B","")</f>
      </c>
      <c r="C57" s="271">
        <f>IF(E54&lt;0,"See Tab D","")</f>
      </c>
      <c r="D57" s="22"/>
      <c r="E57" s="472" t="s">
        <v>299</v>
      </c>
      <c r="F57" s="473"/>
      <c r="G57" s="58">
        <f>IF(G56-G30&gt;0,G56-G30,0)</f>
        <v>0</v>
      </c>
    </row>
    <row r="58" spans="1:7" ht="15">
      <c r="A58" s="157"/>
      <c r="B58" s="157"/>
      <c r="C58" s="487" t="s">
        <v>590</v>
      </c>
      <c r="D58" s="488"/>
      <c r="E58" s="488"/>
      <c r="F58" s="273">
        <f>inputOth!$E$46</f>
        <v>0</v>
      </c>
      <c r="G58" s="214">
        <f>ROUND(IF(F58&gt;0,(G57*F58),0),0)</f>
        <v>0</v>
      </c>
    </row>
    <row r="59" spans="1:7" ht="15">
      <c r="A59" s="22"/>
      <c r="B59" s="22"/>
      <c r="C59" s="489" t="str">
        <f>CONCATENATE("Amount of  ",$G$1-1," Ad Valorem Tax")</f>
        <v>Amount of  2011 Ad Valorem Tax</v>
      </c>
      <c r="D59" s="490"/>
      <c r="E59" s="490"/>
      <c r="F59" s="491"/>
      <c r="G59" s="301">
        <f>G57+G58</f>
        <v>0</v>
      </c>
    </row>
    <row r="60" spans="1:7" ht="15">
      <c r="A60" s="157"/>
      <c r="B60" s="157"/>
      <c r="C60" s="22"/>
      <c r="D60" s="22"/>
      <c r="E60" s="22"/>
      <c r="F60" s="22"/>
      <c r="G60" s="22"/>
    </row>
    <row r="61" spans="1:7" ht="15">
      <c r="A61" s="123"/>
      <c r="B61" s="123" t="s">
        <v>301</v>
      </c>
      <c r="C61" s="279"/>
      <c r="D61" s="302"/>
      <c r="E61" s="22"/>
      <c r="F61" s="22"/>
      <c r="G61" s="22"/>
    </row>
  </sheetData>
  <sheetProtection/>
  <mergeCells count="105">
    <mergeCell ref="C5:D5"/>
    <mergeCell ref="C6:D6"/>
    <mergeCell ref="C7:D7"/>
    <mergeCell ref="C8:D8"/>
    <mergeCell ref="E9:F9"/>
    <mergeCell ref="E5:F5"/>
    <mergeCell ref="E6:F6"/>
    <mergeCell ref="E7:F7"/>
    <mergeCell ref="E8:F8"/>
    <mergeCell ref="C9:D9"/>
    <mergeCell ref="C10:D10"/>
    <mergeCell ref="C11:D11"/>
    <mergeCell ref="E14:F14"/>
    <mergeCell ref="E15:F15"/>
    <mergeCell ref="E16:F16"/>
    <mergeCell ref="C23:D23"/>
    <mergeCell ref="C12:D12"/>
    <mergeCell ref="C13:D13"/>
    <mergeCell ref="C14:D14"/>
    <mergeCell ref="C15:D15"/>
    <mergeCell ref="C24:D24"/>
    <mergeCell ref="C29:D29"/>
    <mergeCell ref="C30:D30"/>
    <mergeCell ref="E28:F28"/>
    <mergeCell ref="E29:F29"/>
    <mergeCell ref="E30:F30"/>
    <mergeCell ref="E26:F26"/>
    <mergeCell ref="E27:F27"/>
    <mergeCell ref="C16:D16"/>
    <mergeCell ref="C17:D17"/>
    <mergeCell ref="C53:D53"/>
    <mergeCell ref="C54:D54"/>
    <mergeCell ref="D55:F55"/>
    <mergeCell ref="E52:F52"/>
    <mergeCell ref="E53:F53"/>
    <mergeCell ref="E54:F54"/>
    <mergeCell ref="C52:D52"/>
    <mergeCell ref="E17:F17"/>
    <mergeCell ref="E56:F56"/>
    <mergeCell ref="E57:F57"/>
    <mergeCell ref="C58:E58"/>
    <mergeCell ref="C59:F59"/>
    <mergeCell ref="C25:D25"/>
    <mergeCell ref="C18:D18"/>
    <mergeCell ref="C19:D19"/>
    <mergeCell ref="C20:D20"/>
    <mergeCell ref="C21:D21"/>
    <mergeCell ref="C22:D22"/>
    <mergeCell ref="E10:F10"/>
    <mergeCell ref="E11:F11"/>
    <mergeCell ref="E12:F12"/>
    <mergeCell ref="E13:F13"/>
    <mergeCell ref="E18:F18"/>
    <mergeCell ref="E19:F19"/>
    <mergeCell ref="E20:F20"/>
    <mergeCell ref="E21:F21"/>
    <mergeCell ref="E22:F22"/>
    <mergeCell ref="E23:F23"/>
    <mergeCell ref="E24:F24"/>
    <mergeCell ref="E25:F25"/>
    <mergeCell ref="C32:D32"/>
    <mergeCell ref="C33:D33"/>
    <mergeCell ref="C31:D31"/>
    <mergeCell ref="E31:F31"/>
    <mergeCell ref="C26:D26"/>
    <mergeCell ref="C27:D27"/>
    <mergeCell ref="C28:D28"/>
    <mergeCell ref="E32:F32"/>
    <mergeCell ref="E33:F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E36:F36"/>
    <mergeCell ref="E37:F37"/>
    <mergeCell ref="E38:F38"/>
    <mergeCell ref="E39:F39"/>
    <mergeCell ref="E40:F40"/>
    <mergeCell ref="E41:F41"/>
    <mergeCell ref="C50:D50"/>
    <mergeCell ref="C51:D51"/>
    <mergeCell ref="E48:F48"/>
    <mergeCell ref="E49:F49"/>
    <mergeCell ref="E50:F50"/>
    <mergeCell ref="E51:F51"/>
    <mergeCell ref="E44:F44"/>
    <mergeCell ref="E45:F45"/>
    <mergeCell ref="E46:F46"/>
    <mergeCell ref="E47:F47"/>
    <mergeCell ref="E34:F34"/>
    <mergeCell ref="E35:F35"/>
    <mergeCell ref="E42:F42"/>
    <mergeCell ref="E43:F43"/>
  </mergeCells>
  <conditionalFormatting sqref="G51">
    <cfRule type="cellIs" priority="2" dxfId="245" operator="greaterThan" stopIfTrue="1">
      <formula>$G$53*0.1</formula>
    </cfRule>
  </conditionalFormatting>
  <conditionalFormatting sqref="G55">
    <cfRule type="cellIs" priority="3" dxfId="245" operator="greaterThan" stopIfTrue="1">
      <formula>$G$53/0.95-$G$53</formula>
    </cfRule>
  </conditionalFormatting>
  <conditionalFormatting sqref="E53:F53">
    <cfRule type="cellIs" priority="4" dxfId="1" operator="greaterThan" stopIfTrue="1">
      <formula>$C$55</formula>
    </cfRule>
  </conditionalFormatting>
  <conditionalFormatting sqref="C53:D53">
    <cfRule type="cellIs" priority="5" dxfId="1" operator="greaterThan" stopIfTrue="1">
      <formula>$B$55</formula>
    </cfRule>
  </conditionalFormatting>
  <conditionalFormatting sqref="C54:D54">
    <cfRule type="cellIs" priority="6" dxfId="1" operator="lessThan" stopIfTrue="1">
      <formula>0</formula>
    </cfRule>
  </conditionalFormatting>
  <conditionalFormatting sqref="C51:D51">
    <cfRule type="cellIs" priority="7" dxfId="1" operator="greaterThan" stopIfTrue="1">
      <formula>$C$53*0.1</formula>
    </cfRule>
  </conditionalFormatting>
  <conditionalFormatting sqref="E51:F51">
    <cfRule type="cellIs" priority="8" dxfId="1" operator="greaterThan" stopIfTrue="1">
      <formula>$E$53*0.1</formula>
    </cfRule>
  </conditionalFormatting>
  <conditionalFormatting sqref="E27:F27">
    <cfRule type="cellIs" priority="9" dxfId="1" operator="greaterThan" stopIfTrue="1">
      <formula>$E$29*0.1</formula>
    </cfRule>
  </conditionalFormatting>
  <conditionalFormatting sqref="C27:D27">
    <cfRule type="cellIs" priority="10" dxfId="1" operator="greaterThan" stopIfTrue="1">
      <formula>$C$29*0.1</formula>
    </cfRule>
  </conditionalFormatting>
  <conditionalFormatting sqref="G27">
    <cfRule type="cellIs" priority="11" dxfId="245" operator="greaterThan" stopIfTrue="1">
      <formula>$G$29*0.1+G59</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8" r:id="rId1"/>
  <headerFooter alignWithMargins="0">
    <oddHeader>&amp;RState of Kansas
City</oddHeader>
    <oddFooter>&amp;Lrevised 10/2/09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H1" sqref="H1"/>
    </sheetView>
  </sheetViews>
  <sheetFormatPr defaultColWidth="8.8984375" defaultRowHeight="15"/>
  <cols>
    <col min="1" max="1" width="28.69921875" style="23" customWidth="1"/>
    <col min="2" max="2" width="9.59765625" style="23" customWidth="1"/>
    <col min="3" max="3" width="10.3984375" style="23" customWidth="1"/>
    <col min="4" max="4" width="5.69921875" style="23" customWidth="1"/>
    <col min="5" max="5" width="9.69921875" style="23" customWidth="1"/>
    <col min="6" max="6" width="6.69921875" style="23" customWidth="1"/>
    <col min="7" max="7" width="16.296875" style="23" customWidth="1"/>
    <col min="8" max="16384" width="8.8984375" style="23" customWidth="1"/>
  </cols>
  <sheetData>
    <row r="1" spans="1:7" ht="15">
      <c r="A1" s="162" t="str">
        <f>(inputPrYr!D2)</f>
        <v>CITY OF BURR OAK</v>
      </c>
      <c r="B1" s="162"/>
      <c r="C1" s="22"/>
      <c r="D1" s="22"/>
      <c r="E1" s="22"/>
      <c r="F1" s="22"/>
      <c r="G1" s="233">
        <f>inputPrYr!C5</f>
        <v>2012</v>
      </c>
    </row>
    <row r="2" spans="1:7" ht="15">
      <c r="A2" s="22"/>
      <c r="B2" s="22"/>
      <c r="C2" s="22"/>
      <c r="D2" s="22"/>
      <c r="E2" s="22"/>
      <c r="F2" s="22"/>
      <c r="G2" s="157"/>
    </row>
    <row r="3" spans="1:7" ht="15">
      <c r="A3" s="41" t="s">
        <v>353</v>
      </c>
      <c r="B3" s="41"/>
      <c r="C3" s="182"/>
      <c r="D3" s="182"/>
      <c r="E3" s="182"/>
      <c r="F3" s="182"/>
      <c r="G3" s="303"/>
    </row>
    <row r="4" spans="1:7" ht="15">
      <c r="A4" s="22"/>
      <c r="B4" s="22"/>
      <c r="C4" s="304"/>
      <c r="D4" s="304"/>
      <c r="E4" s="304"/>
      <c r="F4" s="304"/>
      <c r="G4" s="304"/>
    </row>
    <row r="5" spans="1:7" ht="15">
      <c r="A5" s="29" t="s">
        <v>285</v>
      </c>
      <c r="B5" s="29"/>
      <c r="C5" s="483" t="s">
        <v>305</v>
      </c>
      <c r="D5" s="484"/>
      <c r="E5" s="485" t="s">
        <v>432</v>
      </c>
      <c r="F5" s="486"/>
      <c r="G5" s="129" t="s">
        <v>433</v>
      </c>
    </row>
    <row r="6" spans="1:7" ht="15">
      <c r="A6" s="184" t="str">
        <f>inputPrYr!B20</f>
        <v>Library</v>
      </c>
      <c r="B6" s="184"/>
      <c r="C6" s="481">
        <f>G1-2</f>
        <v>2010</v>
      </c>
      <c r="D6" s="482"/>
      <c r="E6" s="481">
        <f>G1-1</f>
        <v>2011</v>
      </c>
      <c r="F6" s="482"/>
      <c r="G6" s="244">
        <f>G1</f>
        <v>2012</v>
      </c>
    </row>
    <row r="7" spans="1:7" ht="15">
      <c r="A7" s="245" t="s">
        <v>408</v>
      </c>
      <c r="B7" s="246"/>
      <c r="C7" s="492">
        <v>416</v>
      </c>
      <c r="D7" s="493"/>
      <c r="E7" s="464">
        <f>C33</f>
        <v>0</v>
      </c>
      <c r="F7" s="465"/>
      <c r="G7" s="214">
        <f>E33</f>
        <v>0</v>
      </c>
    </row>
    <row r="8" spans="1:7" ht="15">
      <c r="A8" s="249" t="s">
        <v>410</v>
      </c>
      <c r="B8" s="246"/>
      <c r="C8" s="466"/>
      <c r="D8" s="467"/>
      <c r="E8" s="466"/>
      <c r="F8" s="467"/>
      <c r="G8" s="70"/>
    </row>
    <row r="9" spans="1:7" ht="15">
      <c r="A9" s="135" t="s">
        <v>286</v>
      </c>
      <c r="B9" s="246"/>
      <c r="C9" s="458"/>
      <c r="D9" s="459"/>
      <c r="E9" s="464">
        <f>inputPrYr!E20</f>
        <v>0</v>
      </c>
      <c r="F9" s="465"/>
      <c r="G9" s="288" t="s">
        <v>274</v>
      </c>
    </row>
    <row r="10" spans="1:7" ht="15">
      <c r="A10" s="135" t="s">
        <v>287</v>
      </c>
      <c r="B10" s="246"/>
      <c r="C10" s="458"/>
      <c r="D10" s="459"/>
      <c r="E10" s="458"/>
      <c r="F10" s="459"/>
      <c r="G10" s="50"/>
    </row>
    <row r="11" spans="1:7" ht="15">
      <c r="A11" s="135" t="s">
        <v>288</v>
      </c>
      <c r="B11" s="246"/>
      <c r="C11" s="458"/>
      <c r="D11" s="459"/>
      <c r="E11" s="458"/>
      <c r="F11" s="459"/>
      <c r="G11" s="214" t="str">
        <f>mvalloc!C9</f>
        <v>  </v>
      </c>
    </row>
    <row r="12" spans="1:7" ht="15">
      <c r="A12" s="135" t="s">
        <v>289</v>
      </c>
      <c r="B12" s="246"/>
      <c r="C12" s="458"/>
      <c r="D12" s="459"/>
      <c r="E12" s="458"/>
      <c r="F12" s="459"/>
      <c r="G12" s="214" t="str">
        <f>mvalloc!D9</f>
        <v> </v>
      </c>
    </row>
    <row r="13" spans="1:7" ht="15">
      <c r="A13" s="144" t="s">
        <v>385</v>
      </c>
      <c r="B13" s="246"/>
      <c r="C13" s="458"/>
      <c r="D13" s="459"/>
      <c r="E13" s="458"/>
      <c r="F13" s="459"/>
      <c r="G13" s="214" t="str">
        <f>mvalloc!E9</f>
        <v> </v>
      </c>
    </row>
    <row r="14" spans="1:7" ht="15">
      <c r="A14" s="144" t="s">
        <v>441</v>
      </c>
      <c r="B14" s="246"/>
      <c r="C14" s="458"/>
      <c r="D14" s="459"/>
      <c r="E14" s="458"/>
      <c r="F14" s="459"/>
      <c r="G14" s="214" t="str">
        <f>mvalloc!F9</f>
        <v> </v>
      </c>
    </row>
    <row r="15" spans="1:7" ht="15">
      <c r="A15" s="266"/>
      <c r="B15" s="255"/>
      <c r="C15" s="458"/>
      <c r="D15" s="459"/>
      <c r="E15" s="458"/>
      <c r="F15" s="459"/>
      <c r="G15" s="50"/>
    </row>
    <row r="16" spans="1:7" ht="15">
      <c r="A16" s="266"/>
      <c r="B16" s="255"/>
      <c r="C16" s="458"/>
      <c r="D16" s="459"/>
      <c r="E16" s="458"/>
      <c r="F16" s="459"/>
      <c r="G16" s="50"/>
    </row>
    <row r="17" spans="1:7" ht="15">
      <c r="A17" s="266"/>
      <c r="B17" s="255"/>
      <c r="C17" s="458"/>
      <c r="D17" s="453"/>
      <c r="E17" s="458"/>
      <c r="F17" s="453"/>
      <c r="G17" s="50"/>
    </row>
    <row r="18" spans="1:7" ht="15">
      <c r="A18" s="256" t="s">
        <v>290</v>
      </c>
      <c r="B18" s="255"/>
      <c r="C18" s="458"/>
      <c r="D18" s="459"/>
      <c r="E18" s="458"/>
      <c r="F18" s="459"/>
      <c r="G18" s="50"/>
    </row>
    <row r="19" spans="1:7" ht="15">
      <c r="A19" s="144" t="s">
        <v>549</v>
      </c>
      <c r="B19" s="246"/>
      <c r="C19" s="458"/>
      <c r="D19" s="459"/>
      <c r="E19" s="458"/>
      <c r="F19" s="459"/>
      <c r="G19" s="248"/>
    </row>
    <row r="20" spans="1:7" ht="15">
      <c r="A20" s="245" t="s">
        <v>550</v>
      </c>
      <c r="B20" s="246"/>
      <c r="C20" s="468">
        <f>IF(C21*0.1&lt;C19,"Exceed 10% Rule","")</f>
      </c>
      <c r="D20" s="469"/>
      <c r="E20" s="468">
        <f>IF(E21*0.1&lt;E19,"Exceed 10% Rule","")</f>
      </c>
      <c r="F20" s="469"/>
      <c r="G20" s="257">
        <f>IF(G21*0.1+G38&lt;G19,"Exceed 10% Rule","")</f>
      </c>
    </row>
    <row r="21" spans="1:7" ht="15">
      <c r="A21" s="258" t="s">
        <v>291</v>
      </c>
      <c r="B21" s="246"/>
      <c r="C21" s="512">
        <f>SUM(C9:C19)</f>
        <v>0</v>
      </c>
      <c r="D21" s="513"/>
      <c r="E21" s="512">
        <f>SUM(E9:E19)</f>
        <v>0</v>
      </c>
      <c r="F21" s="513"/>
      <c r="G21" s="306">
        <f>SUM(G9:G19)</f>
        <v>0</v>
      </c>
    </row>
    <row r="22" spans="1:7" ht="15">
      <c r="A22" s="258" t="s">
        <v>292</v>
      </c>
      <c r="B22" s="246"/>
      <c r="C22" s="464">
        <f>C7+C21</f>
        <v>416</v>
      </c>
      <c r="D22" s="465"/>
      <c r="E22" s="464">
        <f>E7+E21</f>
        <v>0</v>
      </c>
      <c r="F22" s="465"/>
      <c r="G22" s="214">
        <f>G7+G21</f>
        <v>0</v>
      </c>
    </row>
    <row r="23" spans="1:7" ht="15">
      <c r="A23" s="135" t="s">
        <v>294</v>
      </c>
      <c r="B23" s="246"/>
      <c r="C23" s="510"/>
      <c r="D23" s="511"/>
      <c r="E23" s="510"/>
      <c r="F23" s="511"/>
      <c r="G23" s="48"/>
    </row>
    <row r="24" spans="1:7" ht="15">
      <c r="A24" s="266" t="s">
        <v>742</v>
      </c>
      <c r="B24" s="255"/>
      <c r="C24" s="458">
        <v>416</v>
      </c>
      <c r="D24" s="459"/>
      <c r="E24" s="458"/>
      <c r="F24" s="459"/>
      <c r="G24" s="50"/>
    </row>
    <row r="25" spans="1:7" ht="15">
      <c r="A25" s="266"/>
      <c r="B25" s="255"/>
      <c r="C25" s="458"/>
      <c r="D25" s="459"/>
      <c r="E25" s="458"/>
      <c r="F25" s="459"/>
      <c r="G25" s="50"/>
    </row>
    <row r="26" spans="1:7" ht="15">
      <c r="A26" s="266"/>
      <c r="B26" s="255"/>
      <c r="C26" s="458"/>
      <c r="D26" s="459"/>
      <c r="E26" s="458"/>
      <c r="F26" s="459"/>
      <c r="G26" s="50"/>
    </row>
    <row r="27" spans="1:7" ht="15">
      <c r="A27" s="266"/>
      <c r="B27" s="255"/>
      <c r="C27" s="458"/>
      <c r="D27" s="459"/>
      <c r="E27" s="458"/>
      <c r="F27" s="459"/>
      <c r="G27" s="50"/>
    </row>
    <row r="28" spans="1:7" ht="15">
      <c r="A28" s="266"/>
      <c r="B28" s="255"/>
      <c r="C28" s="458"/>
      <c r="D28" s="459"/>
      <c r="E28" s="458"/>
      <c r="F28" s="459"/>
      <c r="G28" s="50"/>
    </row>
    <row r="29" spans="1:7" ht="15">
      <c r="A29" s="267" t="s">
        <v>551</v>
      </c>
      <c r="B29" s="246"/>
      <c r="C29" s="458"/>
      <c r="D29" s="459"/>
      <c r="E29" s="458"/>
      <c r="F29" s="459"/>
      <c r="G29" s="58">
        <f>nhood!E8</f>
      </c>
    </row>
    <row r="30" spans="1:7" ht="15">
      <c r="A30" s="267" t="s">
        <v>549</v>
      </c>
      <c r="B30" s="246"/>
      <c r="C30" s="458"/>
      <c r="D30" s="459"/>
      <c r="E30" s="458"/>
      <c r="F30" s="459"/>
      <c r="G30" s="50"/>
    </row>
    <row r="31" spans="1:7" ht="15">
      <c r="A31" s="267" t="s">
        <v>552</v>
      </c>
      <c r="B31" s="246"/>
      <c r="C31" s="468">
        <f>IF(C32*0.1&lt;C30,"Exceed 10% Rule","")</f>
      </c>
      <c r="D31" s="469"/>
      <c r="E31" s="468">
        <f>IF(E32*0.1&lt;E30,"Exceed 10% Rule","")</f>
      </c>
      <c r="F31" s="469"/>
      <c r="G31" s="257">
        <f>IF(G32*0.1&lt;G30,"Exceed 10% Rule","")</f>
      </c>
    </row>
    <row r="32" spans="1:7" ht="15">
      <c r="A32" s="258" t="s">
        <v>298</v>
      </c>
      <c r="B32" s="246"/>
      <c r="C32" s="512">
        <f>SUM(C24:C30)</f>
        <v>416</v>
      </c>
      <c r="D32" s="513"/>
      <c r="E32" s="512">
        <f>SUM(E24:E30)</f>
        <v>0</v>
      </c>
      <c r="F32" s="513"/>
      <c r="G32" s="306">
        <f>SUM(G24:G30)</f>
        <v>0</v>
      </c>
    </row>
    <row r="33" spans="1:7" ht="15">
      <c r="A33" s="135" t="s">
        <v>409</v>
      </c>
      <c r="B33" s="246"/>
      <c r="C33" s="464">
        <f>C22-C32</f>
        <v>0</v>
      </c>
      <c r="D33" s="465"/>
      <c r="E33" s="464">
        <f>E22-E32</f>
        <v>0</v>
      </c>
      <c r="F33" s="465"/>
      <c r="G33" s="288" t="s">
        <v>274</v>
      </c>
    </row>
    <row r="34" spans="1:8" ht="15">
      <c r="A34" s="123" t="str">
        <f>CONCATENATE("",$G$1-2,"/",$G$1-1," Budget Authority Amount:")</f>
        <v>2010/2011 Budget Authority Amount:</v>
      </c>
      <c r="B34" s="269">
        <f>inputOth!B62</f>
        <v>0</v>
      </c>
      <c r="C34" s="269">
        <f>inputPrYr!D20</f>
        <v>0</v>
      </c>
      <c r="D34" s="478" t="s">
        <v>586</v>
      </c>
      <c r="E34" s="479"/>
      <c r="F34" s="480"/>
      <c r="G34" s="50"/>
      <c r="H34" s="270">
        <f>IF(G32/0.95-G32&lt;G34,"Exceeds 5%","")</f>
      </c>
    </row>
    <row r="35" spans="1:7" ht="15">
      <c r="A35" s="123"/>
      <c r="B35" s="271" t="str">
        <f>IF(C32&gt;B34,"See Tab A","")</f>
        <v>See Tab A</v>
      </c>
      <c r="C35" s="271">
        <f>IF(E32&gt;C34,"See Tab C","")</f>
      </c>
      <c r="D35" s="22"/>
      <c r="E35" s="472" t="s">
        <v>589</v>
      </c>
      <c r="F35" s="473"/>
      <c r="G35" s="214">
        <f>G32+G34</f>
        <v>0</v>
      </c>
    </row>
    <row r="36" spans="1:7" ht="15">
      <c r="A36" s="123"/>
      <c r="B36" s="271">
        <f>IF(C33&lt;0,"See Tab B","")</f>
      </c>
      <c r="C36" s="271">
        <f>IF(E33&lt;0,"See Tab D","")</f>
      </c>
      <c r="D36" s="22"/>
      <c r="E36" s="472" t="s">
        <v>299</v>
      </c>
      <c r="F36" s="473"/>
      <c r="G36" s="214">
        <f>IF(G35-G22&gt;0,G35-G22,0)</f>
        <v>0</v>
      </c>
    </row>
    <row r="37" spans="1:7" ht="15">
      <c r="A37" s="157"/>
      <c r="B37" s="157"/>
      <c r="C37" s="487" t="s">
        <v>590</v>
      </c>
      <c r="D37" s="488"/>
      <c r="E37" s="488"/>
      <c r="F37" s="273">
        <f>inputOth!$E$46</f>
        <v>0</v>
      </c>
      <c r="G37" s="214">
        <f>ROUND(IF(F37&gt;0,(G36*F37),0),0)</f>
        <v>0</v>
      </c>
    </row>
    <row r="38" spans="1:7" ht="15.75" thickBot="1">
      <c r="A38" s="22"/>
      <c r="B38" s="22"/>
      <c r="C38" s="489" t="str">
        <f>CONCATENATE("Amount of  ",$G$1-1," Ad Valorem Tax")</f>
        <v>Amount of  2011 Ad Valorem Tax</v>
      </c>
      <c r="D38" s="490"/>
      <c r="E38" s="490"/>
      <c r="F38" s="491"/>
      <c r="G38" s="307">
        <f>G36+G37</f>
        <v>0</v>
      </c>
    </row>
    <row r="39" spans="1:7" ht="15.75" thickTop="1">
      <c r="A39" s="22"/>
      <c r="B39" s="22"/>
      <c r="C39" s="22"/>
      <c r="D39" s="22"/>
      <c r="E39" s="22"/>
      <c r="F39" s="22"/>
      <c r="G39" s="22"/>
    </row>
    <row r="40" spans="1:7" ht="15">
      <c r="A40" s="29" t="s">
        <v>285</v>
      </c>
      <c r="B40" s="29"/>
      <c r="C40" s="304"/>
      <c r="D40" s="304"/>
      <c r="E40" s="304"/>
      <c r="F40" s="304"/>
      <c r="G40" s="304"/>
    </row>
    <row r="41" spans="1:7" ht="15">
      <c r="A41" s="22"/>
      <c r="B41" s="22"/>
      <c r="C41" s="483" t="s">
        <v>305</v>
      </c>
      <c r="D41" s="484"/>
      <c r="E41" s="485" t="s">
        <v>432</v>
      </c>
      <c r="F41" s="486"/>
      <c r="G41" s="129" t="s">
        <v>433</v>
      </c>
    </row>
    <row r="42" spans="1:7" ht="15">
      <c r="A42" s="183" t="str">
        <f>(inputPrYr!B21)</f>
        <v>Employee Benefits</v>
      </c>
      <c r="B42" s="184"/>
      <c r="C42" s="481">
        <f>C6</f>
        <v>2010</v>
      </c>
      <c r="D42" s="482"/>
      <c r="E42" s="481">
        <f>E6</f>
        <v>2011</v>
      </c>
      <c r="F42" s="482"/>
      <c r="G42" s="244">
        <f>G6</f>
        <v>2012</v>
      </c>
    </row>
    <row r="43" spans="1:7" ht="15">
      <c r="A43" s="245" t="s">
        <v>408</v>
      </c>
      <c r="B43" s="246"/>
      <c r="C43" s="492">
        <v>3505</v>
      </c>
      <c r="D43" s="493"/>
      <c r="E43" s="464">
        <f>C69</f>
        <v>0</v>
      </c>
      <c r="F43" s="465"/>
      <c r="G43" s="214">
        <f>E69</f>
        <v>0</v>
      </c>
    </row>
    <row r="44" spans="1:7" ht="15">
      <c r="A44" s="245" t="s">
        <v>410</v>
      </c>
      <c r="B44" s="246"/>
      <c r="C44" s="466"/>
      <c r="D44" s="467"/>
      <c r="E44" s="466"/>
      <c r="F44" s="467"/>
      <c r="G44" s="70"/>
    </row>
    <row r="45" spans="1:7" ht="15">
      <c r="A45" s="135" t="s">
        <v>286</v>
      </c>
      <c r="B45" s="246"/>
      <c r="C45" s="458"/>
      <c r="D45" s="459"/>
      <c r="E45" s="464">
        <f>inputPrYr!E21</f>
        <v>0</v>
      </c>
      <c r="F45" s="465"/>
      <c r="G45" s="288" t="s">
        <v>274</v>
      </c>
    </row>
    <row r="46" spans="1:7" ht="15">
      <c r="A46" s="135" t="s">
        <v>287</v>
      </c>
      <c r="B46" s="246"/>
      <c r="C46" s="458"/>
      <c r="D46" s="459"/>
      <c r="E46" s="458"/>
      <c r="F46" s="459"/>
      <c r="G46" s="50"/>
    </row>
    <row r="47" spans="1:7" ht="15">
      <c r="A47" s="135" t="s">
        <v>288</v>
      </c>
      <c r="B47" s="246"/>
      <c r="C47" s="458"/>
      <c r="D47" s="459"/>
      <c r="E47" s="458"/>
      <c r="F47" s="459"/>
      <c r="G47" s="214" t="str">
        <f>mvalloc!C10</f>
        <v>  </v>
      </c>
    </row>
    <row r="48" spans="1:7" ht="15">
      <c r="A48" s="135" t="s">
        <v>289</v>
      </c>
      <c r="B48" s="246"/>
      <c r="C48" s="458"/>
      <c r="D48" s="459"/>
      <c r="E48" s="458"/>
      <c r="F48" s="459"/>
      <c r="G48" s="214" t="str">
        <f>mvalloc!D10</f>
        <v> </v>
      </c>
    </row>
    <row r="49" spans="1:7" ht="15">
      <c r="A49" s="144" t="s">
        <v>385</v>
      </c>
      <c r="B49" s="246"/>
      <c r="C49" s="458"/>
      <c r="D49" s="459"/>
      <c r="E49" s="458"/>
      <c r="F49" s="459"/>
      <c r="G49" s="214" t="str">
        <f>mvalloc!E10</f>
        <v> </v>
      </c>
    </row>
    <row r="50" spans="1:7" ht="15">
      <c r="A50" s="144" t="s">
        <v>441</v>
      </c>
      <c r="B50" s="246"/>
      <c r="C50" s="458"/>
      <c r="D50" s="459"/>
      <c r="E50" s="458"/>
      <c r="F50" s="459"/>
      <c r="G50" s="214" t="str">
        <f>mvalloc!F10</f>
        <v> </v>
      </c>
    </row>
    <row r="51" spans="1:7" ht="15">
      <c r="A51" s="266"/>
      <c r="B51" s="255"/>
      <c r="C51" s="458"/>
      <c r="D51" s="459"/>
      <c r="E51" s="458"/>
      <c r="F51" s="459"/>
      <c r="G51" s="50"/>
    </row>
    <row r="52" spans="1:7" ht="15">
      <c r="A52" s="266"/>
      <c r="B52" s="255"/>
      <c r="C52" s="458"/>
      <c r="D52" s="459"/>
      <c r="E52" s="458"/>
      <c r="F52" s="459"/>
      <c r="G52" s="50"/>
    </row>
    <row r="53" spans="1:7" ht="15">
      <c r="A53" s="266"/>
      <c r="B53" s="255"/>
      <c r="C53" s="458"/>
      <c r="D53" s="453"/>
      <c r="E53" s="458"/>
      <c r="F53" s="453"/>
      <c r="G53" s="50"/>
    </row>
    <row r="54" spans="1:7" ht="15">
      <c r="A54" s="256" t="s">
        <v>290</v>
      </c>
      <c r="B54" s="255"/>
      <c r="C54" s="458"/>
      <c r="D54" s="459"/>
      <c r="E54" s="458"/>
      <c r="F54" s="459"/>
      <c r="G54" s="50"/>
    </row>
    <row r="55" spans="1:7" ht="15">
      <c r="A55" s="144" t="s">
        <v>549</v>
      </c>
      <c r="B55" s="246"/>
      <c r="C55" s="458"/>
      <c r="D55" s="459"/>
      <c r="E55" s="458"/>
      <c r="F55" s="459"/>
      <c r="G55" s="248"/>
    </row>
    <row r="56" spans="1:7" ht="15">
      <c r="A56" s="245" t="s">
        <v>550</v>
      </c>
      <c r="B56" s="246"/>
      <c r="C56" s="468">
        <f>IF(C57*0.1&lt;C55,"Exceed 10% Rule","")</f>
      </c>
      <c r="D56" s="469"/>
      <c r="E56" s="468">
        <f>IF(E57*0.1&lt;E55,"Exceed 10% Rule","")</f>
      </c>
      <c r="F56" s="469"/>
      <c r="G56" s="257">
        <f>IF(G57*0.1+G74&lt;G55,"Exceed 10% Rule","")</f>
      </c>
    </row>
    <row r="57" spans="1:7" ht="15">
      <c r="A57" s="258" t="s">
        <v>291</v>
      </c>
      <c r="B57" s="246"/>
      <c r="C57" s="512">
        <f>SUM(C45:C55)</f>
        <v>0</v>
      </c>
      <c r="D57" s="513"/>
      <c r="E57" s="512">
        <f>SUM(E45:E55)</f>
        <v>0</v>
      </c>
      <c r="F57" s="513"/>
      <c r="G57" s="306">
        <f>SUM(G45:G55)</f>
        <v>0</v>
      </c>
    </row>
    <row r="58" spans="1:7" ht="15">
      <c r="A58" s="258" t="s">
        <v>292</v>
      </c>
      <c r="B58" s="246"/>
      <c r="C58" s="512">
        <f>C43+C57</f>
        <v>3505</v>
      </c>
      <c r="D58" s="513"/>
      <c r="E58" s="512">
        <f>E43+E57</f>
        <v>0</v>
      </c>
      <c r="F58" s="513"/>
      <c r="G58" s="306">
        <f>G43+G57</f>
        <v>0</v>
      </c>
    </row>
    <row r="59" spans="1:7" ht="15">
      <c r="A59" s="135" t="s">
        <v>294</v>
      </c>
      <c r="B59" s="246"/>
      <c r="C59" s="510"/>
      <c r="D59" s="511"/>
      <c r="E59" s="510"/>
      <c r="F59" s="511"/>
      <c r="G59" s="48"/>
    </row>
    <row r="60" spans="1:7" ht="15">
      <c r="A60" s="266" t="s">
        <v>742</v>
      </c>
      <c r="B60" s="255"/>
      <c r="C60" s="458">
        <v>3505</v>
      </c>
      <c r="D60" s="459"/>
      <c r="E60" s="458"/>
      <c r="F60" s="459"/>
      <c r="G60" s="50"/>
    </row>
    <row r="61" spans="1:7" ht="15">
      <c r="A61" s="266"/>
      <c r="B61" s="255"/>
      <c r="C61" s="458"/>
      <c r="D61" s="459"/>
      <c r="E61" s="458"/>
      <c r="F61" s="459"/>
      <c r="G61" s="50"/>
    </row>
    <row r="62" spans="1:7" ht="15">
      <c r="A62" s="266"/>
      <c r="B62" s="255"/>
      <c r="C62" s="458"/>
      <c r="D62" s="459"/>
      <c r="E62" s="458"/>
      <c r="F62" s="459"/>
      <c r="G62" s="50"/>
    </row>
    <row r="63" spans="1:7" ht="15">
      <c r="A63" s="266"/>
      <c r="B63" s="255"/>
      <c r="C63" s="458"/>
      <c r="D63" s="459"/>
      <c r="E63" s="458"/>
      <c r="F63" s="459"/>
      <c r="G63" s="50"/>
    </row>
    <row r="64" spans="1:7" ht="15">
      <c r="A64" s="266"/>
      <c r="B64" s="255"/>
      <c r="C64" s="458"/>
      <c r="D64" s="459"/>
      <c r="E64" s="458"/>
      <c r="F64" s="459"/>
      <c r="G64" s="50"/>
    </row>
    <row r="65" spans="1:7" ht="15">
      <c r="A65" s="267" t="s">
        <v>551</v>
      </c>
      <c r="B65" s="246"/>
      <c r="C65" s="458"/>
      <c r="D65" s="459"/>
      <c r="E65" s="458"/>
      <c r="F65" s="459"/>
      <c r="G65" s="58">
        <f>nhood!E9</f>
      </c>
    </row>
    <row r="66" spans="1:7" ht="15">
      <c r="A66" s="267" t="s">
        <v>549</v>
      </c>
      <c r="B66" s="246"/>
      <c r="C66" s="458"/>
      <c r="D66" s="459"/>
      <c r="E66" s="458"/>
      <c r="F66" s="459"/>
      <c r="G66" s="50"/>
    </row>
    <row r="67" spans="1:7" ht="15">
      <c r="A67" s="267" t="s">
        <v>552</v>
      </c>
      <c r="B67" s="246"/>
      <c r="C67" s="468">
        <f>IF(C68*0.1&lt;C66,"Exceed 10% Rule","")</f>
      </c>
      <c r="D67" s="469"/>
      <c r="E67" s="468">
        <f>IF(E68*0.1&lt;E66,"Exceed 10% Rule","")</f>
      </c>
      <c r="F67" s="469"/>
      <c r="G67" s="257">
        <f>IF(G68*0.1&lt;G66,"Exceed 10% Rule","")</f>
      </c>
    </row>
    <row r="68" spans="1:7" ht="15">
      <c r="A68" s="258" t="s">
        <v>298</v>
      </c>
      <c r="B68" s="246"/>
      <c r="C68" s="512">
        <f>SUM(C60:C66)</f>
        <v>3505</v>
      </c>
      <c r="D68" s="513"/>
      <c r="E68" s="512">
        <f>SUM(E60:E66)</f>
        <v>0</v>
      </c>
      <c r="F68" s="513"/>
      <c r="G68" s="306">
        <f>SUM(G60:G66)</f>
        <v>0</v>
      </c>
    </row>
    <row r="69" spans="1:7" ht="15">
      <c r="A69" s="135" t="s">
        <v>409</v>
      </c>
      <c r="B69" s="246"/>
      <c r="C69" s="464">
        <f>C58-C68</f>
        <v>0</v>
      </c>
      <c r="D69" s="465"/>
      <c r="E69" s="464">
        <f>E58-E68</f>
        <v>0</v>
      </c>
      <c r="F69" s="465"/>
      <c r="G69" s="288" t="s">
        <v>274</v>
      </c>
    </row>
    <row r="70" spans="1:8" ht="15">
      <c r="A70" s="123" t="str">
        <f>CONCATENATE("",$G$1-2,"/",$G$1-1," Budget Authority Amount:")</f>
        <v>2010/2011 Budget Authority Amount:</v>
      </c>
      <c r="B70" s="269">
        <f>inputOth!B63</f>
        <v>0</v>
      </c>
      <c r="C70" s="269">
        <f>inputPrYr!D21</f>
        <v>0</v>
      </c>
      <c r="D70" s="478" t="s">
        <v>586</v>
      </c>
      <c r="E70" s="479"/>
      <c r="F70" s="480"/>
      <c r="G70" s="50"/>
      <c r="H70" s="270">
        <f>IF(G68/0.95-G68&lt;G70,"Exceeds 5%","")</f>
      </c>
    </row>
    <row r="71" spans="1:7" ht="15">
      <c r="A71" s="123"/>
      <c r="B71" s="271" t="str">
        <f>IF(C68&gt;B70,"See Tab A","")</f>
        <v>See Tab A</v>
      </c>
      <c r="C71" s="271">
        <f>IF(E68&gt;C70,"See Tab C","")</f>
      </c>
      <c r="D71" s="22"/>
      <c r="E71" s="472" t="s">
        <v>589</v>
      </c>
      <c r="F71" s="473"/>
      <c r="G71" s="214">
        <f>G68+G70</f>
        <v>0</v>
      </c>
    </row>
    <row r="72" spans="1:7" ht="15">
      <c r="A72" s="123"/>
      <c r="B72" s="271">
        <f>IF(C69&lt;0,"See Tab B","")</f>
      </c>
      <c r="C72" s="271">
        <f>IF(E69&lt;0,"See Tab D","")</f>
      </c>
      <c r="D72" s="22"/>
      <c r="E72" s="472" t="s">
        <v>299</v>
      </c>
      <c r="F72" s="473"/>
      <c r="G72" s="214">
        <f>IF(G71-G58&gt;0,G71-G58,0)</f>
        <v>0</v>
      </c>
    </row>
    <row r="73" spans="1:7" ht="15">
      <c r="A73" s="157"/>
      <c r="B73" s="157"/>
      <c r="C73" s="487" t="s">
        <v>590</v>
      </c>
      <c r="D73" s="488"/>
      <c r="E73" s="488"/>
      <c r="F73" s="273">
        <f>inputOth!$E$46</f>
        <v>0</v>
      </c>
      <c r="G73" s="214">
        <f>ROUND(IF(F73&gt;0,(G72*F73),0),0)</f>
        <v>0</v>
      </c>
    </row>
    <row r="74" spans="1:7" ht="15.75" thickBot="1">
      <c r="A74" s="22"/>
      <c r="B74" s="22"/>
      <c r="C74" s="489" t="str">
        <f>CONCATENATE("Amount of  ",$G$1-1," Ad Valorem Tax")</f>
        <v>Amount of  2011 Ad Valorem Tax</v>
      </c>
      <c r="D74" s="490"/>
      <c r="E74" s="490"/>
      <c r="F74" s="491"/>
      <c r="G74" s="307">
        <f>G72+G73</f>
        <v>0</v>
      </c>
    </row>
    <row r="75" spans="1:7" ht="15.75" thickTop="1">
      <c r="A75" s="157"/>
      <c r="B75" s="157" t="s">
        <v>301</v>
      </c>
      <c r="C75" s="279">
        <v>8</v>
      </c>
      <c r="D75" s="80"/>
      <c r="E75" s="22"/>
      <c r="F75" s="22"/>
      <c r="G75" s="22"/>
    </row>
    <row r="76" spans="1:2" ht="15">
      <c r="A76" s="8"/>
      <c r="B76" s="8"/>
    </row>
  </sheetData>
  <sheetProtection sheet="1" objects="1" scenarios="1"/>
  <mergeCells count="126">
    <mergeCell ref="D70:F70"/>
    <mergeCell ref="E71:F71"/>
    <mergeCell ref="C41:D41"/>
    <mergeCell ref="C42:D42"/>
    <mergeCell ref="C43:D43"/>
    <mergeCell ref="C44:D44"/>
    <mergeCell ref="E43:F43"/>
    <mergeCell ref="E44:F44"/>
    <mergeCell ref="E58:F58"/>
    <mergeCell ref="C49:D49"/>
    <mergeCell ref="E42:F42"/>
    <mergeCell ref="E26:F26"/>
    <mergeCell ref="E5:F5"/>
    <mergeCell ref="E6:F6"/>
    <mergeCell ref="E7:F7"/>
    <mergeCell ref="E8:F8"/>
    <mergeCell ref="E9:F9"/>
    <mergeCell ref="E23:F23"/>
    <mergeCell ref="E18:F18"/>
    <mergeCell ref="E19:F19"/>
    <mergeCell ref="C17:D17"/>
    <mergeCell ref="E17:F17"/>
    <mergeCell ref="C5:D5"/>
    <mergeCell ref="C6:D6"/>
    <mergeCell ref="C7:D7"/>
    <mergeCell ref="C8:D8"/>
    <mergeCell ref="C9:D9"/>
    <mergeCell ref="E14:F14"/>
    <mergeCell ref="E15:F15"/>
    <mergeCell ref="C18:D18"/>
    <mergeCell ref="C19:D19"/>
    <mergeCell ref="E10:F10"/>
    <mergeCell ref="E11:F11"/>
    <mergeCell ref="E12:F12"/>
    <mergeCell ref="E13:F13"/>
    <mergeCell ref="C10:D10"/>
    <mergeCell ref="C11:D11"/>
    <mergeCell ref="C12:D12"/>
    <mergeCell ref="E16:F16"/>
    <mergeCell ref="C32:D32"/>
    <mergeCell ref="C33:D33"/>
    <mergeCell ref="E31:F31"/>
    <mergeCell ref="E32:F32"/>
    <mergeCell ref="E33:F33"/>
    <mergeCell ref="C22:D22"/>
    <mergeCell ref="C24:D24"/>
    <mergeCell ref="C25:D25"/>
    <mergeCell ref="C26:D26"/>
    <mergeCell ref="E24:F24"/>
    <mergeCell ref="C50:D50"/>
    <mergeCell ref="C51:D51"/>
    <mergeCell ref="C52:D52"/>
    <mergeCell ref="C54:D54"/>
    <mergeCell ref="C53:D53"/>
    <mergeCell ref="C66:D66"/>
    <mergeCell ref="C57:D57"/>
    <mergeCell ref="C58:D58"/>
    <mergeCell ref="C59:D59"/>
    <mergeCell ref="C61:D61"/>
    <mergeCell ref="C62:D62"/>
    <mergeCell ref="C60:D60"/>
    <mergeCell ref="C69:D69"/>
    <mergeCell ref="E68:F68"/>
    <mergeCell ref="E69:F69"/>
    <mergeCell ref="E67:F67"/>
    <mergeCell ref="C67:D67"/>
    <mergeCell ref="C68:D68"/>
    <mergeCell ref="E66:F66"/>
    <mergeCell ref="E62:F62"/>
    <mergeCell ref="C45:D45"/>
    <mergeCell ref="C46:D46"/>
    <mergeCell ref="C47:D47"/>
    <mergeCell ref="C48:D48"/>
    <mergeCell ref="C13:D13"/>
    <mergeCell ref="C14:D14"/>
    <mergeCell ref="C15:D15"/>
    <mergeCell ref="C16:D16"/>
    <mergeCell ref="C21:D21"/>
    <mergeCell ref="C31:D31"/>
    <mergeCell ref="C73:E73"/>
    <mergeCell ref="C74:F74"/>
    <mergeCell ref="E72:F72"/>
    <mergeCell ref="D34:F34"/>
    <mergeCell ref="E35:F35"/>
    <mergeCell ref="E36:F36"/>
    <mergeCell ref="C37:E37"/>
    <mergeCell ref="C38:F38"/>
    <mergeCell ref="E49:F49"/>
    <mergeCell ref="E50:F50"/>
    <mergeCell ref="E25:F25"/>
    <mergeCell ref="C23:D23"/>
    <mergeCell ref="E20:F20"/>
    <mergeCell ref="E21:F21"/>
    <mergeCell ref="E22:F22"/>
    <mergeCell ref="C27:D27"/>
    <mergeCell ref="C20:D20"/>
    <mergeCell ref="C28:D28"/>
    <mergeCell ref="C29:D29"/>
    <mergeCell ref="C30:D30"/>
    <mergeCell ref="E51:F51"/>
    <mergeCell ref="E27:F27"/>
    <mergeCell ref="E28:F28"/>
    <mergeCell ref="E29:F29"/>
    <mergeCell ref="E30:F30"/>
    <mergeCell ref="E47:F47"/>
    <mergeCell ref="E41:F41"/>
    <mergeCell ref="E45:F45"/>
    <mergeCell ref="E46:F46"/>
    <mergeCell ref="E48:F48"/>
    <mergeCell ref="E59:F59"/>
    <mergeCell ref="E63:F63"/>
    <mergeCell ref="E64:F64"/>
    <mergeCell ref="E56:F56"/>
    <mergeCell ref="E57:F57"/>
    <mergeCell ref="E60:F60"/>
    <mergeCell ref="E61:F61"/>
    <mergeCell ref="E52:F52"/>
    <mergeCell ref="E54:F54"/>
    <mergeCell ref="C56:D56"/>
    <mergeCell ref="E65:F65"/>
    <mergeCell ref="C63:D63"/>
    <mergeCell ref="C64:D64"/>
    <mergeCell ref="C65:D65"/>
    <mergeCell ref="E53:F53"/>
    <mergeCell ref="C55:D55"/>
    <mergeCell ref="E55:F55"/>
  </mergeCells>
  <conditionalFormatting sqref="G66">
    <cfRule type="cellIs" priority="3" dxfId="245" operator="greaterThan" stopIfTrue="1">
      <formula>$G$68*0.1</formula>
    </cfRule>
  </conditionalFormatting>
  <conditionalFormatting sqref="G70">
    <cfRule type="cellIs" priority="4" dxfId="245" operator="greaterThan" stopIfTrue="1">
      <formula>$G$68/0.95-$G$68</formula>
    </cfRule>
  </conditionalFormatting>
  <conditionalFormatting sqref="G30">
    <cfRule type="cellIs" priority="5" dxfId="245" operator="greaterThan" stopIfTrue="1">
      <formula>$G$32*0.1</formula>
    </cfRule>
  </conditionalFormatting>
  <conditionalFormatting sqref="G34">
    <cfRule type="cellIs" priority="6" dxfId="245" operator="greaterThan" stopIfTrue="1">
      <formula>$G$32/0.95-$G$32</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E19:F19">
    <cfRule type="cellIs" priority="16" dxfId="1" operator="greaterThan" stopIfTrue="1">
      <formula>$E$21*0.1</formula>
    </cfRule>
  </conditionalFormatting>
  <conditionalFormatting sqref="C19:D19">
    <cfRule type="cellIs" priority="17" dxfId="1" operator="greaterThan" stopIfTrue="1">
      <formula>$C$21*0.1</formula>
    </cfRule>
  </conditionalFormatting>
  <conditionalFormatting sqref="E55:F55">
    <cfRule type="cellIs" priority="18" dxfId="1" operator="greaterThan" stopIfTrue="1">
      <formula>$E$57*0.1</formula>
    </cfRule>
  </conditionalFormatting>
  <conditionalFormatting sqref="C55:D55">
    <cfRule type="cellIs" priority="19" dxfId="1" operator="greaterThan" stopIfTrue="1">
      <formula>$C$57*0.1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oddFooter>&amp;Lrevised 10/2/09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selection activeCell="A6" sqref="A6"/>
    </sheetView>
  </sheetViews>
  <sheetFormatPr defaultColWidth="8.8984375" defaultRowHeight="15"/>
  <cols>
    <col min="1" max="1" width="28.69921875" style="23" customWidth="1"/>
    <col min="2" max="2" width="9.59765625" style="23" customWidth="1"/>
    <col min="3" max="3" width="10.3984375" style="23" customWidth="1"/>
    <col min="4" max="4" width="5.69921875" style="23" customWidth="1"/>
    <col min="5" max="5" width="9.69921875" style="23" customWidth="1"/>
    <col min="6" max="6" width="6.69921875" style="23" customWidth="1"/>
    <col min="7" max="7" width="16.09765625" style="23" customWidth="1"/>
    <col min="8" max="16384" width="8.8984375" style="23" customWidth="1"/>
  </cols>
  <sheetData>
    <row r="1" spans="1:7" ht="15">
      <c r="A1" s="162" t="str">
        <f>(inputPrYr!D2)</f>
        <v>CITY OF BURR OAK</v>
      </c>
      <c r="B1" s="162"/>
      <c r="C1" s="22"/>
      <c r="D1" s="22"/>
      <c r="E1" s="22"/>
      <c r="F1" s="22"/>
      <c r="G1" s="233">
        <f>inputPrYr!C5</f>
        <v>2012</v>
      </c>
    </row>
    <row r="2" spans="1:7" ht="15">
      <c r="A2" s="22"/>
      <c r="B2" s="22"/>
      <c r="C2" s="22"/>
      <c r="D2" s="22"/>
      <c r="E2" s="22"/>
      <c r="F2" s="22"/>
      <c r="G2" s="157"/>
    </row>
    <row r="3" spans="1:7" ht="15">
      <c r="A3" s="41" t="s">
        <v>353</v>
      </c>
      <c r="B3" s="41"/>
      <c r="C3" s="182"/>
      <c r="D3" s="182"/>
      <c r="E3" s="182"/>
      <c r="F3" s="182"/>
      <c r="G3" s="303"/>
    </row>
    <row r="4" spans="1:7" ht="15">
      <c r="A4" s="22"/>
      <c r="B4" s="22"/>
      <c r="C4" s="304"/>
      <c r="D4" s="304"/>
      <c r="E4" s="304"/>
      <c r="F4" s="304"/>
      <c r="G4" s="304"/>
    </row>
    <row r="5" spans="1:7" ht="15">
      <c r="A5" s="29" t="s">
        <v>285</v>
      </c>
      <c r="B5" s="29"/>
      <c r="C5" s="483" t="s">
        <v>305</v>
      </c>
      <c r="D5" s="484"/>
      <c r="E5" s="485" t="s">
        <v>432</v>
      </c>
      <c r="F5" s="486"/>
      <c r="G5" s="129" t="s">
        <v>433</v>
      </c>
    </row>
    <row r="6" spans="1:7" ht="15">
      <c r="A6" s="184">
        <f>inputPrYr!B22</f>
        <v>0</v>
      </c>
      <c r="B6" s="184"/>
      <c r="C6" s="481">
        <f>G1-2</f>
        <v>2010</v>
      </c>
      <c r="D6" s="482"/>
      <c r="E6" s="481">
        <f>G1-1</f>
        <v>2011</v>
      </c>
      <c r="F6" s="482"/>
      <c r="G6" s="244">
        <f>G1</f>
        <v>2012</v>
      </c>
    </row>
    <row r="7" spans="1:7" ht="15">
      <c r="A7" s="245" t="s">
        <v>408</v>
      </c>
      <c r="B7" s="246"/>
      <c r="C7" s="492"/>
      <c r="D7" s="493"/>
      <c r="E7" s="464">
        <f>C33</f>
        <v>0</v>
      </c>
      <c r="F7" s="465"/>
      <c r="G7" s="214">
        <f>E33</f>
        <v>0</v>
      </c>
    </row>
    <row r="8" spans="1:7" ht="15">
      <c r="A8" s="249" t="s">
        <v>410</v>
      </c>
      <c r="B8" s="246"/>
      <c r="C8" s="464"/>
      <c r="D8" s="465"/>
      <c r="E8" s="464"/>
      <c r="F8" s="465"/>
      <c r="G8" s="214"/>
    </row>
    <row r="9" spans="1:7" ht="15">
      <c r="A9" s="135" t="s">
        <v>286</v>
      </c>
      <c r="B9" s="246"/>
      <c r="C9" s="458"/>
      <c r="D9" s="459"/>
      <c r="E9" s="464">
        <f>inputPrYr!E22</f>
        <v>0</v>
      </c>
      <c r="F9" s="465"/>
      <c r="G9" s="288" t="s">
        <v>274</v>
      </c>
    </row>
    <row r="10" spans="1:7" ht="15">
      <c r="A10" s="135" t="s">
        <v>287</v>
      </c>
      <c r="B10" s="246"/>
      <c r="C10" s="458"/>
      <c r="D10" s="459"/>
      <c r="E10" s="458"/>
      <c r="F10" s="459"/>
      <c r="G10" s="50"/>
    </row>
    <row r="11" spans="1:7" ht="15">
      <c r="A11" s="135" t="s">
        <v>288</v>
      </c>
      <c r="B11" s="246"/>
      <c r="C11" s="458"/>
      <c r="D11" s="459"/>
      <c r="E11" s="458"/>
      <c r="F11" s="459"/>
      <c r="G11" s="214" t="str">
        <f>mvalloc!C11</f>
        <v>  </v>
      </c>
    </row>
    <row r="12" spans="1:7" ht="15">
      <c r="A12" s="135" t="s">
        <v>289</v>
      </c>
      <c r="B12" s="246"/>
      <c r="C12" s="458"/>
      <c r="D12" s="459"/>
      <c r="E12" s="458"/>
      <c r="F12" s="459"/>
      <c r="G12" s="214" t="str">
        <f>mvalloc!D11</f>
        <v> </v>
      </c>
    </row>
    <row r="13" spans="1:7" ht="15">
      <c r="A13" s="144" t="s">
        <v>385</v>
      </c>
      <c r="B13" s="246"/>
      <c r="C13" s="458"/>
      <c r="D13" s="459"/>
      <c r="E13" s="458"/>
      <c r="F13" s="459"/>
      <c r="G13" s="214" t="str">
        <f>mvalloc!E11</f>
        <v> </v>
      </c>
    </row>
    <row r="14" spans="1:7" ht="15">
      <c r="A14" s="144" t="s">
        <v>441</v>
      </c>
      <c r="B14" s="246"/>
      <c r="C14" s="458"/>
      <c r="D14" s="459"/>
      <c r="E14" s="458"/>
      <c r="F14" s="459"/>
      <c r="G14" s="214" t="str">
        <f>mvalloc!F11</f>
        <v> </v>
      </c>
    </row>
    <row r="15" spans="1:7" ht="15">
      <c r="A15" s="266"/>
      <c r="B15" s="255"/>
      <c r="C15" s="458"/>
      <c r="D15" s="459"/>
      <c r="E15" s="458"/>
      <c r="F15" s="459"/>
      <c r="G15" s="50"/>
    </row>
    <row r="16" spans="1:7" ht="15">
      <c r="A16" s="266"/>
      <c r="B16" s="255"/>
      <c r="C16" s="458"/>
      <c r="D16" s="459"/>
      <c r="E16" s="458"/>
      <c r="F16" s="459"/>
      <c r="G16" s="50"/>
    </row>
    <row r="17" spans="1:7" ht="15">
      <c r="A17" s="266"/>
      <c r="B17" s="255"/>
      <c r="C17" s="458"/>
      <c r="D17" s="453"/>
      <c r="E17" s="458"/>
      <c r="F17" s="453"/>
      <c r="G17" s="50"/>
    </row>
    <row r="18" spans="1:7" ht="15">
      <c r="A18" s="256" t="s">
        <v>290</v>
      </c>
      <c r="B18" s="255"/>
      <c r="C18" s="458"/>
      <c r="D18" s="459"/>
      <c r="E18" s="458"/>
      <c r="F18" s="459"/>
      <c r="G18" s="50"/>
    </row>
    <row r="19" spans="1:7" ht="15">
      <c r="A19" s="144" t="s">
        <v>549</v>
      </c>
      <c r="B19" s="246"/>
      <c r="C19" s="458"/>
      <c r="D19" s="459"/>
      <c r="E19" s="458"/>
      <c r="F19" s="459"/>
      <c r="G19" s="50"/>
    </row>
    <row r="20" spans="1:7" ht="15">
      <c r="A20" s="245" t="s">
        <v>550</v>
      </c>
      <c r="B20" s="246"/>
      <c r="C20" s="496">
        <f>IF(C21*0.1&lt;C19,"Exceed 10% Rule","")</f>
      </c>
      <c r="D20" s="497"/>
      <c r="E20" s="496">
        <f>IF(E21*0.1&lt;E19,"Exceed 10% Rule","")</f>
      </c>
      <c r="F20" s="497"/>
      <c r="G20" s="296">
        <f>IF(G21*0.1+G38&lt;G19,"Exceed 10% Rule","")</f>
      </c>
    </row>
    <row r="21" spans="1:7" ht="15">
      <c r="A21" s="258" t="s">
        <v>291</v>
      </c>
      <c r="B21" s="246"/>
      <c r="C21" s="512">
        <f>SUM(C9:C19)</f>
        <v>0</v>
      </c>
      <c r="D21" s="513"/>
      <c r="E21" s="512">
        <f>SUM(E9:E19)</f>
        <v>0</v>
      </c>
      <c r="F21" s="513"/>
      <c r="G21" s="306">
        <f>SUM(G9:G19)</f>
        <v>0</v>
      </c>
    </row>
    <row r="22" spans="1:7" ht="15">
      <c r="A22" s="258" t="s">
        <v>292</v>
      </c>
      <c r="B22" s="246"/>
      <c r="C22" s="512">
        <f>C7+C21</f>
        <v>0</v>
      </c>
      <c r="D22" s="513"/>
      <c r="E22" s="512">
        <f>E7+E21</f>
        <v>0</v>
      </c>
      <c r="F22" s="513"/>
      <c r="G22" s="306">
        <f>G7+G21</f>
        <v>0</v>
      </c>
    </row>
    <row r="23" spans="1:8" ht="15">
      <c r="A23" s="135" t="s">
        <v>294</v>
      </c>
      <c r="B23" s="246"/>
      <c r="C23" s="510"/>
      <c r="D23" s="511"/>
      <c r="E23" s="510"/>
      <c r="F23" s="511"/>
      <c r="G23" s="48"/>
      <c r="H23" s="308"/>
    </row>
    <row r="24" spans="1:7" ht="15">
      <c r="A24" s="309"/>
      <c r="B24" s="255"/>
      <c r="C24" s="458"/>
      <c r="D24" s="459"/>
      <c r="E24" s="458"/>
      <c r="F24" s="459"/>
      <c r="G24" s="49"/>
    </row>
    <row r="25" spans="1:7" ht="15">
      <c r="A25" s="266"/>
      <c r="B25" s="255"/>
      <c r="C25" s="458"/>
      <c r="D25" s="459"/>
      <c r="E25" s="458"/>
      <c r="F25" s="459"/>
      <c r="G25" s="50"/>
    </row>
    <row r="26" spans="1:7" ht="15">
      <c r="A26" s="266"/>
      <c r="B26" s="255"/>
      <c r="C26" s="458"/>
      <c r="D26" s="459"/>
      <c r="E26" s="458"/>
      <c r="F26" s="459"/>
      <c r="G26" s="50"/>
    </row>
    <row r="27" spans="1:7" ht="15">
      <c r="A27" s="266"/>
      <c r="B27" s="255"/>
      <c r="C27" s="458"/>
      <c r="D27" s="459"/>
      <c r="E27" s="458"/>
      <c r="F27" s="459"/>
      <c r="G27" s="50"/>
    </row>
    <row r="28" spans="1:9" ht="15">
      <c r="A28" s="266"/>
      <c r="B28" s="255"/>
      <c r="C28" s="458"/>
      <c r="D28" s="459"/>
      <c r="E28" s="458"/>
      <c r="F28" s="459"/>
      <c r="G28" s="50"/>
      <c r="I28" s="308"/>
    </row>
    <row r="29" spans="1:9" ht="15">
      <c r="A29" s="267" t="s">
        <v>551</v>
      </c>
      <c r="B29" s="246"/>
      <c r="C29" s="458"/>
      <c r="D29" s="459"/>
      <c r="E29" s="458"/>
      <c r="F29" s="459"/>
      <c r="G29" s="58">
        <f>nhood!E10</f>
      </c>
      <c r="I29" s="308"/>
    </row>
    <row r="30" spans="1:9" ht="15">
      <c r="A30" s="267" t="s">
        <v>549</v>
      </c>
      <c r="B30" s="246"/>
      <c r="C30" s="458"/>
      <c r="D30" s="459"/>
      <c r="E30" s="458"/>
      <c r="F30" s="459"/>
      <c r="G30" s="50"/>
      <c r="I30" s="308"/>
    </row>
    <row r="31" spans="1:9" ht="15">
      <c r="A31" s="267" t="s">
        <v>552</v>
      </c>
      <c r="B31" s="246"/>
      <c r="C31" s="496">
        <f>IF(C32*0.1&lt;C30,"Exceed 10% Rule","")</f>
      </c>
      <c r="D31" s="497"/>
      <c r="E31" s="496">
        <f>IF(E32*0.1&lt;E30,"Exceed 10% Rule","")</f>
      </c>
      <c r="F31" s="497"/>
      <c r="G31" s="296">
        <f>IF(G32*0.1&lt;G30,"Exceed 10% Rule","")</f>
      </c>
      <c r="I31" s="308"/>
    </row>
    <row r="32" spans="1:7" ht="15">
      <c r="A32" s="258" t="s">
        <v>298</v>
      </c>
      <c r="B32" s="246"/>
      <c r="C32" s="512">
        <f>SUM(C24:C30)</f>
        <v>0</v>
      </c>
      <c r="D32" s="513"/>
      <c r="E32" s="512">
        <f>SUM(E24:E30)</f>
        <v>0</v>
      </c>
      <c r="F32" s="513"/>
      <c r="G32" s="306">
        <f>SUM(G24:G30)</f>
        <v>0</v>
      </c>
    </row>
    <row r="33" spans="1:7" ht="15">
      <c r="A33" s="135" t="s">
        <v>409</v>
      </c>
      <c r="B33" s="246"/>
      <c r="C33" s="464">
        <f>C22-C32</f>
        <v>0</v>
      </c>
      <c r="D33" s="465"/>
      <c r="E33" s="464">
        <f>E22-E32</f>
        <v>0</v>
      </c>
      <c r="F33" s="465"/>
      <c r="G33" s="288" t="s">
        <v>274</v>
      </c>
    </row>
    <row r="34" spans="1:8" ht="15">
      <c r="A34" s="123" t="str">
        <f>CONCATENATE("",$G$1-2,"/",$G$1-1," Budget Authority Amount:")</f>
        <v>2010/2011 Budget Authority Amount:</v>
      </c>
      <c r="B34" s="269">
        <f>inputOth!B64</f>
        <v>0</v>
      </c>
      <c r="C34" s="269">
        <f>inputPrYr!D22</f>
        <v>0</v>
      </c>
      <c r="D34" s="478" t="s">
        <v>586</v>
      </c>
      <c r="E34" s="479"/>
      <c r="F34" s="480"/>
      <c r="G34" s="50"/>
      <c r="H34" s="270">
        <f>IF(G32/0.95-G32&lt;G34,"Exceeds 5%","")</f>
      </c>
    </row>
    <row r="35" spans="1:9" ht="15">
      <c r="A35" s="123"/>
      <c r="B35" s="271">
        <f>IF(C32&gt;B34,"See Tab A","")</f>
      </c>
      <c r="C35" s="271">
        <f>IF(E32&gt;C34,"See Tab C","")</f>
      </c>
      <c r="D35" s="22"/>
      <c r="E35" s="472" t="s">
        <v>589</v>
      </c>
      <c r="F35" s="473"/>
      <c r="G35" s="214">
        <f>G32+G34</f>
        <v>0</v>
      </c>
      <c r="I35" s="308"/>
    </row>
    <row r="36" spans="1:7" ht="15">
      <c r="A36" s="123"/>
      <c r="B36" s="271">
        <f>IF(C33&lt;0,"See Tab B","")</f>
      </c>
      <c r="C36" s="271">
        <f>IF(E33&lt;0,"See Tab D","")</f>
      </c>
      <c r="D36" s="22"/>
      <c r="E36" s="472" t="s">
        <v>299</v>
      </c>
      <c r="F36" s="473"/>
      <c r="G36" s="214">
        <f>IF(G35-G22&gt;0,G35-G22,0)</f>
        <v>0</v>
      </c>
    </row>
    <row r="37" spans="1:7" ht="15">
      <c r="A37" s="157"/>
      <c r="B37" s="157"/>
      <c r="C37" s="487" t="s">
        <v>590</v>
      </c>
      <c r="D37" s="488"/>
      <c r="E37" s="488"/>
      <c r="F37" s="273">
        <f>inputOth!$E$46</f>
        <v>0</v>
      </c>
      <c r="G37" s="214">
        <f>ROUND(IF(F37&gt;0,(G36*F37),0),0)</f>
        <v>0</v>
      </c>
    </row>
    <row r="38" spans="1:7" ht="15">
      <c r="A38" s="22"/>
      <c r="B38" s="22"/>
      <c r="C38" s="489" t="str">
        <f>CONCATENATE("Amount of  ",$G$1-1," Ad Valorem Tax")</f>
        <v>Amount of  2011 Ad Valorem Tax</v>
      </c>
      <c r="D38" s="490"/>
      <c r="E38" s="490"/>
      <c r="F38" s="491"/>
      <c r="G38" s="301">
        <f>G36+G37</f>
        <v>0</v>
      </c>
    </row>
    <row r="39" spans="1:7" ht="15">
      <c r="A39" s="22"/>
      <c r="B39" s="22"/>
      <c r="C39" s="22"/>
      <c r="D39" s="22"/>
      <c r="E39" s="22"/>
      <c r="F39" s="22"/>
      <c r="G39" s="22"/>
    </row>
    <row r="40" spans="1:7" ht="15">
      <c r="A40" s="29" t="s">
        <v>285</v>
      </c>
      <c r="B40" s="29"/>
      <c r="C40" s="304"/>
      <c r="D40" s="304"/>
      <c r="E40" s="304"/>
      <c r="F40" s="304"/>
      <c r="G40" s="304"/>
    </row>
    <row r="41" spans="1:7" ht="15">
      <c r="A41" s="22"/>
      <c r="B41" s="22"/>
      <c r="C41" s="483" t="s">
        <v>305</v>
      </c>
      <c r="D41" s="484"/>
      <c r="E41" s="485" t="s">
        <v>432</v>
      </c>
      <c r="F41" s="486"/>
      <c r="G41" s="129" t="s">
        <v>433</v>
      </c>
    </row>
    <row r="42" spans="1:7" ht="15">
      <c r="A42" s="183">
        <f>inputPrYr!B23</f>
        <v>0</v>
      </c>
      <c r="B42" s="184"/>
      <c r="C42" s="481">
        <f>C6</f>
        <v>2010</v>
      </c>
      <c r="D42" s="482"/>
      <c r="E42" s="481">
        <f>E6</f>
        <v>2011</v>
      </c>
      <c r="F42" s="482"/>
      <c r="G42" s="244">
        <f>G6</f>
        <v>2012</v>
      </c>
    </row>
    <row r="43" spans="1:7" ht="15">
      <c r="A43" s="245" t="s">
        <v>408</v>
      </c>
      <c r="B43" s="246"/>
      <c r="C43" s="492"/>
      <c r="D43" s="493"/>
      <c r="E43" s="464">
        <f>C69</f>
        <v>0</v>
      </c>
      <c r="F43" s="465"/>
      <c r="G43" s="214">
        <f>E69</f>
        <v>0</v>
      </c>
    </row>
    <row r="44" spans="1:7" ht="15">
      <c r="A44" s="245" t="s">
        <v>410</v>
      </c>
      <c r="B44" s="246"/>
      <c r="C44" s="466"/>
      <c r="D44" s="467"/>
      <c r="E44" s="466"/>
      <c r="F44" s="467"/>
      <c r="G44" s="70"/>
    </row>
    <row r="45" spans="1:7" ht="15">
      <c r="A45" s="135" t="s">
        <v>286</v>
      </c>
      <c r="B45" s="246"/>
      <c r="C45" s="458"/>
      <c r="D45" s="459"/>
      <c r="E45" s="464">
        <f>inputPrYr!E23</f>
        <v>0</v>
      </c>
      <c r="F45" s="465"/>
      <c r="G45" s="288" t="s">
        <v>274</v>
      </c>
    </row>
    <row r="46" spans="1:7" ht="15">
      <c r="A46" s="135" t="s">
        <v>287</v>
      </c>
      <c r="B46" s="246"/>
      <c r="C46" s="458"/>
      <c r="D46" s="459"/>
      <c r="E46" s="458"/>
      <c r="F46" s="459"/>
      <c r="G46" s="50"/>
    </row>
    <row r="47" spans="1:7" ht="15">
      <c r="A47" s="135" t="s">
        <v>288</v>
      </c>
      <c r="B47" s="246"/>
      <c r="C47" s="458"/>
      <c r="D47" s="459"/>
      <c r="E47" s="458"/>
      <c r="F47" s="459"/>
      <c r="G47" s="214" t="str">
        <f>mvalloc!C12</f>
        <v>  </v>
      </c>
    </row>
    <row r="48" spans="1:7" ht="15">
      <c r="A48" s="135" t="s">
        <v>289</v>
      </c>
      <c r="B48" s="246"/>
      <c r="C48" s="458"/>
      <c r="D48" s="459"/>
      <c r="E48" s="458"/>
      <c r="F48" s="459"/>
      <c r="G48" s="214" t="str">
        <f>mvalloc!D12</f>
        <v> </v>
      </c>
    </row>
    <row r="49" spans="1:7" ht="15">
      <c r="A49" s="144" t="s">
        <v>385</v>
      </c>
      <c r="B49" s="246"/>
      <c r="C49" s="458"/>
      <c r="D49" s="459"/>
      <c r="E49" s="458"/>
      <c r="F49" s="459"/>
      <c r="G49" s="214" t="str">
        <f>mvalloc!E12</f>
        <v> </v>
      </c>
    </row>
    <row r="50" spans="1:7" ht="15">
      <c r="A50" s="144" t="s">
        <v>441</v>
      </c>
      <c r="B50" s="246"/>
      <c r="C50" s="458"/>
      <c r="D50" s="459"/>
      <c r="E50" s="458"/>
      <c r="F50" s="459"/>
      <c r="G50" s="214" t="str">
        <f>mvalloc!F12</f>
        <v> </v>
      </c>
    </row>
    <row r="51" spans="1:7" ht="15">
      <c r="A51" s="266"/>
      <c r="B51" s="255"/>
      <c r="C51" s="458"/>
      <c r="D51" s="459"/>
      <c r="E51" s="458"/>
      <c r="F51" s="459"/>
      <c r="G51" s="50"/>
    </row>
    <row r="52" spans="1:7" ht="15">
      <c r="A52" s="266"/>
      <c r="B52" s="255"/>
      <c r="C52" s="458"/>
      <c r="D52" s="459"/>
      <c r="E52" s="458"/>
      <c r="F52" s="459"/>
      <c r="G52" s="50"/>
    </row>
    <row r="53" spans="1:7" ht="15">
      <c r="A53" s="266"/>
      <c r="B53" s="255"/>
      <c r="C53" s="458"/>
      <c r="D53" s="453"/>
      <c r="E53" s="458"/>
      <c r="F53" s="453"/>
      <c r="G53" s="50"/>
    </row>
    <row r="54" spans="1:7" ht="15">
      <c r="A54" s="256" t="s">
        <v>290</v>
      </c>
      <c r="B54" s="255"/>
      <c r="C54" s="458"/>
      <c r="D54" s="459"/>
      <c r="E54" s="458"/>
      <c r="F54" s="459"/>
      <c r="G54" s="50"/>
    </row>
    <row r="55" spans="1:7" ht="15">
      <c r="A55" s="144" t="s">
        <v>549</v>
      </c>
      <c r="B55" s="246"/>
      <c r="C55" s="458"/>
      <c r="D55" s="459"/>
      <c r="E55" s="458"/>
      <c r="F55" s="459"/>
      <c r="G55" s="50"/>
    </row>
    <row r="56" spans="1:7" ht="15">
      <c r="A56" s="245" t="s">
        <v>550</v>
      </c>
      <c r="B56" s="246"/>
      <c r="C56" s="496">
        <f>IF(C57*0.1&lt;C55,"Exceed 10% Rule","")</f>
      </c>
      <c r="D56" s="497"/>
      <c r="E56" s="496">
        <f>IF(E57*0.1&lt;E55,"Exceed 10% Rule","")</f>
      </c>
      <c r="F56" s="497"/>
      <c r="G56" s="296">
        <f>IF(G57*0.1+G74&lt;G55,"Exceed 10% Rule","")</f>
      </c>
    </row>
    <row r="57" spans="1:7" ht="15">
      <c r="A57" s="258" t="s">
        <v>291</v>
      </c>
      <c r="B57" s="246"/>
      <c r="C57" s="512">
        <f>SUM(C45:C55)</f>
        <v>0</v>
      </c>
      <c r="D57" s="513"/>
      <c r="E57" s="512">
        <f>SUM(E45:E55)</f>
        <v>0</v>
      </c>
      <c r="F57" s="513"/>
      <c r="G57" s="306">
        <f>SUM(G46:G55)</f>
        <v>0</v>
      </c>
    </row>
    <row r="58" spans="1:7" ht="15">
      <c r="A58" s="258" t="s">
        <v>292</v>
      </c>
      <c r="B58" s="246"/>
      <c r="C58" s="512">
        <f>C43+C57</f>
        <v>0</v>
      </c>
      <c r="D58" s="513"/>
      <c r="E58" s="512">
        <f>E43+E57</f>
        <v>0</v>
      </c>
      <c r="F58" s="513"/>
      <c r="G58" s="306">
        <f>G43+G57</f>
        <v>0</v>
      </c>
    </row>
    <row r="59" spans="1:7" ht="15">
      <c r="A59" s="135" t="s">
        <v>294</v>
      </c>
      <c r="B59" s="246"/>
      <c r="C59" s="510"/>
      <c r="D59" s="511"/>
      <c r="E59" s="510"/>
      <c r="F59" s="511"/>
      <c r="G59" s="48"/>
    </row>
    <row r="60" spans="1:7" ht="15">
      <c r="A60" s="266"/>
      <c r="B60" s="255"/>
      <c r="C60" s="458"/>
      <c r="D60" s="459"/>
      <c r="E60" s="458"/>
      <c r="F60" s="459"/>
      <c r="G60" s="50"/>
    </row>
    <row r="61" spans="1:7" ht="15">
      <c r="A61" s="266"/>
      <c r="B61" s="255"/>
      <c r="C61" s="458"/>
      <c r="D61" s="459"/>
      <c r="E61" s="458"/>
      <c r="F61" s="459"/>
      <c r="G61" s="50"/>
    </row>
    <row r="62" spans="1:7" ht="15">
      <c r="A62" s="266"/>
      <c r="B62" s="255"/>
      <c r="C62" s="458"/>
      <c r="D62" s="459"/>
      <c r="E62" s="458"/>
      <c r="F62" s="459"/>
      <c r="G62" s="50"/>
    </row>
    <row r="63" spans="1:7" ht="15">
      <c r="A63" s="266"/>
      <c r="B63" s="255"/>
      <c r="C63" s="458"/>
      <c r="D63" s="459"/>
      <c r="E63" s="458"/>
      <c r="F63" s="459"/>
      <c r="G63" s="50"/>
    </row>
    <row r="64" spans="1:7" ht="15">
      <c r="A64" s="266"/>
      <c r="B64" s="255"/>
      <c r="C64" s="458"/>
      <c r="D64" s="459"/>
      <c r="E64" s="458"/>
      <c r="F64" s="459"/>
      <c r="G64" s="50"/>
    </row>
    <row r="65" spans="1:7" ht="15">
      <c r="A65" s="267" t="s">
        <v>551</v>
      </c>
      <c r="B65" s="246"/>
      <c r="C65" s="458"/>
      <c r="D65" s="459"/>
      <c r="E65" s="458"/>
      <c r="F65" s="459"/>
      <c r="G65" s="58">
        <f>nhood!E11</f>
      </c>
    </row>
    <row r="66" spans="1:7" ht="15">
      <c r="A66" s="267" t="s">
        <v>549</v>
      </c>
      <c r="B66" s="246"/>
      <c r="C66" s="458"/>
      <c r="D66" s="459"/>
      <c r="E66" s="458"/>
      <c r="F66" s="459"/>
      <c r="G66" s="50"/>
    </row>
    <row r="67" spans="1:7" ht="15">
      <c r="A67" s="267" t="s">
        <v>552</v>
      </c>
      <c r="B67" s="246"/>
      <c r="C67" s="496">
        <f>IF(C68*0.1&lt;C66,"Exceed 10% Rule","")</f>
      </c>
      <c r="D67" s="497"/>
      <c r="E67" s="496">
        <f>IF(E68*0.1&lt;E66,"Exceed 10% Rule","")</f>
      </c>
      <c r="F67" s="497"/>
      <c r="G67" s="296">
        <f>IF(G68*0.1&lt;G66,"Exceed 10% Rule","")</f>
      </c>
    </row>
    <row r="68" spans="1:7" ht="15">
      <c r="A68" s="258" t="s">
        <v>298</v>
      </c>
      <c r="B68" s="246"/>
      <c r="C68" s="512">
        <f>SUM(C60:C66)</f>
        <v>0</v>
      </c>
      <c r="D68" s="513"/>
      <c r="E68" s="512">
        <f>SUM(E60:E66)</f>
        <v>0</v>
      </c>
      <c r="F68" s="513"/>
      <c r="G68" s="306">
        <f>SUM(G60:G66)</f>
        <v>0</v>
      </c>
    </row>
    <row r="69" spans="1:7" ht="15">
      <c r="A69" s="135" t="s">
        <v>409</v>
      </c>
      <c r="B69" s="246"/>
      <c r="C69" s="464">
        <f>C58-C68</f>
        <v>0</v>
      </c>
      <c r="D69" s="465"/>
      <c r="E69" s="464">
        <f>E58-E68</f>
        <v>0</v>
      </c>
      <c r="F69" s="465"/>
      <c r="G69" s="288" t="s">
        <v>274</v>
      </c>
    </row>
    <row r="70" spans="1:8" ht="15">
      <c r="A70" s="123" t="str">
        <f>CONCATENATE("",$G$1-2,"/",$G$1-1," Budget Authority Amount:")</f>
        <v>2010/2011 Budget Authority Amount:</v>
      </c>
      <c r="B70" s="269">
        <f>inputOth!B65</f>
        <v>0</v>
      </c>
      <c r="C70" s="269">
        <f>inputPrYr!D23</f>
        <v>0</v>
      </c>
      <c r="D70" s="478" t="s">
        <v>586</v>
      </c>
      <c r="E70" s="479"/>
      <c r="F70" s="480"/>
      <c r="G70" s="50"/>
      <c r="H70" s="270">
        <f>IF(G68/0.95-G68&lt;G70,"Exceeds 5%","")</f>
      </c>
    </row>
    <row r="71" spans="1:7" ht="15">
      <c r="A71" s="123"/>
      <c r="B71" s="271">
        <f>IF(C68&gt;B70,"See Tab A","")</f>
      </c>
      <c r="C71" s="271">
        <f>IF(E68&gt;C70,"See Tab C","")</f>
      </c>
      <c r="D71" s="22"/>
      <c r="E71" s="472" t="s">
        <v>589</v>
      </c>
      <c r="F71" s="473"/>
      <c r="G71" s="214">
        <f>G68+G70</f>
        <v>0</v>
      </c>
    </row>
    <row r="72" spans="1:7" ht="15">
      <c r="A72" s="123"/>
      <c r="B72" s="271">
        <f>IF(C69&lt;0,"See Tab B","")</f>
      </c>
      <c r="C72" s="271">
        <f>IF(E69&lt;0,"See Tab D","")</f>
      </c>
      <c r="D72" s="22"/>
      <c r="E72" s="472" t="s">
        <v>299</v>
      </c>
      <c r="F72" s="473"/>
      <c r="G72" s="214">
        <f>IF(G71-G58&gt;0,G71-G58,0)</f>
        <v>0</v>
      </c>
    </row>
    <row r="73" spans="1:7" ht="15">
      <c r="A73" s="157"/>
      <c r="B73" s="157"/>
      <c r="C73" s="487" t="s">
        <v>590</v>
      </c>
      <c r="D73" s="488"/>
      <c r="E73" s="488"/>
      <c r="F73" s="273">
        <f>inputOth!$E$46</f>
        <v>0</v>
      </c>
      <c r="G73" s="214">
        <f>ROUND(IF(F73&gt;0,(G72*F73),0),0)</f>
        <v>0</v>
      </c>
    </row>
    <row r="74" spans="1:7" ht="15">
      <c r="A74" s="22"/>
      <c r="B74" s="22"/>
      <c r="C74" s="489" t="str">
        <f>CONCATENATE("Amount of  ",$G$1-1," Ad Valorem Tax")</f>
        <v>Amount of  2011 Ad Valorem Tax</v>
      </c>
      <c r="D74" s="490"/>
      <c r="E74" s="490"/>
      <c r="F74" s="491"/>
      <c r="G74" s="301">
        <f>G72+G73</f>
        <v>0</v>
      </c>
    </row>
    <row r="75" spans="1:7" ht="15">
      <c r="A75" s="22"/>
      <c r="B75" s="22"/>
      <c r="C75" s="22"/>
      <c r="D75" s="22"/>
      <c r="E75" s="22"/>
      <c r="F75" s="22"/>
      <c r="G75" s="22"/>
    </row>
    <row r="76" spans="1:7" ht="15">
      <c r="A76" s="157"/>
      <c r="B76" s="157" t="s">
        <v>301</v>
      </c>
      <c r="C76" s="279"/>
      <c r="D76" s="80"/>
      <c r="E76" s="22"/>
      <c r="F76" s="22"/>
      <c r="G76" s="22"/>
    </row>
  </sheetData>
  <sheetProtection sheet="1" objects="1" scenarios="1"/>
  <mergeCells count="126">
    <mergeCell ref="E45:F45"/>
    <mergeCell ref="C41:D41"/>
    <mergeCell ref="C42:D42"/>
    <mergeCell ref="C43:D43"/>
    <mergeCell ref="C44:D44"/>
    <mergeCell ref="E41:F41"/>
    <mergeCell ref="E43:F43"/>
    <mergeCell ref="E44:F44"/>
    <mergeCell ref="E42:F42"/>
    <mergeCell ref="E5:F5"/>
    <mergeCell ref="E6:F6"/>
    <mergeCell ref="E7:F7"/>
    <mergeCell ref="E8:F8"/>
    <mergeCell ref="E17:F17"/>
    <mergeCell ref="E9:F9"/>
    <mergeCell ref="E10:F10"/>
    <mergeCell ref="E11:F11"/>
    <mergeCell ref="E12:F12"/>
    <mergeCell ref="E13:F13"/>
    <mergeCell ref="C14:D14"/>
    <mergeCell ref="C15:D15"/>
    <mergeCell ref="C16:D16"/>
    <mergeCell ref="C18:D18"/>
    <mergeCell ref="C17:D17"/>
    <mergeCell ref="C19:D19"/>
    <mergeCell ref="C13:D13"/>
    <mergeCell ref="C5:D5"/>
    <mergeCell ref="C6:D6"/>
    <mergeCell ref="C7:D7"/>
    <mergeCell ref="C8:D8"/>
    <mergeCell ref="C9:D9"/>
    <mergeCell ref="C10:D10"/>
    <mergeCell ref="C11:D11"/>
    <mergeCell ref="C12:D12"/>
    <mergeCell ref="C21:D21"/>
    <mergeCell ref="C22:D22"/>
    <mergeCell ref="E20:F20"/>
    <mergeCell ref="E21:F21"/>
    <mergeCell ref="E22:F22"/>
    <mergeCell ref="E25:F25"/>
    <mergeCell ref="C23:D23"/>
    <mergeCell ref="C24:D24"/>
    <mergeCell ref="C25:D25"/>
    <mergeCell ref="C20:D20"/>
    <mergeCell ref="C26:D26"/>
    <mergeCell ref="C27:D27"/>
    <mergeCell ref="C28:D28"/>
    <mergeCell ref="C29:D29"/>
    <mergeCell ref="C30:D30"/>
    <mergeCell ref="E26:F26"/>
    <mergeCell ref="E27:F27"/>
    <mergeCell ref="E28:F28"/>
    <mergeCell ref="E29:F29"/>
    <mergeCell ref="E30:F30"/>
    <mergeCell ref="C33:D33"/>
    <mergeCell ref="E31:F31"/>
    <mergeCell ref="E32:F32"/>
    <mergeCell ref="E33:F33"/>
    <mergeCell ref="C31:D31"/>
    <mergeCell ref="C32:D32"/>
    <mergeCell ref="E58:F58"/>
    <mergeCell ref="E59:F59"/>
    <mergeCell ref="C56:D56"/>
    <mergeCell ref="C62:D62"/>
    <mergeCell ref="C69:D69"/>
    <mergeCell ref="E67:F67"/>
    <mergeCell ref="E68:F68"/>
    <mergeCell ref="E69:F69"/>
    <mergeCell ref="C57:D57"/>
    <mergeCell ref="C58:D58"/>
    <mergeCell ref="C73:E73"/>
    <mergeCell ref="C74:F74"/>
    <mergeCell ref="D34:F34"/>
    <mergeCell ref="E35:F35"/>
    <mergeCell ref="E36:F36"/>
    <mergeCell ref="D70:F70"/>
    <mergeCell ref="C37:E37"/>
    <mergeCell ref="C38:F38"/>
    <mergeCell ref="C45:D45"/>
    <mergeCell ref="C46:D46"/>
    <mergeCell ref="E71:F71"/>
    <mergeCell ref="E72:F72"/>
    <mergeCell ref="C47:D47"/>
    <mergeCell ref="C48:D48"/>
    <mergeCell ref="C67:D67"/>
    <mergeCell ref="C68:D68"/>
    <mergeCell ref="E48:F48"/>
    <mergeCell ref="E49:F49"/>
    <mergeCell ref="E50:F50"/>
    <mergeCell ref="E51:F51"/>
    <mergeCell ref="E14:F14"/>
    <mergeCell ref="E15:F15"/>
    <mergeCell ref="E16:F16"/>
    <mergeCell ref="E18:F18"/>
    <mergeCell ref="E19:F19"/>
    <mergeCell ref="E24:F24"/>
    <mergeCell ref="E23:F23"/>
    <mergeCell ref="E57:F57"/>
    <mergeCell ref="C49:D49"/>
    <mergeCell ref="C50:D50"/>
    <mergeCell ref="C51:D51"/>
    <mergeCell ref="C52:D52"/>
    <mergeCell ref="C54:D54"/>
    <mergeCell ref="C55:D55"/>
    <mergeCell ref="C53:D53"/>
    <mergeCell ref="E53:F53"/>
    <mergeCell ref="C59:D59"/>
    <mergeCell ref="E64:F64"/>
    <mergeCell ref="E65:F65"/>
    <mergeCell ref="E66:F66"/>
    <mergeCell ref="E46:F46"/>
    <mergeCell ref="E47:F47"/>
    <mergeCell ref="E52:F52"/>
    <mergeCell ref="E54:F54"/>
    <mergeCell ref="E55:F55"/>
    <mergeCell ref="E56:F56"/>
    <mergeCell ref="C65:D65"/>
    <mergeCell ref="C66:D66"/>
    <mergeCell ref="C63:D63"/>
    <mergeCell ref="C64:D64"/>
    <mergeCell ref="C60:D60"/>
    <mergeCell ref="E60:F60"/>
    <mergeCell ref="E61:F61"/>
    <mergeCell ref="E62:F62"/>
    <mergeCell ref="E63:F63"/>
    <mergeCell ref="C61:D61"/>
  </mergeCells>
  <conditionalFormatting sqref="G30">
    <cfRule type="cellIs" priority="3" dxfId="245" operator="greaterThan" stopIfTrue="1">
      <formula>$G$32*0.1</formula>
    </cfRule>
  </conditionalFormatting>
  <conditionalFormatting sqref="G34">
    <cfRule type="cellIs" priority="4" dxfId="245" operator="greaterThan" stopIfTrue="1">
      <formula>$G$32/0.95-$G$32</formula>
    </cfRule>
  </conditionalFormatting>
  <conditionalFormatting sqref="G66">
    <cfRule type="cellIs" priority="5" dxfId="245" operator="greaterThan" stopIfTrue="1">
      <formula>$G$68*0.1</formula>
    </cfRule>
  </conditionalFormatting>
  <conditionalFormatting sqref="G70">
    <cfRule type="cellIs" priority="6" dxfId="245" operator="greaterThan" stopIfTrue="1">
      <formula>$G$68/0.95-$G$68</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E55:F55">
    <cfRule type="cellIs" priority="16" dxfId="1" operator="greaterThan" stopIfTrue="1">
      <formula>$E$57*0.1</formula>
    </cfRule>
  </conditionalFormatting>
  <conditionalFormatting sqref="C55:D55">
    <cfRule type="cellIs" priority="17" dxfId="1" operator="greaterThan" stopIfTrue="1">
      <formula>$C$57*0.1</formula>
    </cfRule>
  </conditionalFormatting>
  <conditionalFormatting sqref="E19:F19">
    <cfRule type="cellIs" priority="18" dxfId="1" operator="greaterThan" stopIfTrue="1">
      <formula>$E$21*0.1</formula>
    </cfRule>
  </conditionalFormatting>
  <conditionalFormatting sqref="C19:D19">
    <cfRule type="cellIs" priority="19" dxfId="1" operator="greaterThan" stopIfTrue="1">
      <formula>$C$21*0.1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C7" sqref="C7:D7"/>
    </sheetView>
  </sheetViews>
  <sheetFormatPr defaultColWidth="8.8984375" defaultRowHeight="15"/>
  <cols>
    <col min="1" max="1" width="28.69921875" style="23" customWidth="1"/>
    <col min="2" max="2" width="9.59765625" style="23" customWidth="1"/>
    <col min="3" max="3" width="10.3984375" style="23" customWidth="1"/>
    <col min="4" max="4" width="5.69921875" style="23" customWidth="1"/>
    <col min="5" max="5" width="9.69921875" style="23" customWidth="1"/>
    <col min="6" max="6" width="6.69921875" style="23" customWidth="1"/>
    <col min="7" max="7" width="16.09765625" style="23" customWidth="1"/>
    <col min="8" max="16384" width="8.8984375" style="23" customWidth="1"/>
  </cols>
  <sheetData>
    <row r="1" spans="1:7" ht="15">
      <c r="A1" s="162" t="str">
        <f>(inputPrYr!D2)</f>
        <v>CITY OF BURR OAK</v>
      </c>
      <c r="B1" s="162"/>
      <c r="C1" s="22"/>
      <c r="D1" s="22"/>
      <c r="E1" s="22"/>
      <c r="F1" s="22"/>
      <c r="G1" s="233">
        <f>inputPrYr!C5</f>
        <v>2012</v>
      </c>
    </row>
    <row r="2" spans="1:7" ht="15">
      <c r="A2" s="22"/>
      <c r="B2" s="22"/>
      <c r="C2" s="22"/>
      <c r="D2" s="22"/>
      <c r="E2" s="22"/>
      <c r="F2" s="22"/>
      <c r="G2" s="157"/>
    </row>
    <row r="3" spans="1:7" ht="15">
      <c r="A3" s="41" t="s">
        <v>353</v>
      </c>
      <c r="B3" s="41"/>
      <c r="C3" s="182"/>
      <c r="D3" s="182"/>
      <c r="E3" s="182"/>
      <c r="F3" s="182"/>
      <c r="G3" s="303"/>
    </row>
    <row r="4" spans="1:7" ht="15">
      <c r="A4" s="22"/>
      <c r="B4" s="22"/>
      <c r="C4" s="304"/>
      <c r="D4" s="304"/>
      <c r="E4" s="304"/>
      <c r="F4" s="304"/>
      <c r="G4" s="304"/>
    </row>
    <row r="5" spans="1:7" ht="15">
      <c r="A5" s="29" t="s">
        <v>285</v>
      </c>
      <c r="B5" s="29"/>
      <c r="C5" s="483" t="s">
        <v>305</v>
      </c>
      <c r="D5" s="484"/>
      <c r="E5" s="485" t="s">
        <v>432</v>
      </c>
      <c r="F5" s="486"/>
      <c r="G5" s="129" t="s">
        <v>433</v>
      </c>
    </row>
    <row r="6" spans="1:7" ht="15">
      <c r="A6" s="183">
        <f>inputPrYr!B24</f>
        <v>0</v>
      </c>
      <c r="B6" s="184"/>
      <c r="C6" s="481">
        <f>G1-2</f>
        <v>2010</v>
      </c>
      <c r="D6" s="482"/>
      <c r="E6" s="481">
        <f>G1-1</f>
        <v>2011</v>
      </c>
      <c r="F6" s="482"/>
      <c r="G6" s="244">
        <f>G1</f>
        <v>2012</v>
      </c>
    </row>
    <row r="7" spans="1:7" ht="15">
      <c r="A7" s="245" t="s">
        <v>408</v>
      </c>
      <c r="B7" s="246"/>
      <c r="C7" s="492"/>
      <c r="D7" s="493"/>
      <c r="E7" s="464">
        <f>C33</f>
        <v>0</v>
      </c>
      <c r="F7" s="465"/>
      <c r="G7" s="214">
        <f>E33</f>
        <v>0</v>
      </c>
    </row>
    <row r="8" spans="1:7" ht="15">
      <c r="A8" s="245" t="s">
        <v>410</v>
      </c>
      <c r="B8" s="246"/>
      <c r="C8" s="466"/>
      <c r="D8" s="467"/>
      <c r="E8" s="466"/>
      <c r="F8" s="467"/>
      <c r="G8" s="70"/>
    </row>
    <row r="9" spans="1:7" ht="15">
      <c r="A9" s="135" t="s">
        <v>286</v>
      </c>
      <c r="B9" s="246"/>
      <c r="C9" s="458"/>
      <c r="D9" s="459"/>
      <c r="E9" s="464">
        <f>inputPrYr!E24</f>
        <v>0</v>
      </c>
      <c r="F9" s="465"/>
      <c r="G9" s="288" t="s">
        <v>274</v>
      </c>
    </row>
    <row r="10" spans="1:7" ht="15">
      <c r="A10" s="135" t="s">
        <v>287</v>
      </c>
      <c r="B10" s="246"/>
      <c r="C10" s="458"/>
      <c r="D10" s="459"/>
      <c r="E10" s="458"/>
      <c r="F10" s="459"/>
      <c r="G10" s="50"/>
    </row>
    <row r="11" spans="1:7" ht="15">
      <c r="A11" s="135" t="s">
        <v>288</v>
      </c>
      <c r="B11" s="246"/>
      <c r="C11" s="458"/>
      <c r="D11" s="459"/>
      <c r="E11" s="458"/>
      <c r="F11" s="459"/>
      <c r="G11" s="214" t="str">
        <f>mvalloc!C13</f>
        <v>  </v>
      </c>
    </row>
    <row r="12" spans="1:7" ht="15">
      <c r="A12" s="135" t="s">
        <v>289</v>
      </c>
      <c r="B12" s="246"/>
      <c r="C12" s="458"/>
      <c r="D12" s="459"/>
      <c r="E12" s="458"/>
      <c r="F12" s="459"/>
      <c r="G12" s="214" t="str">
        <f>mvalloc!D13</f>
        <v> </v>
      </c>
    </row>
    <row r="13" spans="1:7" ht="15">
      <c r="A13" s="144" t="s">
        <v>385</v>
      </c>
      <c r="B13" s="246"/>
      <c r="C13" s="458"/>
      <c r="D13" s="459"/>
      <c r="E13" s="458"/>
      <c r="F13" s="459"/>
      <c r="G13" s="214" t="str">
        <f>mvalloc!E13</f>
        <v> </v>
      </c>
    </row>
    <row r="14" spans="1:7" ht="15">
      <c r="A14" s="144" t="s">
        <v>441</v>
      </c>
      <c r="B14" s="246"/>
      <c r="C14" s="458"/>
      <c r="D14" s="459"/>
      <c r="E14" s="458"/>
      <c r="F14" s="459"/>
      <c r="G14" s="214" t="str">
        <f>mvalloc!F13</f>
        <v> </v>
      </c>
    </row>
    <row r="15" spans="1:7" ht="15">
      <c r="A15" s="266"/>
      <c r="B15" s="255"/>
      <c r="C15" s="458"/>
      <c r="D15" s="459"/>
      <c r="E15" s="458"/>
      <c r="F15" s="459"/>
      <c r="G15" s="50"/>
    </row>
    <row r="16" spans="1:7" ht="15">
      <c r="A16" s="266"/>
      <c r="B16" s="255"/>
      <c r="C16" s="458"/>
      <c r="D16" s="459"/>
      <c r="E16" s="458"/>
      <c r="F16" s="459"/>
      <c r="G16" s="50"/>
    </row>
    <row r="17" spans="1:7" ht="15">
      <c r="A17" s="266"/>
      <c r="B17" s="255"/>
      <c r="C17" s="251"/>
      <c r="D17" s="252"/>
      <c r="E17" s="251"/>
      <c r="F17" s="252"/>
      <c r="G17" s="50"/>
    </row>
    <row r="18" spans="1:7" ht="15">
      <c r="A18" s="256" t="s">
        <v>290</v>
      </c>
      <c r="B18" s="255"/>
      <c r="C18" s="458"/>
      <c r="D18" s="459"/>
      <c r="E18" s="458"/>
      <c r="F18" s="459"/>
      <c r="G18" s="50"/>
    </row>
    <row r="19" spans="1:7" ht="15">
      <c r="A19" s="144" t="s">
        <v>549</v>
      </c>
      <c r="B19" s="246"/>
      <c r="C19" s="458"/>
      <c r="D19" s="459"/>
      <c r="E19" s="458"/>
      <c r="F19" s="459"/>
      <c r="G19" s="50"/>
    </row>
    <row r="20" spans="1:7" ht="15">
      <c r="A20" s="245" t="s">
        <v>550</v>
      </c>
      <c r="B20" s="246"/>
      <c r="C20" s="496">
        <f>IF(C21*0.1&lt;C19,"Exceed 10% Rule","")</f>
      </c>
      <c r="D20" s="497"/>
      <c r="E20" s="496">
        <f>IF(E21*0.1&lt;E19,"Exceed 10% Rule","")</f>
      </c>
      <c r="F20" s="497"/>
      <c r="G20" s="296">
        <f>IF(G21*0.1+G38&lt;G19,"Exceed 10% Rule","")</f>
      </c>
    </row>
    <row r="21" spans="1:7" ht="15">
      <c r="A21" s="258" t="s">
        <v>291</v>
      </c>
      <c r="B21" s="246"/>
      <c r="C21" s="512">
        <f>SUM(C9:C19)</f>
        <v>0</v>
      </c>
      <c r="D21" s="513"/>
      <c r="E21" s="512">
        <f>SUM(E9:E19)</f>
        <v>0</v>
      </c>
      <c r="F21" s="513"/>
      <c r="G21" s="306">
        <f>SUM(G9:G19)</f>
        <v>0</v>
      </c>
    </row>
    <row r="22" spans="1:7" ht="15">
      <c r="A22" s="258" t="s">
        <v>292</v>
      </c>
      <c r="B22" s="246"/>
      <c r="C22" s="512">
        <f>C7+C21</f>
        <v>0</v>
      </c>
      <c r="D22" s="513"/>
      <c r="E22" s="512">
        <f>E7+E21</f>
        <v>0</v>
      </c>
      <c r="F22" s="513"/>
      <c r="G22" s="306">
        <f>G7+G21</f>
        <v>0</v>
      </c>
    </row>
    <row r="23" spans="1:7" ht="15">
      <c r="A23" s="135" t="s">
        <v>294</v>
      </c>
      <c r="B23" s="246"/>
      <c r="C23" s="510"/>
      <c r="D23" s="511"/>
      <c r="E23" s="510"/>
      <c r="F23" s="511"/>
      <c r="G23" s="48"/>
    </row>
    <row r="24" spans="1:7" ht="15">
      <c r="A24" s="266"/>
      <c r="B24" s="255"/>
      <c r="C24" s="458"/>
      <c r="D24" s="459"/>
      <c r="E24" s="458"/>
      <c r="F24" s="459"/>
      <c r="G24" s="50"/>
    </row>
    <row r="25" spans="1:7" ht="15">
      <c r="A25" s="266"/>
      <c r="B25" s="255"/>
      <c r="C25" s="458"/>
      <c r="D25" s="459"/>
      <c r="E25" s="458"/>
      <c r="F25" s="459"/>
      <c r="G25" s="50"/>
    </row>
    <row r="26" spans="1:7" ht="15">
      <c r="A26" s="266"/>
      <c r="B26" s="255"/>
      <c r="C26" s="458"/>
      <c r="D26" s="459"/>
      <c r="E26" s="458"/>
      <c r="F26" s="459"/>
      <c r="G26" s="50"/>
    </row>
    <row r="27" spans="1:7" ht="15">
      <c r="A27" s="266"/>
      <c r="B27" s="255"/>
      <c r="C27" s="458"/>
      <c r="D27" s="459"/>
      <c r="E27" s="458"/>
      <c r="F27" s="459"/>
      <c r="G27" s="50"/>
    </row>
    <row r="28" spans="1:7" ht="15">
      <c r="A28" s="266"/>
      <c r="B28" s="255"/>
      <c r="C28" s="458"/>
      <c r="D28" s="459"/>
      <c r="E28" s="458"/>
      <c r="F28" s="459"/>
      <c r="G28" s="50"/>
    </row>
    <row r="29" spans="1:7" ht="15">
      <c r="A29" s="267" t="s">
        <v>551</v>
      </c>
      <c r="B29" s="246"/>
      <c r="C29" s="458"/>
      <c r="D29" s="459"/>
      <c r="E29" s="458"/>
      <c r="F29" s="459"/>
      <c r="G29" s="58">
        <f>nhood!E12</f>
      </c>
    </row>
    <row r="30" spans="1:7" ht="15">
      <c r="A30" s="267" t="s">
        <v>549</v>
      </c>
      <c r="B30" s="246"/>
      <c r="C30" s="458"/>
      <c r="D30" s="459"/>
      <c r="E30" s="458"/>
      <c r="F30" s="459"/>
      <c r="G30" s="50"/>
    </row>
    <row r="31" spans="1:7" ht="15">
      <c r="A31" s="267" t="s">
        <v>552</v>
      </c>
      <c r="B31" s="246"/>
      <c r="C31" s="496">
        <f>IF(C32*0.1&lt;C30,"Exceed 10% Rule","")</f>
      </c>
      <c r="D31" s="497"/>
      <c r="E31" s="496">
        <f>IF(E32*0.1&lt;E30,"Exceed 10% Rule","")</f>
      </c>
      <c r="F31" s="497"/>
      <c r="G31" s="296">
        <f>IF(G32*0.1&lt;G30,"Exceed 10% Rule","")</f>
      </c>
    </row>
    <row r="32" spans="1:7" ht="15">
      <c r="A32" s="258" t="s">
        <v>298</v>
      </c>
      <c r="B32" s="246"/>
      <c r="C32" s="512">
        <f>SUM(C24:C30)</f>
        <v>0</v>
      </c>
      <c r="D32" s="513"/>
      <c r="E32" s="512">
        <f>SUM(E24:E30)</f>
        <v>0</v>
      </c>
      <c r="F32" s="513"/>
      <c r="G32" s="306">
        <f>SUM(G24:G30)</f>
        <v>0</v>
      </c>
    </row>
    <row r="33" spans="1:7" ht="15">
      <c r="A33" s="135" t="s">
        <v>409</v>
      </c>
      <c r="B33" s="246"/>
      <c r="C33" s="464">
        <f>C22-C32</f>
        <v>0</v>
      </c>
      <c r="D33" s="465"/>
      <c r="E33" s="464">
        <f>E22-E32</f>
        <v>0</v>
      </c>
      <c r="F33" s="465"/>
      <c r="G33" s="288" t="s">
        <v>274</v>
      </c>
    </row>
    <row r="34" spans="1:8" ht="15">
      <c r="A34" s="123" t="str">
        <f>CONCATENATE("",$G$1-2,"/",$G$1-1," Budget Authority Amount:")</f>
        <v>2010/2011 Budget Authority Amount:</v>
      </c>
      <c r="B34" s="269">
        <f>inputOth!B66</f>
        <v>0</v>
      </c>
      <c r="C34" s="269">
        <f>inputPrYr!D24</f>
        <v>0</v>
      </c>
      <c r="D34" s="478" t="s">
        <v>586</v>
      </c>
      <c r="E34" s="479"/>
      <c r="F34" s="480"/>
      <c r="G34" s="50"/>
      <c r="H34" s="270">
        <f>IF(G32/0.95-G32&lt;G34,"Exceeds 5%","")</f>
      </c>
    </row>
    <row r="35" spans="1:7" ht="15">
      <c r="A35" s="123"/>
      <c r="B35" s="271">
        <f>IF(C32&gt;B34,"See Tab A","")</f>
      </c>
      <c r="C35" s="271">
        <f>IF(E32&gt;C34,"See Tab C","")</f>
      </c>
      <c r="D35" s="22"/>
      <c r="E35" s="472" t="s">
        <v>589</v>
      </c>
      <c r="F35" s="473"/>
      <c r="G35" s="214">
        <f>G32+G34</f>
        <v>0</v>
      </c>
    </row>
    <row r="36" spans="1:7" ht="15">
      <c r="A36" s="123"/>
      <c r="B36" s="271">
        <f>IF(C33&lt;0,"See Tab B","")</f>
      </c>
      <c r="C36" s="271">
        <f>IF(E33&lt;0,"See Tab D","")</f>
      </c>
      <c r="D36" s="22"/>
      <c r="E36" s="472" t="s">
        <v>299</v>
      </c>
      <c r="F36" s="473"/>
      <c r="G36" s="214">
        <f>IF(G35-G22&gt;0,G35-G22,0)</f>
        <v>0</v>
      </c>
    </row>
    <row r="37" spans="1:7" ht="15">
      <c r="A37" s="157"/>
      <c r="B37" s="157"/>
      <c r="C37" s="487" t="s">
        <v>590</v>
      </c>
      <c r="D37" s="488"/>
      <c r="E37" s="488"/>
      <c r="F37" s="273">
        <f>inputOth!$E$46</f>
        <v>0</v>
      </c>
      <c r="G37" s="214">
        <f>ROUND(IF(F37&gt;0,(G36*F37),0),0)</f>
        <v>0</v>
      </c>
    </row>
    <row r="38" spans="1:7" ht="15">
      <c r="A38" s="22"/>
      <c r="B38" s="22"/>
      <c r="C38" s="489" t="str">
        <f>CONCATENATE("Amount of  ",$G$1-1," Ad Valorem Tax")</f>
        <v>Amount of  2011 Ad Valorem Tax</v>
      </c>
      <c r="D38" s="490"/>
      <c r="E38" s="490"/>
      <c r="F38" s="491"/>
      <c r="G38" s="301">
        <f>G36+G37</f>
        <v>0</v>
      </c>
    </row>
    <row r="39" spans="1:7" ht="15">
      <c r="A39" s="22"/>
      <c r="B39" s="22"/>
      <c r="C39" s="22"/>
      <c r="D39" s="22"/>
      <c r="E39" s="22"/>
      <c r="F39" s="22"/>
      <c r="G39" s="22"/>
    </row>
    <row r="40" spans="1:7" ht="15">
      <c r="A40" s="29" t="s">
        <v>285</v>
      </c>
      <c r="B40" s="29"/>
      <c r="C40" s="304"/>
      <c r="D40" s="304"/>
      <c r="E40" s="304"/>
      <c r="F40" s="304"/>
      <c r="G40" s="304"/>
    </row>
    <row r="41" spans="1:7" ht="15">
      <c r="A41" s="22"/>
      <c r="B41" s="22"/>
      <c r="C41" s="483" t="s">
        <v>305</v>
      </c>
      <c r="D41" s="484"/>
      <c r="E41" s="485" t="s">
        <v>432</v>
      </c>
      <c r="F41" s="486"/>
      <c r="G41" s="129" t="s">
        <v>433</v>
      </c>
    </row>
    <row r="42" spans="1:7" ht="15">
      <c r="A42" s="184">
        <f>inputPrYr!B25</f>
        <v>0</v>
      </c>
      <c r="B42" s="184"/>
      <c r="C42" s="481">
        <f>C6</f>
        <v>2010</v>
      </c>
      <c r="D42" s="482"/>
      <c r="E42" s="481">
        <f>E6</f>
        <v>2011</v>
      </c>
      <c r="F42" s="482"/>
      <c r="G42" s="244">
        <f>G6</f>
        <v>2012</v>
      </c>
    </row>
    <row r="43" spans="1:7" ht="15">
      <c r="A43" s="245" t="s">
        <v>408</v>
      </c>
      <c r="B43" s="246"/>
      <c r="C43" s="492"/>
      <c r="D43" s="493"/>
      <c r="E43" s="464">
        <f>C69</f>
        <v>0</v>
      </c>
      <c r="F43" s="465"/>
      <c r="G43" s="214">
        <f>E69</f>
        <v>0</v>
      </c>
    </row>
    <row r="44" spans="1:7" ht="15">
      <c r="A44" s="249" t="s">
        <v>410</v>
      </c>
      <c r="B44" s="246"/>
      <c r="C44" s="466"/>
      <c r="D44" s="467"/>
      <c r="E44" s="466"/>
      <c r="F44" s="467"/>
      <c r="G44" s="70"/>
    </row>
    <row r="45" spans="1:7" ht="15">
      <c r="A45" s="135" t="s">
        <v>286</v>
      </c>
      <c r="B45" s="246"/>
      <c r="C45" s="458"/>
      <c r="D45" s="459"/>
      <c r="E45" s="464">
        <f>inputPrYr!E25</f>
        <v>0</v>
      </c>
      <c r="F45" s="465"/>
      <c r="G45" s="288" t="s">
        <v>274</v>
      </c>
    </row>
    <row r="46" spans="1:7" ht="15">
      <c r="A46" s="135" t="s">
        <v>287</v>
      </c>
      <c r="B46" s="246"/>
      <c r="C46" s="458"/>
      <c r="D46" s="459"/>
      <c r="E46" s="458"/>
      <c r="F46" s="459"/>
      <c r="G46" s="50"/>
    </row>
    <row r="47" spans="1:7" ht="15">
      <c r="A47" s="135" t="s">
        <v>288</v>
      </c>
      <c r="B47" s="246"/>
      <c r="C47" s="458"/>
      <c r="D47" s="459"/>
      <c r="E47" s="458"/>
      <c r="F47" s="459"/>
      <c r="G47" s="214" t="str">
        <f>mvalloc!C14</f>
        <v>  </v>
      </c>
    </row>
    <row r="48" spans="1:7" ht="15">
      <c r="A48" s="135" t="s">
        <v>289</v>
      </c>
      <c r="B48" s="246"/>
      <c r="C48" s="458"/>
      <c r="D48" s="459"/>
      <c r="E48" s="458"/>
      <c r="F48" s="459"/>
      <c r="G48" s="214" t="str">
        <f>mvalloc!D14</f>
        <v> </v>
      </c>
    </row>
    <row r="49" spans="1:7" ht="15">
      <c r="A49" s="144" t="s">
        <v>385</v>
      </c>
      <c r="B49" s="246"/>
      <c r="C49" s="458"/>
      <c r="D49" s="459"/>
      <c r="E49" s="458"/>
      <c r="F49" s="459"/>
      <c r="G49" s="214" t="str">
        <f>mvalloc!E14</f>
        <v> </v>
      </c>
    </row>
    <row r="50" spans="1:7" ht="15">
      <c r="A50" s="144" t="s">
        <v>441</v>
      </c>
      <c r="B50" s="246"/>
      <c r="C50" s="458"/>
      <c r="D50" s="459"/>
      <c r="E50" s="458"/>
      <c r="F50" s="459"/>
      <c r="G50" s="214" t="str">
        <f>mvalloc!F14</f>
        <v> </v>
      </c>
    </row>
    <row r="51" spans="1:7" ht="15">
      <c r="A51" s="266"/>
      <c r="B51" s="255"/>
      <c r="C51" s="458"/>
      <c r="D51" s="459"/>
      <c r="E51" s="458"/>
      <c r="F51" s="459"/>
      <c r="G51" s="50"/>
    </row>
    <row r="52" spans="1:7" ht="15">
      <c r="A52" s="266"/>
      <c r="B52" s="255"/>
      <c r="C52" s="458"/>
      <c r="D52" s="459"/>
      <c r="E52" s="458"/>
      <c r="F52" s="459"/>
      <c r="G52" s="50"/>
    </row>
    <row r="53" spans="1:7" ht="15">
      <c r="A53" s="266"/>
      <c r="B53" s="255"/>
      <c r="C53" s="251"/>
      <c r="D53" s="252"/>
      <c r="E53" s="251"/>
      <c r="F53" s="252"/>
      <c r="G53" s="50"/>
    </row>
    <row r="54" spans="1:7" ht="15">
      <c r="A54" s="256" t="s">
        <v>290</v>
      </c>
      <c r="B54" s="255"/>
      <c r="C54" s="458"/>
      <c r="D54" s="459"/>
      <c r="E54" s="458"/>
      <c r="F54" s="459"/>
      <c r="G54" s="50"/>
    </row>
    <row r="55" spans="1:7" ht="15">
      <c r="A55" s="144" t="s">
        <v>549</v>
      </c>
      <c r="B55" s="246"/>
      <c r="C55" s="458"/>
      <c r="D55" s="459"/>
      <c r="E55" s="458"/>
      <c r="F55" s="459"/>
      <c r="G55" s="50"/>
    </row>
    <row r="56" spans="1:7" ht="15">
      <c r="A56" s="245" t="s">
        <v>550</v>
      </c>
      <c r="B56" s="246"/>
      <c r="C56" s="496">
        <f>IF(C57*0.1&lt;C55,"Exceed 10% Rule","")</f>
      </c>
      <c r="D56" s="497"/>
      <c r="E56" s="496">
        <f>IF(E57*0.1&lt;E55,"Exceed 10% Rule","")</f>
      </c>
      <c r="F56" s="497"/>
      <c r="G56" s="296">
        <f>IF(G57*0.1+G74&lt;G55,"Exceed 10% Rule","")</f>
      </c>
    </row>
    <row r="57" spans="1:7" ht="15">
      <c r="A57" s="258" t="s">
        <v>291</v>
      </c>
      <c r="B57" s="246"/>
      <c r="C57" s="512">
        <f>SUM(C45:C55)</f>
        <v>0</v>
      </c>
      <c r="D57" s="513"/>
      <c r="E57" s="512">
        <f>SUM(E45:E55)</f>
        <v>0</v>
      </c>
      <c r="F57" s="513"/>
      <c r="G57" s="306">
        <f>SUM(G45:G55)</f>
        <v>0</v>
      </c>
    </row>
    <row r="58" spans="1:7" ht="15">
      <c r="A58" s="258" t="s">
        <v>292</v>
      </c>
      <c r="B58" s="246"/>
      <c r="C58" s="512">
        <f>C43+C57</f>
        <v>0</v>
      </c>
      <c r="D58" s="513"/>
      <c r="E58" s="512">
        <f>E43+E57</f>
        <v>0</v>
      </c>
      <c r="F58" s="513"/>
      <c r="G58" s="306">
        <f>G43+G57</f>
        <v>0</v>
      </c>
    </row>
    <row r="59" spans="1:7" ht="15">
      <c r="A59" s="135" t="s">
        <v>294</v>
      </c>
      <c r="B59" s="246"/>
      <c r="C59" s="510"/>
      <c r="D59" s="511"/>
      <c r="E59" s="510"/>
      <c r="F59" s="511"/>
      <c r="G59" s="48"/>
    </row>
    <row r="60" spans="1:7" ht="15">
      <c r="A60" s="266"/>
      <c r="B60" s="255"/>
      <c r="C60" s="458"/>
      <c r="D60" s="459"/>
      <c r="E60" s="458"/>
      <c r="F60" s="459"/>
      <c r="G60" s="50"/>
    </row>
    <row r="61" spans="1:7" ht="15">
      <c r="A61" s="266"/>
      <c r="B61" s="255"/>
      <c r="C61" s="458"/>
      <c r="D61" s="459"/>
      <c r="E61" s="458"/>
      <c r="F61" s="459"/>
      <c r="G61" s="50"/>
    </row>
    <row r="62" spans="1:7" ht="15">
      <c r="A62" s="266"/>
      <c r="B62" s="255"/>
      <c r="C62" s="458"/>
      <c r="D62" s="459"/>
      <c r="E62" s="458"/>
      <c r="F62" s="459"/>
      <c r="G62" s="50"/>
    </row>
    <row r="63" spans="1:7" ht="15">
      <c r="A63" s="266"/>
      <c r="B63" s="255"/>
      <c r="C63" s="458"/>
      <c r="D63" s="459"/>
      <c r="E63" s="458"/>
      <c r="F63" s="459"/>
      <c r="G63" s="50"/>
    </row>
    <row r="64" spans="1:7" ht="15">
      <c r="A64" s="266"/>
      <c r="B64" s="255"/>
      <c r="C64" s="458"/>
      <c r="D64" s="459"/>
      <c r="E64" s="458"/>
      <c r="F64" s="459"/>
      <c r="G64" s="50"/>
    </row>
    <row r="65" spans="1:7" ht="15">
      <c r="A65" s="267" t="s">
        <v>551</v>
      </c>
      <c r="B65" s="246"/>
      <c r="C65" s="458"/>
      <c r="D65" s="459"/>
      <c r="E65" s="458"/>
      <c r="F65" s="459"/>
      <c r="G65" s="58">
        <f>nhood!E13</f>
      </c>
    </row>
    <row r="66" spans="1:7" ht="15">
      <c r="A66" s="267" t="s">
        <v>549</v>
      </c>
      <c r="B66" s="246"/>
      <c r="C66" s="458"/>
      <c r="D66" s="459"/>
      <c r="E66" s="458"/>
      <c r="F66" s="459"/>
      <c r="G66" s="50"/>
    </row>
    <row r="67" spans="1:7" ht="15">
      <c r="A67" s="267" t="s">
        <v>552</v>
      </c>
      <c r="B67" s="246"/>
      <c r="C67" s="496">
        <f>IF(C68*0.1&lt;C66,"Exceed 10% Rule","")</f>
      </c>
      <c r="D67" s="497"/>
      <c r="E67" s="496">
        <f>IF(E68*0.1&lt;E66,"Exceed 10% Rule","")</f>
      </c>
      <c r="F67" s="497"/>
      <c r="G67" s="296">
        <f>IF(G68*0.1&lt;G66,"Exceed 10% Rule","")</f>
      </c>
    </row>
    <row r="68" spans="1:7" ht="15">
      <c r="A68" s="258" t="s">
        <v>298</v>
      </c>
      <c r="B68" s="246"/>
      <c r="C68" s="512">
        <f>SUM(C60:C66)</f>
        <v>0</v>
      </c>
      <c r="D68" s="513"/>
      <c r="E68" s="512">
        <f>SUM(E60:E66)</f>
        <v>0</v>
      </c>
      <c r="F68" s="513"/>
      <c r="G68" s="306">
        <f>SUM(G60:G66)</f>
        <v>0</v>
      </c>
    </row>
    <row r="69" spans="1:7" ht="15">
      <c r="A69" s="135" t="s">
        <v>409</v>
      </c>
      <c r="B69" s="246"/>
      <c r="C69" s="464">
        <f>C58-C68</f>
        <v>0</v>
      </c>
      <c r="D69" s="465"/>
      <c r="E69" s="464">
        <f>E58-E68</f>
        <v>0</v>
      </c>
      <c r="F69" s="465"/>
      <c r="G69" s="288" t="s">
        <v>274</v>
      </c>
    </row>
    <row r="70" spans="1:8" ht="15">
      <c r="A70" s="123" t="str">
        <f>CONCATENATE("",$G$1-2,"/",$G$1-1," Budget Authority Amount:")</f>
        <v>2010/2011 Budget Authority Amount:</v>
      </c>
      <c r="B70" s="269">
        <f>inputOth!B67</f>
        <v>0</v>
      </c>
      <c r="C70" s="269">
        <f>inputPrYr!D25</f>
        <v>0</v>
      </c>
      <c r="D70" s="478" t="s">
        <v>586</v>
      </c>
      <c r="E70" s="479"/>
      <c r="F70" s="480"/>
      <c r="G70" s="50"/>
      <c r="H70" s="270">
        <f>IF(G68/0.95-G68&lt;G70,"Exceeds 5%","")</f>
      </c>
    </row>
    <row r="71" spans="1:7" ht="15">
      <c r="A71" s="123"/>
      <c r="B71" s="271">
        <f>IF(C68&gt;B70,"See Tab A","")</f>
      </c>
      <c r="C71" s="271">
        <f>IF(E68&gt;C70,"See Tab C","")</f>
      </c>
      <c r="D71" s="22"/>
      <c r="E71" s="472" t="s">
        <v>589</v>
      </c>
      <c r="F71" s="473"/>
      <c r="G71" s="214">
        <f>G68+G70</f>
        <v>0</v>
      </c>
    </row>
    <row r="72" spans="1:7" ht="15">
      <c r="A72" s="123"/>
      <c r="B72" s="271">
        <f>IF(C69&lt;0,"See Tab B","")</f>
      </c>
      <c r="C72" s="271">
        <f>IF(E69&lt;0,"See Tab D","")</f>
      </c>
      <c r="D72" s="22"/>
      <c r="E72" s="472" t="s">
        <v>299</v>
      </c>
      <c r="F72" s="473"/>
      <c r="G72" s="214">
        <f>IF(G71-G58&gt;0,G71-G58,0)</f>
        <v>0</v>
      </c>
    </row>
    <row r="73" spans="1:7" ht="15">
      <c r="A73" s="157"/>
      <c r="B73" s="157"/>
      <c r="C73" s="487" t="s">
        <v>590</v>
      </c>
      <c r="D73" s="488"/>
      <c r="E73" s="488"/>
      <c r="F73" s="273">
        <f>inputOth!$E$46</f>
        <v>0</v>
      </c>
      <c r="G73" s="214">
        <f>ROUND(IF(F73&gt;0,(G72*F73),0),0)</f>
        <v>0</v>
      </c>
    </row>
    <row r="74" spans="1:7" ht="15">
      <c r="A74" s="22"/>
      <c r="B74" s="22"/>
      <c r="C74" s="489" t="str">
        <f>CONCATENATE("Amount of  ",$G$1-1," Ad Valorem Tax")</f>
        <v>Amount of  2011 Ad Valorem Tax</v>
      </c>
      <c r="D74" s="490"/>
      <c r="E74" s="490"/>
      <c r="F74" s="491"/>
      <c r="G74" s="301">
        <f>G72+G73</f>
        <v>0</v>
      </c>
    </row>
    <row r="75" spans="1:7" ht="15">
      <c r="A75" s="22"/>
      <c r="B75" s="22"/>
      <c r="C75" s="22"/>
      <c r="D75" s="22"/>
      <c r="E75" s="22"/>
      <c r="F75" s="22"/>
      <c r="G75" s="22"/>
    </row>
    <row r="76" spans="1:7" ht="15">
      <c r="A76" s="157"/>
      <c r="B76" s="157" t="s">
        <v>301</v>
      </c>
      <c r="C76" s="279"/>
      <c r="D76" s="80"/>
      <c r="E76" s="22"/>
      <c r="F76" s="22"/>
      <c r="G76" s="22"/>
    </row>
  </sheetData>
  <sheetProtection sheet="1"/>
  <mergeCells count="122">
    <mergeCell ref="C73:E73"/>
    <mergeCell ref="C74:F74"/>
    <mergeCell ref="C41:D41"/>
    <mergeCell ref="C42:D42"/>
    <mergeCell ref="C43:D43"/>
    <mergeCell ref="C44:D44"/>
    <mergeCell ref="E43:F43"/>
    <mergeCell ref="E44:F44"/>
    <mergeCell ref="E50:F50"/>
    <mergeCell ref="E41:F41"/>
    <mergeCell ref="C5:D5"/>
    <mergeCell ref="C6:D6"/>
    <mergeCell ref="C7:D7"/>
    <mergeCell ref="C8:D8"/>
    <mergeCell ref="E5:F5"/>
    <mergeCell ref="E6:F6"/>
    <mergeCell ref="E7:F7"/>
    <mergeCell ref="E8:F8"/>
    <mergeCell ref="E9:F9"/>
    <mergeCell ref="C20:D20"/>
    <mergeCell ref="C21:D21"/>
    <mergeCell ref="C22:D22"/>
    <mergeCell ref="C9:D9"/>
    <mergeCell ref="C10:D10"/>
    <mergeCell ref="C11:D11"/>
    <mergeCell ref="C12:D12"/>
    <mergeCell ref="E10:F10"/>
    <mergeCell ref="E11:F11"/>
    <mergeCell ref="C31:D31"/>
    <mergeCell ref="C32:D32"/>
    <mergeCell ref="C33:D33"/>
    <mergeCell ref="E31:F31"/>
    <mergeCell ref="E32:F32"/>
    <mergeCell ref="E33:F33"/>
    <mergeCell ref="E42:F42"/>
    <mergeCell ref="E55:F55"/>
    <mergeCell ref="E52:F52"/>
    <mergeCell ref="E54:F54"/>
    <mergeCell ref="C47:D47"/>
    <mergeCell ref="C48:D48"/>
    <mergeCell ref="C49:D49"/>
    <mergeCell ref="C50:D50"/>
    <mergeCell ref="E47:F47"/>
    <mergeCell ref="E48:F48"/>
    <mergeCell ref="E49:F49"/>
    <mergeCell ref="C56:D56"/>
    <mergeCell ref="C51:D51"/>
    <mergeCell ref="C52:D52"/>
    <mergeCell ref="C54:D54"/>
    <mergeCell ref="C55:D55"/>
    <mergeCell ref="C65:D65"/>
    <mergeCell ref="C60:D60"/>
    <mergeCell ref="C61:D61"/>
    <mergeCell ref="E56:F56"/>
    <mergeCell ref="E57:F57"/>
    <mergeCell ref="E58:F58"/>
    <mergeCell ref="C57:D57"/>
    <mergeCell ref="C58:D58"/>
    <mergeCell ref="C63:D63"/>
    <mergeCell ref="C64:D64"/>
    <mergeCell ref="C66:D66"/>
    <mergeCell ref="C69:D69"/>
    <mergeCell ref="E67:F67"/>
    <mergeCell ref="E68:F68"/>
    <mergeCell ref="E69:F69"/>
    <mergeCell ref="C67:D67"/>
    <mergeCell ref="C68:D68"/>
    <mergeCell ref="E66:F66"/>
    <mergeCell ref="D70:F70"/>
    <mergeCell ref="E71:F71"/>
    <mergeCell ref="E72:F72"/>
    <mergeCell ref="D34:F34"/>
    <mergeCell ref="E35:F35"/>
    <mergeCell ref="E36:F36"/>
    <mergeCell ref="C37:E37"/>
    <mergeCell ref="C38:F38"/>
    <mergeCell ref="C45:D45"/>
    <mergeCell ref="C46:D46"/>
    <mergeCell ref="E12:F12"/>
    <mergeCell ref="E13:F13"/>
    <mergeCell ref="C15:D15"/>
    <mergeCell ref="C16:D16"/>
    <mergeCell ref="C13:D13"/>
    <mergeCell ref="C14:D14"/>
    <mergeCell ref="E14:F14"/>
    <mergeCell ref="E15:F15"/>
    <mergeCell ref="E16:F16"/>
    <mergeCell ref="E18:F18"/>
    <mergeCell ref="E19:F19"/>
    <mergeCell ref="C24:D24"/>
    <mergeCell ref="E20:F20"/>
    <mergeCell ref="E21:F21"/>
    <mergeCell ref="C18:D18"/>
    <mergeCell ref="C19:D19"/>
    <mergeCell ref="E22:F22"/>
    <mergeCell ref="E23:F23"/>
    <mergeCell ref="C25:D25"/>
    <mergeCell ref="C26:D26"/>
    <mergeCell ref="E24:F24"/>
    <mergeCell ref="E25:F25"/>
    <mergeCell ref="E26:F26"/>
    <mergeCell ref="C23:D23"/>
    <mergeCell ref="C27:D27"/>
    <mergeCell ref="C28:D28"/>
    <mergeCell ref="C29:D29"/>
    <mergeCell ref="C30:D30"/>
    <mergeCell ref="E63:F63"/>
    <mergeCell ref="E64:F64"/>
    <mergeCell ref="C59:D59"/>
    <mergeCell ref="C62:D62"/>
    <mergeCell ref="E61:F61"/>
    <mergeCell ref="E62:F62"/>
    <mergeCell ref="E65:F65"/>
    <mergeCell ref="E27:F27"/>
    <mergeCell ref="E28:F28"/>
    <mergeCell ref="E29:F29"/>
    <mergeCell ref="E30:F30"/>
    <mergeCell ref="E45:F45"/>
    <mergeCell ref="E46:F46"/>
    <mergeCell ref="E51:F51"/>
    <mergeCell ref="E59:F59"/>
    <mergeCell ref="E60:F60"/>
  </mergeCells>
  <conditionalFormatting sqref="G30">
    <cfRule type="cellIs" priority="3" dxfId="245" operator="greaterThan" stopIfTrue="1">
      <formula>$G$32*0.1</formula>
    </cfRule>
  </conditionalFormatting>
  <conditionalFormatting sqref="G34">
    <cfRule type="cellIs" priority="4" dxfId="245" operator="greaterThan" stopIfTrue="1">
      <formula>$G$32/0.95-$G$32</formula>
    </cfRule>
  </conditionalFormatting>
  <conditionalFormatting sqref="G66">
    <cfRule type="cellIs" priority="5" dxfId="245" operator="greaterThan" stopIfTrue="1">
      <formula>$G$68*0.1</formula>
    </cfRule>
  </conditionalFormatting>
  <conditionalFormatting sqref="G70">
    <cfRule type="cellIs" priority="6" dxfId="245" operator="greaterThan" stopIfTrue="1">
      <formula>$G$68/0.95-$G$68</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E55:F55">
    <cfRule type="cellIs" priority="16" dxfId="1" operator="greaterThan" stopIfTrue="1">
      <formula>$E$57*0.1</formula>
    </cfRule>
  </conditionalFormatting>
  <conditionalFormatting sqref="C55:D55">
    <cfRule type="cellIs" priority="17" dxfId="1" operator="greaterThan" stopIfTrue="1">
      <formula>$C$57*0.1</formula>
    </cfRule>
  </conditionalFormatting>
  <conditionalFormatting sqref="E19:F19">
    <cfRule type="cellIs" priority="18" dxfId="1" operator="greaterThan" stopIfTrue="1">
      <formula>$E$21*0.1</formula>
    </cfRule>
  </conditionalFormatting>
  <conditionalFormatting sqref="C19:D19">
    <cfRule type="cellIs" priority="19" dxfId="1" operator="greaterThan" stopIfTrue="1">
      <formula>$C$21*0.1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C19" sqref="C19:G19"/>
    </sheetView>
  </sheetViews>
  <sheetFormatPr defaultColWidth="8.8984375" defaultRowHeight="15"/>
  <cols>
    <col min="1" max="1" width="28.69921875" style="23" customWidth="1"/>
    <col min="2" max="2" width="9.59765625" style="23" customWidth="1"/>
    <col min="3" max="3" width="10.3984375" style="23" customWidth="1"/>
    <col min="4" max="4" width="5.69921875" style="23" customWidth="1"/>
    <col min="5" max="5" width="9.69921875" style="23" customWidth="1"/>
    <col min="6" max="6" width="6.69921875" style="23" customWidth="1"/>
    <col min="7" max="7" width="16.59765625" style="23" customWidth="1"/>
    <col min="8" max="16384" width="8.8984375" style="23" customWidth="1"/>
  </cols>
  <sheetData>
    <row r="1" spans="1:7" ht="15">
      <c r="A1" s="162" t="str">
        <f>(inputPrYr!D2)</f>
        <v>CITY OF BURR OAK</v>
      </c>
      <c r="B1" s="162"/>
      <c r="C1" s="22"/>
      <c r="D1" s="22"/>
      <c r="E1" s="22"/>
      <c r="F1" s="22"/>
      <c r="G1" s="233">
        <f>inputPrYr!C5</f>
        <v>2012</v>
      </c>
    </row>
    <row r="2" spans="1:7" ht="15">
      <c r="A2" s="22"/>
      <c r="B2" s="22"/>
      <c r="C2" s="22"/>
      <c r="D2" s="22"/>
      <c r="E2" s="22"/>
      <c r="F2" s="22"/>
      <c r="G2" s="157"/>
    </row>
    <row r="3" spans="1:7" ht="15">
      <c r="A3" s="41" t="s">
        <v>353</v>
      </c>
      <c r="B3" s="41"/>
      <c r="C3" s="182"/>
      <c r="D3" s="182"/>
      <c r="E3" s="182"/>
      <c r="F3" s="182"/>
      <c r="G3" s="303"/>
    </row>
    <row r="4" spans="1:7" ht="15">
      <c r="A4" s="22"/>
      <c r="B4" s="22"/>
      <c r="C4" s="304"/>
      <c r="D4" s="304"/>
      <c r="E4" s="304"/>
      <c r="F4" s="304"/>
      <c r="G4" s="304"/>
    </row>
    <row r="5" spans="1:7" ht="15">
      <c r="A5" s="29" t="s">
        <v>285</v>
      </c>
      <c r="B5" s="29"/>
      <c r="C5" s="483" t="s">
        <v>305</v>
      </c>
      <c r="D5" s="484"/>
      <c r="E5" s="485" t="s">
        <v>432</v>
      </c>
      <c r="F5" s="486"/>
      <c r="G5" s="129" t="s">
        <v>433</v>
      </c>
    </row>
    <row r="6" spans="1:7" ht="15">
      <c r="A6" s="183">
        <f>inputPrYr!B26</f>
        <v>0</v>
      </c>
      <c r="B6" s="184"/>
      <c r="C6" s="481">
        <f>G1-2</f>
        <v>2010</v>
      </c>
      <c r="D6" s="482"/>
      <c r="E6" s="481">
        <f>G1-1</f>
        <v>2011</v>
      </c>
      <c r="F6" s="482"/>
      <c r="G6" s="244">
        <f>G1</f>
        <v>2012</v>
      </c>
    </row>
    <row r="7" spans="1:7" ht="15">
      <c r="A7" s="245" t="s">
        <v>408</v>
      </c>
      <c r="B7" s="246"/>
      <c r="C7" s="492"/>
      <c r="D7" s="493"/>
      <c r="E7" s="464">
        <f>C33</f>
        <v>0</v>
      </c>
      <c r="F7" s="465"/>
      <c r="G7" s="214">
        <f>E33</f>
        <v>0</v>
      </c>
    </row>
    <row r="8" spans="1:7" ht="15">
      <c r="A8" s="245" t="s">
        <v>410</v>
      </c>
      <c r="B8" s="246"/>
      <c r="C8" s="466"/>
      <c r="D8" s="467"/>
      <c r="E8" s="466"/>
      <c r="F8" s="467"/>
      <c r="G8" s="70"/>
    </row>
    <row r="9" spans="1:7" ht="15">
      <c r="A9" s="135" t="s">
        <v>286</v>
      </c>
      <c r="B9" s="246"/>
      <c r="C9" s="458"/>
      <c r="D9" s="459"/>
      <c r="E9" s="464">
        <f>inputPrYr!E26</f>
        <v>0</v>
      </c>
      <c r="F9" s="465"/>
      <c r="G9" s="288" t="s">
        <v>274</v>
      </c>
    </row>
    <row r="10" spans="1:7" ht="15">
      <c r="A10" s="135" t="s">
        <v>287</v>
      </c>
      <c r="B10" s="246"/>
      <c r="C10" s="458"/>
      <c r="D10" s="459"/>
      <c r="E10" s="458"/>
      <c r="F10" s="459"/>
      <c r="G10" s="50"/>
    </row>
    <row r="11" spans="1:7" ht="15">
      <c r="A11" s="135" t="s">
        <v>288</v>
      </c>
      <c r="B11" s="246"/>
      <c r="C11" s="458"/>
      <c r="D11" s="459"/>
      <c r="E11" s="458"/>
      <c r="F11" s="459"/>
      <c r="G11" s="214" t="str">
        <f>mvalloc!C15</f>
        <v>  </v>
      </c>
    </row>
    <row r="12" spans="1:7" ht="15">
      <c r="A12" s="135" t="s">
        <v>289</v>
      </c>
      <c r="B12" s="246"/>
      <c r="C12" s="458"/>
      <c r="D12" s="459"/>
      <c r="E12" s="458"/>
      <c r="F12" s="459"/>
      <c r="G12" s="214" t="str">
        <f>mvalloc!D15</f>
        <v> </v>
      </c>
    </row>
    <row r="13" spans="1:7" ht="15">
      <c r="A13" s="144" t="s">
        <v>385</v>
      </c>
      <c r="B13" s="246"/>
      <c r="C13" s="458"/>
      <c r="D13" s="459"/>
      <c r="E13" s="458"/>
      <c r="F13" s="459"/>
      <c r="G13" s="214" t="str">
        <f>mvalloc!E15</f>
        <v> </v>
      </c>
    </row>
    <row r="14" spans="1:7" ht="15">
      <c r="A14" s="144" t="s">
        <v>441</v>
      </c>
      <c r="B14" s="246"/>
      <c r="C14" s="458"/>
      <c r="D14" s="459"/>
      <c r="E14" s="458"/>
      <c r="F14" s="459"/>
      <c r="G14" s="214" t="str">
        <f>mvalloc!F15</f>
        <v> </v>
      </c>
    </row>
    <row r="15" spans="1:7" ht="15">
      <c r="A15" s="266"/>
      <c r="B15" s="255"/>
      <c r="C15" s="458"/>
      <c r="D15" s="459"/>
      <c r="E15" s="458"/>
      <c r="F15" s="459"/>
      <c r="G15" s="50"/>
    </row>
    <row r="16" spans="1:7" ht="15">
      <c r="A16" s="266"/>
      <c r="B16" s="255"/>
      <c r="C16" s="458"/>
      <c r="D16" s="459"/>
      <c r="E16" s="458"/>
      <c r="F16" s="459"/>
      <c r="G16" s="50"/>
    </row>
    <row r="17" spans="1:7" ht="15">
      <c r="A17" s="266"/>
      <c r="B17" s="255"/>
      <c r="C17" s="251"/>
      <c r="D17" s="252"/>
      <c r="E17" s="251"/>
      <c r="F17" s="252"/>
      <c r="G17" s="50"/>
    </row>
    <row r="18" spans="1:7" ht="15">
      <c r="A18" s="256" t="s">
        <v>290</v>
      </c>
      <c r="B18" s="255"/>
      <c r="C18" s="458"/>
      <c r="D18" s="459"/>
      <c r="E18" s="458"/>
      <c r="F18" s="459"/>
      <c r="G18" s="50"/>
    </row>
    <row r="19" spans="1:7" ht="15">
      <c r="A19" s="144" t="s">
        <v>549</v>
      </c>
      <c r="B19" s="246"/>
      <c r="C19" s="458"/>
      <c r="D19" s="459"/>
      <c r="E19" s="458"/>
      <c r="F19" s="459"/>
      <c r="G19" s="50"/>
    </row>
    <row r="20" spans="1:7" ht="15">
      <c r="A20" s="245" t="s">
        <v>550</v>
      </c>
      <c r="B20" s="246"/>
      <c r="C20" s="496">
        <f>IF(C21*0.1&lt;C19,"Exceed 10% Rule","")</f>
      </c>
      <c r="D20" s="497"/>
      <c r="E20" s="496">
        <f>IF(E21*0.1&lt;E19,"Exceed 10% Rule","")</f>
      </c>
      <c r="F20" s="497"/>
      <c r="G20" s="296">
        <f>IF(G21*0.1+G38&lt;G19,"Exceed 10% Rule","")</f>
      </c>
    </row>
    <row r="21" spans="1:7" ht="15">
      <c r="A21" s="258" t="s">
        <v>291</v>
      </c>
      <c r="B21" s="246"/>
      <c r="C21" s="512">
        <f>SUM(C9:C19)</f>
        <v>0</v>
      </c>
      <c r="D21" s="513"/>
      <c r="E21" s="512">
        <f>SUM(E9:E19)</f>
        <v>0</v>
      </c>
      <c r="F21" s="513"/>
      <c r="G21" s="306">
        <f>SUM(G9:G19)</f>
        <v>0</v>
      </c>
    </row>
    <row r="22" spans="1:7" ht="15">
      <c r="A22" s="258" t="s">
        <v>292</v>
      </c>
      <c r="B22" s="246"/>
      <c r="C22" s="512">
        <f>C7+C21</f>
        <v>0</v>
      </c>
      <c r="D22" s="513"/>
      <c r="E22" s="512">
        <f>E7+E21</f>
        <v>0</v>
      </c>
      <c r="F22" s="513"/>
      <c r="G22" s="306">
        <f>G7+G21</f>
        <v>0</v>
      </c>
    </row>
    <row r="23" spans="1:7" ht="15">
      <c r="A23" s="135" t="s">
        <v>294</v>
      </c>
      <c r="B23" s="246"/>
      <c r="C23" s="510"/>
      <c r="D23" s="511"/>
      <c r="E23" s="510"/>
      <c r="F23" s="511"/>
      <c r="G23" s="48"/>
    </row>
    <row r="24" spans="1:7" ht="15">
      <c r="A24" s="266"/>
      <c r="B24" s="255"/>
      <c r="C24" s="458"/>
      <c r="D24" s="459"/>
      <c r="E24" s="458"/>
      <c r="F24" s="459"/>
      <c r="G24" s="50"/>
    </row>
    <row r="25" spans="1:7" ht="15">
      <c r="A25" s="266"/>
      <c r="B25" s="255"/>
      <c r="C25" s="458"/>
      <c r="D25" s="459"/>
      <c r="E25" s="458"/>
      <c r="F25" s="459"/>
      <c r="G25" s="50"/>
    </row>
    <row r="26" spans="1:7" ht="15">
      <c r="A26" s="266"/>
      <c r="B26" s="255"/>
      <c r="C26" s="458"/>
      <c r="D26" s="459"/>
      <c r="E26" s="458"/>
      <c r="F26" s="459"/>
      <c r="G26" s="50"/>
    </row>
    <row r="27" spans="1:7" ht="15">
      <c r="A27" s="266"/>
      <c r="B27" s="255"/>
      <c r="C27" s="458"/>
      <c r="D27" s="459"/>
      <c r="E27" s="458"/>
      <c r="F27" s="459"/>
      <c r="G27" s="50"/>
    </row>
    <row r="28" spans="1:7" ht="15">
      <c r="A28" s="266"/>
      <c r="B28" s="255"/>
      <c r="C28" s="458"/>
      <c r="D28" s="459"/>
      <c r="E28" s="458"/>
      <c r="F28" s="459"/>
      <c r="G28" s="50"/>
    </row>
    <row r="29" spans="1:7" ht="15">
      <c r="A29" s="267" t="s">
        <v>551</v>
      </c>
      <c r="B29" s="246"/>
      <c r="C29" s="458"/>
      <c r="D29" s="459"/>
      <c r="E29" s="458"/>
      <c r="F29" s="459"/>
      <c r="G29" s="58">
        <f>nhood!E14</f>
      </c>
    </row>
    <row r="30" spans="1:7" ht="15">
      <c r="A30" s="267" t="s">
        <v>549</v>
      </c>
      <c r="B30" s="246"/>
      <c r="C30" s="458"/>
      <c r="D30" s="459"/>
      <c r="E30" s="458"/>
      <c r="F30" s="459"/>
      <c r="G30" s="50"/>
    </row>
    <row r="31" spans="1:7" ht="15">
      <c r="A31" s="267" t="s">
        <v>552</v>
      </c>
      <c r="B31" s="246"/>
      <c r="C31" s="496">
        <f>IF(C32*0.1&lt;C30,"Exceed 10% Rule","")</f>
      </c>
      <c r="D31" s="497"/>
      <c r="E31" s="496">
        <f>IF(E32*0.1&lt;E30,"Exceed 10% Rule","")</f>
      </c>
      <c r="F31" s="497"/>
      <c r="G31" s="296">
        <f>IF(G32*0.1&lt;G30,"Exceed 10% Rule","")</f>
      </c>
    </row>
    <row r="32" spans="1:7" ht="15">
      <c r="A32" s="258" t="s">
        <v>298</v>
      </c>
      <c r="B32" s="246"/>
      <c r="C32" s="512">
        <f>SUM(C24:C30)</f>
        <v>0</v>
      </c>
      <c r="D32" s="513"/>
      <c r="E32" s="512">
        <f>SUM(E24:E30)</f>
        <v>0</v>
      </c>
      <c r="F32" s="513"/>
      <c r="G32" s="306">
        <f>SUM(G24:G30)</f>
        <v>0</v>
      </c>
    </row>
    <row r="33" spans="1:7" ht="15">
      <c r="A33" s="135" t="s">
        <v>409</v>
      </c>
      <c r="B33" s="246"/>
      <c r="C33" s="464">
        <f>C22-C32</f>
        <v>0</v>
      </c>
      <c r="D33" s="465"/>
      <c r="E33" s="464">
        <f>E22-E32</f>
        <v>0</v>
      </c>
      <c r="F33" s="465"/>
      <c r="G33" s="288" t="s">
        <v>274</v>
      </c>
    </row>
    <row r="34" spans="1:8" ht="15">
      <c r="A34" s="123" t="str">
        <f>CONCATENATE("",$G$1-2,"/",$G$1-1," Budget Authority Amount:")</f>
        <v>2010/2011 Budget Authority Amount:</v>
      </c>
      <c r="B34" s="269">
        <f>inputOth!B68</f>
        <v>0</v>
      </c>
      <c r="C34" s="269">
        <f>inputPrYr!D26</f>
        <v>0</v>
      </c>
      <c r="D34" s="478" t="s">
        <v>586</v>
      </c>
      <c r="E34" s="479"/>
      <c r="F34" s="480"/>
      <c r="G34" s="50"/>
      <c r="H34" s="270">
        <f>IF(G32/0.95-G32&lt;G34,"Exceeds 5%","")</f>
      </c>
    </row>
    <row r="35" spans="1:7" ht="15">
      <c r="A35" s="123"/>
      <c r="B35" s="271">
        <f>IF(C32&gt;B34,"See Tab A","")</f>
      </c>
      <c r="C35" s="271">
        <f>IF(E32&gt;C34,"See Tab C","")</f>
      </c>
      <c r="D35" s="22"/>
      <c r="E35" s="472" t="s">
        <v>589</v>
      </c>
      <c r="F35" s="473"/>
      <c r="G35" s="214">
        <f>G32+G34</f>
        <v>0</v>
      </c>
    </row>
    <row r="36" spans="1:7" ht="15">
      <c r="A36" s="123"/>
      <c r="B36" s="271">
        <f>IF(C33&lt;0,"See Tab B","")</f>
      </c>
      <c r="C36" s="271">
        <f>IF(E33&lt;0,"See Tab D","")</f>
      </c>
      <c r="D36" s="22"/>
      <c r="E36" s="472" t="s">
        <v>299</v>
      </c>
      <c r="F36" s="473"/>
      <c r="G36" s="214">
        <f>IF(G35-G22&gt;0,G35-G22,0)</f>
        <v>0</v>
      </c>
    </row>
    <row r="37" spans="1:7" ht="15">
      <c r="A37" s="157"/>
      <c r="B37" s="157"/>
      <c r="C37" s="487" t="s">
        <v>590</v>
      </c>
      <c r="D37" s="488"/>
      <c r="E37" s="488"/>
      <c r="F37" s="273">
        <f>inputOth!$E$46</f>
        <v>0</v>
      </c>
      <c r="G37" s="214">
        <f>ROUND(IF(F37&gt;0,(G36*F37),0),0)</f>
        <v>0</v>
      </c>
    </row>
    <row r="38" spans="1:7" ht="15">
      <c r="A38" s="22"/>
      <c r="B38" s="22"/>
      <c r="C38" s="489" t="str">
        <f>CONCATENATE("Amount of  ",$G$1-1," Ad Valorem Tax")</f>
        <v>Amount of  2011 Ad Valorem Tax</v>
      </c>
      <c r="D38" s="490"/>
      <c r="E38" s="490"/>
      <c r="F38" s="491"/>
      <c r="G38" s="301">
        <f>G36+G37</f>
        <v>0</v>
      </c>
    </row>
    <row r="39" spans="1:7" ht="15">
      <c r="A39" s="22"/>
      <c r="B39" s="22"/>
      <c r="C39" s="22"/>
      <c r="D39" s="22"/>
      <c r="E39" s="22"/>
      <c r="F39" s="22"/>
      <c r="G39" s="22"/>
    </row>
    <row r="40" spans="1:7" ht="15">
      <c r="A40" s="29" t="s">
        <v>285</v>
      </c>
      <c r="B40" s="29"/>
      <c r="C40" s="127"/>
      <c r="D40" s="127"/>
      <c r="E40" s="127"/>
      <c r="F40" s="127"/>
      <c r="G40" s="127"/>
    </row>
    <row r="41" spans="1:7" ht="15">
      <c r="A41" s="22"/>
      <c r="B41" s="22"/>
      <c r="C41" s="483" t="s">
        <v>305</v>
      </c>
      <c r="D41" s="484"/>
      <c r="E41" s="485" t="s">
        <v>432</v>
      </c>
      <c r="F41" s="486"/>
      <c r="G41" s="129" t="s">
        <v>433</v>
      </c>
    </row>
    <row r="42" spans="1:7" ht="15">
      <c r="A42" s="184">
        <f>inputPrYr!B27</f>
        <v>0</v>
      </c>
      <c r="B42" s="184"/>
      <c r="C42" s="481">
        <f>C6</f>
        <v>2010</v>
      </c>
      <c r="D42" s="482"/>
      <c r="E42" s="481">
        <f>E6</f>
        <v>2011</v>
      </c>
      <c r="F42" s="482"/>
      <c r="G42" s="244">
        <f>G6</f>
        <v>2012</v>
      </c>
    </row>
    <row r="43" spans="1:7" ht="15">
      <c r="A43" s="245" t="s">
        <v>408</v>
      </c>
      <c r="B43" s="246"/>
      <c r="C43" s="492"/>
      <c r="D43" s="493"/>
      <c r="E43" s="464">
        <f>C69</f>
        <v>0</v>
      </c>
      <c r="F43" s="465"/>
      <c r="G43" s="214">
        <f>E69</f>
        <v>0</v>
      </c>
    </row>
    <row r="44" spans="1:7" ht="15">
      <c r="A44" s="249" t="s">
        <v>410</v>
      </c>
      <c r="B44" s="246"/>
      <c r="C44" s="466"/>
      <c r="D44" s="467"/>
      <c r="E44" s="466"/>
      <c r="F44" s="467"/>
      <c r="G44" s="70"/>
    </row>
    <row r="45" spans="1:7" ht="15">
      <c r="A45" s="135" t="s">
        <v>286</v>
      </c>
      <c r="B45" s="246"/>
      <c r="C45" s="458"/>
      <c r="D45" s="459"/>
      <c r="E45" s="464">
        <f>inputPrYr!E27</f>
        <v>0</v>
      </c>
      <c r="F45" s="465"/>
      <c r="G45" s="288" t="s">
        <v>274</v>
      </c>
    </row>
    <row r="46" spans="1:7" ht="15">
      <c r="A46" s="135" t="s">
        <v>287</v>
      </c>
      <c r="B46" s="246"/>
      <c r="C46" s="458"/>
      <c r="D46" s="459"/>
      <c r="E46" s="458"/>
      <c r="F46" s="459"/>
      <c r="G46" s="50"/>
    </row>
    <row r="47" spans="1:7" ht="15">
      <c r="A47" s="135" t="s">
        <v>288</v>
      </c>
      <c r="B47" s="246"/>
      <c r="C47" s="458"/>
      <c r="D47" s="459"/>
      <c r="E47" s="458"/>
      <c r="F47" s="459"/>
      <c r="G47" s="214" t="str">
        <f>mvalloc!C16</f>
        <v>  </v>
      </c>
    </row>
    <row r="48" spans="1:7" ht="15">
      <c r="A48" s="135" t="s">
        <v>289</v>
      </c>
      <c r="B48" s="246"/>
      <c r="C48" s="458"/>
      <c r="D48" s="459"/>
      <c r="E48" s="458"/>
      <c r="F48" s="459"/>
      <c r="G48" s="214" t="str">
        <f>mvalloc!D16</f>
        <v> </v>
      </c>
    </row>
    <row r="49" spans="1:7" ht="15">
      <c r="A49" s="144" t="s">
        <v>385</v>
      </c>
      <c r="B49" s="246"/>
      <c r="C49" s="458"/>
      <c r="D49" s="459"/>
      <c r="E49" s="458"/>
      <c r="F49" s="459"/>
      <c r="G49" s="214" t="str">
        <f>mvalloc!E16</f>
        <v> </v>
      </c>
    </row>
    <row r="50" spans="1:7" ht="15">
      <c r="A50" s="144" t="s">
        <v>441</v>
      </c>
      <c r="B50" s="246"/>
      <c r="C50" s="458"/>
      <c r="D50" s="459"/>
      <c r="E50" s="458"/>
      <c r="F50" s="459"/>
      <c r="G50" s="214" t="str">
        <f>mvalloc!F16</f>
        <v> </v>
      </c>
    </row>
    <row r="51" spans="1:7" ht="15">
      <c r="A51" s="266"/>
      <c r="B51" s="255"/>
      <c r="C51" s="458"/>
      <c r="D51" s="459"/>
      <c r="E51" s="458"/>
      <c r="F51" s="459"/>
      <c r="G51" s="50"/>
    </row>
    <row r="52" spans="1:7" ht="15">
      <c r="A52" s="310"/>
      <c r="B52" s="255"/>
      <c r="C52" s="458"/>
      <c r="D52" s="459"/>
      <c r="E52" s="458"/>
      <c r="F52" s="459"/>
      <c r="G52" s="50"/>
    </row>
    <row r="53" spans="1:7" ht="15">
      <c r="A53" s="310"/>
      <c r="B53" s="255"/>
      <c r="C53" s="251"/>
      <c r="D53" s="252"/>
      <c r="E53" s="251"/>
      <c r="F53" s="252"/>
      <c r="G53" s="50"/>
    </row>
    <row r="54" spans="1:7" ht="15">
      <c r="A54" s="256" t="s">
        <v>290</v>
      </c>
      <c r="B54" s="255"/>
      <c r="C54" s="458"/>
      <c r="D54" s="459"/>
      <c r="E54" s="458"/>
      <c r="F54" s="459"/>
      <c r="G54" s="50"/>
    </row>
    <row r="55" spans="1:7" ht="15">
      <c r="A55" s="144" t="s">
        <v>549</v>
      </c>
      <c r="B55" s="246"/>
      <c r="C55" s="458"/>
      <c r="D55" s="459"/>
      <c r="E55" s="458"/>
      <c r="F55" s="459"/>
      <c r="G55" s="50"/>
    </row>
    <row r="56" spans="1:7" ht="15">
      <c r="A56" s="245" t="s">
        <v>550</v>
      </c>
      <c r="B56" s="246"/>
      <c r="C56" s="496">
        <f>IF(C57*0.1&lt;C55,"Exceed 10% Rule","")</f>
      </c>
      <c r="D56" s="497"/>
      <c r="E56" s="496">
        <f>IF(E57*0.1&lt;E55,"Exceed 10% Rule","")</f>
      </c>
      <c r="F56" s="497"/>
      <c r="G56" s="296">
        <f>IF(G57*0.1+G74&lt;G55,"Exceed 10% Rule","")</f>
      </c>
    </row>
    <row r="57" spans="1:7" ht="15">
      <c r="A57" s="258" t="s">
        <v>291</v>
      </c>
      <c r="B57" s="246"/>
      <c r="C57" s="512">
        <f>SUM(C45:C55)</f>
        <v>0</v>
      </c>
      <c r="D57" s="513"/>
      <c r="E57" s="512">
        <f>SUM(E45:E55)</f>
        <v>0</v>
      </c>
      <c r="F57" s="513"/>
      <c r="G57" s="306">
        <f>SUM(G45:G55)</f>
        <v>0</v>
      </c>
    </row>
    <row r="58" spans="1:7" ht="15">
      <c r="A58" s="258" t="s">
        <v>292</v>
      </c>
      <c r="B58" s="246"/>
      <c r="C58" s="512">
        <f>C43+C57</f>
        <v>0</v>
      </c>
      <c r="D58" s="513"/>
      <c r="E58" s="512">
        <f>E43+E57</f>
        <v>0</v>
      </c>
      <c r="F58" s="513"/>
      <c r="G58" s="306">
        <f>G43+G57</f>
        <v>0</v>
      </c>
    </row>
    <row r="59" spans="1:7" ht="15">
      <c r="A59" s="135" t="s">
        <v>294</v>
      </c>
      <c r="B59" s="246"/>
      <c r="C59" s="510"/>
      <c r="D59" s="511"/>
      <c r="E59" s="510"/>
      <c r="F59" s="511"/>
      <c r="G59" s="48"/>
    </row>
    <row r="60" spans="1:7" ht="15">
      <c r="A60" s="266"/>
      <c r="B60" s="255"/>
      <c r="C60" s="458"/>
      <c r="D60" s="459"/>
      <c r="E60" s="458"/>
      <c r="F60" s="459"/>
      <c r="G60" s="50"/>
    </row>
    <row r="61" spans="1:7" ht="15">
      <c r="A61" s="266"/>
      <c r="B61" s="255"/>
      <c r="C61" s="458"/>
      <c r="D61" s="459"/>
      <c r="E61" s="458"/>
      <c r="F61" s="459"/>
      <c r="G61" s="50"/>
    </row>
    <row r="62" spans="1:7" ht="15">
      <c r="A62" s="266"/>
      <c r="B62" s="255"/>
      <c r="C62" s="458"/>
      <c r="D62" s="459"/>
      <c r="E62" s="458"/>
      <c r="F62" s="459"/>
      <c r="G62" s="50"/>
    </row>
    <row r="63" spans="1:7" ht="15">
      <c r="A63" s="266"/>
      <c r="B63" s="255"/>
      <c r="C63" s="458"/>
      <c r="D63" s="459"/>
      <c r="E63" s="458"/>
      <c r="F63" s="459"/>
      <c r="G63" s="50"/>
    </row>
    <row r="64" spans="1:7" ht="15">
      <c r="A64" s="266"/>
      <c r="B64" s="255"/>
      <c r="C64" s="458"/>
      <c r="D64" s="459"/>
      <c r="E64" s="458"/>
      <c r="F64" s="459"/>
      <c r="G64" s="50"/>
    </row>
    <row r="65" spans="1:7" ht="15">
      <c r="A65" s="267" t="s">
        <v>551</v>
      </c>
      <c r="B65" s="246"/>
      <c r="C65" s="458"/>
      <c r="D65" s="459"/>
      <c r="E65" s="458"/>
      <c r="F65" s="459"/>
      <c r="G65" s="58">
        <f>nhood!E15</f>
      </c>
    </row>
    <row r="66" spans="1:7" ht="15">
      <c r="A66" s="267" t="s">
        <v>549</v>
      </c>
      <c r="B66" s="246"/>
      <c r="C66" s="458"/>
      <c r="D66" s="459"/>
      <c r="E66" s="458"/>
      <c r="F66" s="459"/>
      <c r="G66" s="50"/>
    </row>
    <row r="67" spans="1:7" ht="15">
      <c r="A67" s="267" t="s">
        <v>552</v>
      </c>
      <c r="B67" s="246"/>
      <c r="C67" s="496">
        <f>IF(C68*0.1&lt;C66,"Exceed 10% Rule","")</f>
      </c>
      <c r="D67" s="497"/>
      <c r="E67" s="496">
        <f>IF(E68*0.1&lt;E66,"Exceed 10% Rule","")</f>
      </c>
      <c r="F67" s="497"/>
      <c r="G67" s="296">
        <f>IF(G68*0.1&lt;G66,"Exceed 10% Rule","")</f>
      </c>
    </row>
    <row r="68" spans="1:7" ht="15">
      <c r="A68" s="258" t="s">
        <v>298</v>
      </c>
      <c r="B68" s="246"/>
      <c r="C68" s="512">
        <f>SUM(C60:C66)</f>
        <v>0</v>
      </c>
      <c r="D68" s="513"/>
      <c r="E68" s="512">
        <f>SUM(E60:E66)</f>
        <v>0</v>
      </c>
      <c r="F68" s="513"/>
      <c r="G68" s="306">
        <f>SUM(G60:G66)</f>
        <v>0</v>
      </c>
    </row>
    <row r="69" spans="1:7" ht="15">
      <c r="A69" s="135" t="s">
        <v>409</v>
      </c>
      <c r="B69" s="246"/>
      <c r="C69" s="464">
        <f>C58-C68</f>
        <v>0</v>
      </c>
      <c r="D69" s="465"/>
      <c r="E69" s="464">
        <f>E58-E68</f>
        <v>0</v>
      </c>
      <c r="F69" s="465"/>
      <c r="G69" s="288" t="s">
        <v>274</v>
      </c>
    </row>
    <row r="70" spans="1:8" ht="15">
      <c r="A70" s="123" t="str">
        <f>CONCATENATE("",$G$1-2,"/",$G$1-1," Budget Authority Amount:")</f>
        <v>2010/2011 Budget Authority Amount:</v>
      </c>
      <c r="B70" s="269">
        <f>inputOth!B69</f>
        <v>0</v>
      </c>
      <c r="C70" s="269">
        <f>inputPrYr!D27</f>
        <v>0</v>
      </c>
      <c r="D70" s="478" t="s">
        <v>586</v>
      </c>
      <c r="E70" s="479"/>
      <c r="F70" s="480"/>
      <c r="G70" s="49"/>
      <c r="H70" s="270">
        <f>IF(G68/0.95-G68&lt;G70,"Exceeds 5%","")</f>
      </c>
    </row>
    <row r="71" spans="1:7" ht="15">
      <c r="A71" s="123"/>
      <c r="B71" s="271">
        <f>IF(C68&gt;B70,"See Tab A","")</f>
      </c>
      <c r="C71" s="271">
        <f>IF(E68&gt;C70,"See Tab C","")</f>
      </c>
      <c r="D71" s="22"/>
      <c r="E71" s="472" t="s">
        <v>589</v>
      </c>
      <c r="F71" s="473"/>
      <c r="G71" s="214">
        <f>G68+G70</f>
        <v>0</v>
      </c>
    </row>
    <row r="72" spans="1:7" ht="15">
      <c r="A72" s="123"/>
      <c r="B72" s="271">
        <f>IF(C69&lt;0,"See Tab B","")</f>
      </c>
      <c r="C72" s="271">
        <f>IF(E69&lt;0,"See Tab D","")</f>
      </c>
      <c r="D72" s="22"/>
      <c r="E72" s="472" t="s">
        <v>299</v>
      </c>
      <c r="F72" s="473"/>
      <c r="G72" s="214">
        <f>IF(G71-G58&gt;0,G71-G58,0)</f>
        <v>0</v>
      </c>
    </row>
    <row r="73" spans="1:7" ht="15">
      <c r="A73" s="157"/>
      <c r="B73" s="157"/>
      <c r="C73" s="487" t="s">
        <v>590</v>
      </c>
      <c r="D73" s="488"/>
      <c r="E73" s="488"/>
      <c r="F73" s="273">
        <f>inputOth!$E$46</f>
        <v>0</v>
      </c>
      <c r="G73" s="214">
        <f>ROUND(IF(F73&gt;0,(G72*F73),0),0)</f>
        <v>0</v>
      </c>
    </row>
    <row r="74" spans="1:7" ht="15">
      <c r="A74" s="22"/>
      <c r="B74" s="22"/>
      <c r="C74" s="489" t="str">
        <f>CONCATENATE("Amount of  ",$G$1-1," Ad Valorem Tax")</f>
        <v>Amount of  2011 Ad Valorem Tax</v>
      </c>
      <c r="D74" s="490"/>
      <c r="E74" s="490"/>
      <c r="F74" s="491"/>
      <c r="G74" s="301">
        <f>G72+G73</f>
        <v>0</v>
      </c>
    </row>
    <row r="75" spans="1:7" ht="15">
      <c r="A75" s="22"/>
      <c r="B75" s="22"/>
      <c r="C75" s="22"/>
      <c r="D75" s="22"/>
      <c r="E75" s="22"/>
      <c r="F75" s="22"/>
      <c r="G75" s="22"/>
    </row>
    <row r="76" spans="1:7" ht="15">
      <c r="A76" s="157"/>
      <c r="B76" s="157" t="s">
        <v>301</v>
      </c>
      <c r="C76" s="279"/>
      <c r="D76" s="302"/>
      <c r="E76" s="22"/>
      <c r="F76" s="22"/>
      <c r="G76" s="22"/>
    </row>
  </sheetData>
  <sheetProtection sheet="1" objects="1" scenarios="1"/>
  <mergeCells count="122">
    <mergeCell ref="C5:D5"/>
    <mergeCell ref="C6:D6"/>
    <mergeCell ref="E5:F5"/>
    <mergeCell ref="E6:F6"/>
    <mergeCell ref="E7:F7"/>
    <mergeCell ref="E14:F14"/>
    <mergeCell ref="C7:D7"/>
    <mergeCell ref="C8:D8"/>
    <mergeCell ref="E22:F22"/>
    <mergeCell ref="E23:F23"/>
    <mergeCell ref="E8:F8"/>
    <mergeCell ref="E9:F9"/>
    <mergeCell ref="E10:F10"/>
    <mergeCell ref="E11:F11"/>
    <mergeCell ref="E12:F12"/>
    <mergeCell ref="E13:F13"/>
    <mergeCell ref="E18:F18"/>
    <mergeCell ref="E19:F19"/>
    <mergeCell ref="C33:D33"/>
    <mergeCell ref="E31:F31"/>
    <mergeCell ref="E32:F32"/>
    <mergeCell ref="E33:F33"/>
    <mergeCell ref="E15:F15"/>
    <mergeCell ref="E16:F16"/>
    <mergeCell ref="C31:D31"/>
    <mergeCell ref="C32:D32"/>
    <mergeCell ref="C28:D28"/>
    <mergeCell ref="C29:D29"/>
    <mergeCell ref="C20:D20"/>
    <mergeCell ref="C21:D21"/>
    <mergeCell ref="C18:D18"/>
    <mergeCell ref="C19:D19"/>
    <mergeCell ref="C51:D51"/>
    <mergeCell ref="C52:D52"/>
    <mergeCell ref="C24:D24"/>
    <mergeCell ref="C25:D25"/>
    <mergeCell ref="C22:D22"/>
    <mergeCell ref="C23:D23"/>
    <mergeCell ref="E41:F41"/>
    <mergeCell ref="E42:F42"/>
    <mergeCell ref="E43:F43"/>
    <mergeCell ref="E44:F44"/>
    <mergeCell ref="C41:D41"/>
    <mergeCell ref="C42:D42"/>
    <mergeCell ref="C43:D43"/>
    <mergeCell ref="C44:D44"/>
    <mergeCell ref="E58:F58"/>
    <mergeCell ref="E59:F59"/>
    <mergeCell ref="E45:F45"/>
    <mergeCell ref="C56:D56"/>
    <mergeCell ref="C57:D57"/>
    <mergeCell ref="C58:D58"/>
    <mergeCell ref="C47:D47"/>
    <mergeCell ref="C48:D48"/>
    <mergeCell ref="C49:D49"/>
    <mergeCell ref="C50:D50"/>
    <mergeCell ref="C67:D67"/>
    <mergeCell ref="C68:D68"/>
    <mergeCell ref="C69:D69"/>
    <mergeCell ref="E67:F67"/>
    <mergeCell ref="E68:F68"/>
    <mergeCell ref="E69:F69"/>
    <mergeCell ref="D70:F70"/>
    <mergeCell ref="E71:F71"/>
    <mergeCell ref="E72:F72"/>
    <mergeCell ref="D34:F34"/>
    <mergeCell ref="E35:F35"/>
    <mergeCell ref="E36:F36"/>
    <mergeCell ref="C37:E37"/>
    <mergeCell ref="C38:F38"/>
    <mergeCell ref="C45:D45"/>
    <mergeCell ref="C46:D46"/>
    <mergeCell ref="C73:E73"/>
    <mergeCell ref="C74:F74"/>
    <mergeCell ref="C9:D9"/>
    <mergeCell ref="C10:D10"/>
    <mergeCell ref="C11:D11"/>
    <mergeCell ref="C12:D12"/>
    <mergeCell ref="C13:D13"/>
    <mergeCell ref="C14:D14"/>
    <mergeCell ref="C15:D15"/>
    <mergeCell ref="C16:D16"/>
    <mergeCell ref="E20:F20"/>
    <mergeCell ref="E21:F21"/>
    <mergeCell ref="C30:D30"/>
    <mergeCell ref="E24:F24"/>
    <mergeCell ref="E25:F25"/>
    <mergeCell ref="E26:F26"/>
    <mergeCell ref="E27:F27"/>
    <mergeCell ref="E28:F28"/>
    <mergeCell ref="E29:F29"/>
    <mergeCell ref="E30:F30"/>
    <mergeCell ref="C26:D26"/>
    <mergeCell ref="C27:D27"/>
    <mergeCell ref="C54:D54"/>
    <mergeCell ref="C55:D55"/>
    <mergeCell ref="E46:F46"/>
    <mergeCell ref="E47:F47"/>
    <mergeCell ref="E48:F48"/>
    <mergeCell ref="E49:F49"/>
    <mergeCell ref="E50:F50"/>
    <mergeCell ref="E51:F51"/>
    <mergeCell ref="E52:F52"/>
    <mergeCell ref="E54:F54"/>
    <mergeCell ref="E55:F55"/>
    <mergeCell ref="C60:D60"/>
    <mergeCell ref="C61:D61"/>
    <mergeCell ref="C62:D62"/>
    <mergeCell ref="E60:F60"/>
    <mergeCell ref="E61:F61"/>
    <mergeCell ref="E62:F62"/>
    <mergeCell ref="C59:D59"/>
    <mergeCell ref="E56:F56"/>
    <mergeCell ref="E57:F57"/>
    <mergeCell ref="C63:D63"/>
    <mergeCell ref="C64:D64"/>
    <mergeCell ref="C65:D65"/>
    <mergeCell ref="C66:D66"/>
    <mergeCell ref="E63:F63"/>
    <mergeCell ref="E64:F64"/>
    <mergeCell ref="E65:F65"/>
    <mergeCell ref="E66:F66"/>
  </mergeCells>
  <conditionalFormatting sqref="G30">
    <cfRule type="cellIs" priority="5" dxfId="245" operator="greaterThan" stopIfTrue="1">
      <formula>$G$32*0.1</formula>
    </cfRule>
  </conditionalFormatting>
  <conditionalFormatting sqref="G34">
    <cfRule type="cellIs" priority="6" dxfId="245" operator="greaterThan" stopIfTrue="1">
      <formula>$G$32/0.95-$G$32</formula>
    </cfRule>
  </conditionalFormatting>
  <conditionalFormatting sqref="G66">
    <cfRule type="cellIs" priority="7" dxfId="245" operator="greaterThan" stopIfTrue="1">
      <formula>$G$68*0.1</formula>
    </cfRule>
  </conditionalFormatting>
  <conditionalFormatting sqref="G70">
    <cfRule type="cellIs" priority="8" dxfId="245" operator="greaterThan" stopIfTrue="1">
      <formula>$G$68/0.95-$G$68</formula>
    </cfRule>
  </conditionalFormatting>
  <conditionalFormatting sqref="E32:F32">
    <cfRule type="cellIs" priority="9" dxfId="1" operator="greaterThan" stopIfTrue="1">
      <formula>$C$34</formula>
    </cfRule>
  </conditionalFormatting>
  <conditionalFormatting sqref="C32:D32">
    <cfRule type="cellIs" priority="10" dxfId="1" operator="greaterThan" stopIfTrue="1">
      <formula>$B$34</formula>
    </cfRule>
  </conditionalFormatting>
  <conditionalFormatting sqref="C33:D33 C69:D69">
    <cfRule type="cellIs" priority="11" dxfId="1" operator="lessThan" stopIfTrue="1">
      <formula>0</formula>
    </cfRule>
  </conditionalFormatting>
  <conditionalFormatting sqref="E68:F68">
    <cfRule type="cellIs" priority="12" dxfId="1" operator="greaterThan" stopIfTrue="1">
      <formula>$C$70</formula>
    </cfRule>
  </conditionalFormatting>
  <conditionalFormatting sqref="C68:D68">
    <cfRule type="cellIs" priority="13" dxfId="1" operator="greaterThan" stopIfTrue="1">
      <formula>$B$70</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C30:D30">
    <cfRule type="cellIs" priority="16" dxfId="1" operator="greaterThan" stopIfTrue="1">
      <formula>$C$32*0.1</formula>
    </cfRule>
  </conditionalFormatting>
  <conditionalFormatting sqref="E30:F30">
    <cfRule type="cellIs" priority="17" dxfId="1" operator="greaterThan" stopIfTrue="1">
      <formula>$E$32*0.1</formula>
    </cfRule>
  </conditionalFormatting>
  <conditionalFormatting sqref="E55:F55">
    <cfRule type="cellIs" priority="18" dxfId="1" operator="greaterThan" stopIfTrue="1">
      <formula>$E$57*0.1</formula>
    </cfRule>
  </conditionalFormatting>
  <conditionalFormatting sqref="C55:D55">
    <cfRule type="cellIs" priority="19" dxfId="1" operator="greaterThan" stopIfTrue="1">
      <formula>$C$57*0.1</formula>
    </cfRule>
  </conditionalFormatting>
  <conditionalFormatting sqref="E19:F19">
    <cfRule type="cellIs" priority="20" dxfId="1" operator="greaterThan" stopIfTrue="1">
      <formula>$E$21*0.1</formula>
    </cfRule>
  </conditionalFormatting>
  <conditionalFormatting sqref="C19:D19">
    <cfRule type="cellIs" priority="21" dxfId="1" operator="greaterThan" stopIfTrue="1">
      <formula>$C$21*0.1</formula>
    </cfRule>
  </conditionalFormatting>
  <conditionalFormatting sqref="G55">
    <cfRule type="cellIs" priority="22" dxfId="245" operator="greaterThan" stopIfTrue="1">
      <formula>$G$57*0.1+G74</formula>
    </cfRule>
  </conditionalFormatting>
  <conditionalFormatting sqref="G19">
    <cfRule type="cellIs" priority="23" dxfId="245" operator="greaterThan" stopIfTrue="1">
      <formula>$G$21*0.1+G38</formula>
    </cfRule>
  </conditionalFormatting>
  <conditionalFormatting sqref="E69:F69">
    <cfRule type="cellIs" priority="2" dxfId="0" operator="lessThan" stopIfTrue="1">
      <formula>0</formula>
    </cfRule>
    <cfRule type="cellIs" priority="4" dxfId="0" operator="lessThan" stopIfTrue="1">
      <formula>0</formula>
    </cfRule>
  </conditionalFormatting>
  <conditionalFormatting sqref="E33:F33">
    <cfRule type="cellIs" priority="1" dxfId="0" operator="lessThan" stopIfTrue="1">
      <formula>0</formula>
    </cfRule>
    <cfRule type="cellIs" priority="3"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C7" sqref="C7:D7"/>
    </sheetView>
  </sheetViews>
  <sheetFormatPr defaultColWidth="8.8984375" defaultRowHeight="15"/>
  <cols>
    <col min="1" max="1" width="28.69921875" style="23" customWidth="1"/>
    <col min="2" max="2" width="9.59765625" style="23" customWidth="1"/>
    <col min="3" max="3" width="10.3984375" style="23" customWidth="1"/>
    <col min="4" max="4" width="5.69921875" style="23" customWidth="1"/>
    <col min="5" max="5" width="9.69921875" style="23" customWidth="1"/>
    <col min="6" max="6" width="6.69921875" style="23" customWidth="1"/>
    <col min="7" max="7" width="16.296875" style="23" customWidth="1"/>
    <col min="8" max="16384" width="8.8984375" style="23" customWidth="1"/>
  </cols>
  <sheetData>
    <row r="1" spans="1:7" ht="15">
      <c r="A1" s="162" t="str">
        <f>(inputPrYr!D2)</f>
        <v>CITY OF BURR OAK</v>
      </c>
      <c r="B1" s="162"/>
      <c r="C1" s="22"/>
      <c r="D1" s="22"/>
      <c r="E1" s="22"/>
      <c r="F1" s="22"/>
      <c r="G1" s="233">
        <f>inputPrYr!C5</f>
        <v>2012</v>
      </c>
    </row>
    <row r="2" spans="1:7" ht="15">
      <c r="A2" s="22"/>
      <c r="B2" s="22"/>
      <c r="C2" s="22"/>
      <c r="D2" s="22"/>
      <c r="E2" s="22"/>
      <c r="F2" s="22"/>
      <c r="G2" s="157"/>
    </row>
    <row r="3" spans="1:7" ht="15">
      <c r="A3" s="41" t="s">
        <v>353</v>
      </c>
      <c r="B3" s="41"/>
      <c r="C3" s="182"/>
      <c r="D3" s="182"/>
      <c r="E3" s="182"/>
      <c r="F3" s="182"/>
      <c r="G3" s="303"/>
    </row>
    <row r="4" spans="1:7" ht="15">
      <c r="A4" s="22"/>
      <c r="B4" s="22"/>
      <c r="C4" s="304"/>
      <c r="D4" s="304"/>
      <c r="E4" s="304"/>
      <c r="F4" s="304"/>
      <c r="G4" s="304"/>
    </row>
    <row r="5" spans="1:7" ht="15">
      <c r="A5" s="29" t="s">
        <v>285</v>
      </c>
      <c r="B5" s="29"/>
      <c r="C5" s="483" t="s">
        <v>305</v>
      </c>
      <c r="D5" s="484"/>
      <c r="E5" s="485" t="s">
        <v>432</v>
      </c>
      <c r="F5" s="486"/>
      <c r="G5" s="129" t="s">
        <v>433</v>
      </c>
    </row>
    <row r="6" spans="1:7" ht="15">
      <c r="A6" s="184">
        <f>inputPrYr!B28</f>
        <v>0</v>
      </c>
      <c r="B6" s="184"/>
      <c r="C6" s="481">
        <f>G1-2</f>
        <v>2010</v>
      </c>
      <c r="D6" s="482"/>
      <c r="E6" s="481">
        <f>G1-1</f>
        <v>2011</v>
      </c>
      <c r="F6" s="482"/>
      <c r="G6" s="244">
        <f>G1</f>
        <v>2012</v>
      </c>
    </row>
    <row r="7" spans="1:7" ht="15">
      <c r="A7" s="245" t="s">
        <v>408</v>
      </c>
      <c r="B7" s="246"/>
      <c r="C7" s="492"/>
      <c r="D7" s="493"/>
      <c r="E7" s="464">
        <f>C33</f>
        <v>0</v>
      </c>
      <c r="F7" s="465"/>
      <c r="G7" s="214">
        <f>E33</f>
        <v>0</v>
      </c>
    </row>
    <row r="8" spans="1:7" ht="15">
      <c r="A8" s="249" t="s">
        <v>410</v>
      </c>
      <c r="B8" s="246"/>
      <c r="C8" s="466"/>
      <c r="D8" s="467"/>
      <c r="E8" s="466"/>
      <c r="F8" s="467"/>
      <c r="G8" s="70"/>
    </row>
    <row r="9" spans="1:7" ht="15">
      <c r="A9" s="135" t="s">
        <v>286</v>
      </c>
      <c r="B9" s="246"/>
      <c r="C9" s="492"/>
      <c r="D9" s="493"/>
      <c r="E9" s="464">
        <f>inputPrYr!E28</f>
        <v>0</v>
      </c>
      <c r="F9" s="465"/>
      <c r="G9" s="288" t="s">
        <v>274</v>
      </c>
    </row>
    <row r="10" spans="1:7" ht="15">
      <c r="A10" s="135" t="s">
        <v>287</v>
      </c>
      <c r="B10" s="246"/>
      <c r="C10" s="492"/>
      <c r="D10" s="493"/>
      <c r="E10" s="492"/>
      <c r="F10" s="493"/>
      <c r="G10" s="50"/>
    </row>
    <row r="11" spans="1:7" ht="15">
      <c r="A11" s="135" t="s">
        <v>288</v>
      </c>
      <c r="B11" s="246"/>
      <c r="C11" s="492"/>
      <c r="D11" s="493"/>
      <c r="E11" s="492"/>
      <c r="F11" s="493"/>
      <c r="G11" s="214" t="str">
        <f>mvalloc!C17</f>
        <v>  </v>
      </c>
    </row>
    <row r="12" spans="1:7" ht="15">
      <c r="A12" s="135" t="s">
        <v>289</v>
      </c>
      <c r="B12" s="246"/>
      <c r="C12" s="492"/>
      <c r="D12" s="493"/>
      <c r="E12" s="492"/>
      <c r="F12" s="493"/>
      <c r="G12" s="214" t="str">
        <f>mvalloc!D17</f>
        <v> </v>
      </c>
    </row>
    <row r="13" spans="1:7" ht="15">
      <c r="A13" s="144" t="s">
        <v>385</v>
      </c>
      <c r="B13" s="246"/>
      <c r="C13" s="492"/>
      <c r="D13" s="493"/>
      <c r="E13" s="492"/>
      <c r="F13" s="493"/>
      <c r="G13" s="214" t="str">
        <f>mvalloc!E17</f>
        <v> </v>
      </c>
    </row>
    <row r="14" spans="1:7" ht="15">
      <c r="A14" s="144" t="s">
        <v>441</v>
      </c>
      <c r="B14" s="246"/>
      <c r="C14" s="492"/>
      <c r="D14" s="493"/>
      <c r="E14" s="492"/>
      <c r="F14" s="493"/>
      <c r="G14" s="214" t="str">
        <f>mvalloc!F17</f>
        <v> </v>
      </c>
    </row>
    <row r="15" spans="1:7" ht="15">
      <c r="A15" s="266"/>
      <c r="B15" s="255"/>
      <c r="C15" s="492"/>
      <c r="D15" s="493"/>
      <c r="E15" s="492"/>
      <c r="F15" s="493"/>
      <c r="G15" s="50"/>
    </row>
    <row r="16" spans="1:7" ht="15">
      <c r="A16" s="266"/>
      <c r="B16" s="255"/>
      <c r="C16" s="492"/>
      <c r="D16" s="493"/>
      <c r="E16" s="492"/>
      <c r="F16" s="493"/>
      <c r="G16" s="50"/>
    </row>
    <row r="17" spans="1:7" ht="15">
      <c r="A17" s="266"/>
      <c r="B17" s="255"/>
      <c r="C17" s="247"/>
      <c r="D17" s="248"/>
      <c r="E17" s="247"/>
      <c r="F17" s="248"/>
      <c r="G17" s="50"/>
    </row>
    <row r="18" spans="1:7" ht="15">
      <c r="A18" s="256" t="s">
        <v>290</v>
      </c>
      <c r="B18" s="255"/>
      <c r="C18" s="492"/>
      <c r="D18" s="493"/>
      <c r="E18" s="492"/>
      <c r="F18" s="493"/>
      <c r="G18" s="50"/>
    </row>
    <row r="19" spans="1:7" ht="15">
      <c r="A19" s="144" t="s">
        <v>549</v>
      </c>
      <c r="B19" s="246"/>
      <c r="C19" s="492"/>
      <c r="D19" s="493"/>
      <c r="E19" s="492"/>
      <c r="F19" s="493"/>
      <c r="G19" s="50"/>
    </row>
    <row r="20" spans="1:7" ht="15">
      <c r="A20" s="245" t="s">
        <v>550</v>
      </c>
      <c r="B20" s="246"/>
      <c r="C20" s="496">
        <f>IF(C21*0.1&lt;C19,"Exceed 10% Rule","")</f>
      </c>
      <c r="D20" s="497"/>
      <c r="E20" s="496">
        <f>IF(E21*0.1&lt;E19,"Exceed 10% Rule","")</f>
      </c>
      <c r="F20" s="497"/>
      <c r="G20" s="296">
        <f>IF(G21*0.1+G38&lt;G19,"Exceed 10% Rule","")</f>
      </c>
    </row>
    <row r="21" spans="1:7" ht="15">
      <c r="A21" s="258" t="s">
        <v>291</v>
      </c>
      <c r="B21" s="246"/>
      <c r="C21" s="512">
        <f>SUM(C9:C19)</f>
        <v>0</v>
      </c>
      <c r="D21" s="513"/>
      <c r="E21" s="512">
        <f>SUM(E9:E19)</f>
        <v>0</v>
      </c>
      <c r="F21" s="513"/>
      <c r="G21" s="306">
        <f>SUM(G9:G19)</f>
        <v>0</v>
      </c>
    </row>
    <row r="22" spans="1:7" ht="15">
      <c r="A22" s="258" t="s">
        <v>292</v>
      </c>
      <c r="B22" s="246"/>
      <c r="C22" s="512">
        <f>C7+C21</f>
        <v>0</v>
      </c>
      <c r="D22" s="513"/>
      <c r="E22" s="512">
        <f>E7+E21</f>
        <v>0</v>
      </c>
      <c r="F22" s="513"/>
      <c r="G22" s="306">
        <f>G7+G21</f>
        <v>0</v>
      </c>
    </row>
    <row r="23" spans="1:7" ht="15">
      <c r="A23" s="135" t="s">
        <v>294</v>
      </c>
      <c r="B23" s="246"/>
      <c r="C23" s="510"/>
      <c r="D23" s="511"/>
      <c r="E23" s="510"/>
      <c r="F23" s="511"/>
      <c r="G23" s="48"/>
    </row>
    <row r="24" spans="1:7" ht="15">
      <c r="A24" s="266"/>
      <c r="B24" s="255"/>
      <c r="C24" s="492"/>
      <c r="D24" s="493"/>
      <c r="E24" s="492"/>
      <c r="F24" s="493"/>
      <c r="G24" s="50"/>
    </row>
    <row r="25" spans="1:7" ht="15">
      <c r="A25" s="266"/>
      <c r="B25" s="255"/>
      <c r="C25" s="492"/>
      <c r="D25" s="493"/>
      <c r="E25" s="492"/>
      <c r="F25" s="493"/>
      <c r="G25" s="50"/>
    </row>
    <row r="26" spans="1:7" ht="15">
      <c r="A26" s="266"/>
      <c r="B26" s="255"/>
      <c r="C26" s="492"/>
      <c r="D26" s="493"/>
      <c r="E26" s="492"/>
      <c r="F26" s="493"/>
      <c r="G26" s="50"/>
    </row>
    <row r="27" spans="1:7" ht="15">
      <c r="A27" s="266"/>
      <c r="B27" s="255"/>
      <c r="C27" s="492"/>
      <c r="D27" s="493"/>
      <c r="E27" s="492"/>
      <c r="F27" s="493"/>
      <c r="G27" s="50"/>
    </row>
    <row r="28" spans="1:7" ht="15">
      <c r="A28" s="266"/>
      <c r="B28" s="255"/>
      <c r="C28" s="492"/>
      <c r="D28" s="493"/>
      <c r="E28" s="492"/>
      <c r="F28" s="493"/>
      <c r="G28" s="50"/>
    </row>
    <row r="29" spans="1:7" ht="15">
      <c r="A29" s="267" t="s">
        <v>551</v>
      </c>
      <c r="B29" s="246"/>
      <c r="C29" s="492"/>
      <c r="D29" s="493"/>
      <c r="E29" s="492"/>
      <c r="F29" s="493"/>
      <c r="G29" s="58">
        <f>nhood!E16</f>
      </c>
    </row>
    <row r="30" spans="1:7" ht="15">
      <c r="A30" s="267" t="s">
        <v>549</v>
      </c>
      <c r="B30" s="246"/>
      <c r="C30" s="492"/>
      <c r="D30" s="493"/>
      <c r="E30" s="492"/>
      <c r="F30" s="493"/>
      <c r="G30" s="50"/>
    </row>
    <row r="31" spans="1:7" ht="15">
      <c r="A31" s="267" t="s">
        <v>552</v>
      </c>
      <c r="B31" s="246"/>
      <c r="C31" s="496">
        <f>IF(C32*0.1&lt;C30,"Exceed 10% Rule","")</f>
      </c>
      <c r="D31" s="497"/>
      <c r="E31" s="496">
        <f>IF(E32*0.1&lt;E30,"Exceed 10% Rule","")</f>
      </c>
      <c r="F31" s="497"/>
      <c r="G31" s="296">
        <f>IF(G32*0.1&lt;G30,"Exceed 10% Rule","")</f>
      </c>
    </row>
    <row r="32" spans="1:7" ht="15">
      <c r="A32" s="258" t="s">
        <v>298</v>
      </c>
      <c r="B32" s="246"/>
      <c r="C32" s="512">
        <f>SUM(C24:C30)</f>
        <v>0</v>
      </c>
      <c r="D32" s="513"/>
      <c r="E32" s="512">
        <f>SUM(E24:E30)</f>
        <v>0</v>
      </c>
      <c r="F32" s="513"/>
      <c r="G32" s="306">
        <f>SUM(G24:G30)</f>
        <v>0</v>
      </c>
    </row>
    <row r="33" spans="1:7" ht="15">
      <c r="A33" s="135" t="s">
        <v>409</v>
      </c>
      <c r="B33" s="246"/>
      <c r="C33" s="464">
        <f>C22-C32</f>
        <v>0</v>
      </c>
      <c r="D33" s="465"/>
      <c r="E33" s="464">
        <f>E22-E32</f>
        <v>0</v>
      </c>
      <c r="F33" s="465"/>
      <c r="G33" s="288" t="s">
        <v>274</v>
      </c>
    </row>
    <row r="34" spans="1:8" ht="15">
      <c r="A34" s="123" t="str">
        <f>CONCATENATE("",$G$1-2,"/",$G$1-1," Budget Authority Amount:")</f>
        <v>2010/2011 Budget Authority Amount:</v>
      </c>
      <c r="B34" s="269">
        <f>inputOth!B70</f>
        <v>0</v>
      </c>
      <c r="C34" s="269">
        <f>inputPrYr!D28</f>
        <v>0</v>
      </c>
      <c r="D34" s="478" t="s">
        <v>586</v>
      </c>
      <c r="E34" s="479"/>
      <c r="F34" s="480"/>
      <c r="G34" s="50"/>
      <c r="H34" s="270">
        <f>IF(G32/0.95-G32&lt;G34,"Exceeds 5%","")</f>
      </c>
    </row>
    <row r="35" spans="1:7" ht="15">
      <c r="A35" s="123"/>
      <c r="B35" s="271">
        <f>IF(C32&gt;B34,"See Tab A","")</f>
      </c>
      <c r="C35" s="271">
        <f>IF(E32&gt;C34,"See Tab C","")</f>
      </c>
      <c r="D35" s="22"/>
      <c r="E35" s="472" t="s">
        <v>589</v>
      </c>
      <c r="F35" s="473"/>
      <c r="G35" s="214">
        <f>G32+G34</f>
        <v>0</v>
      </c>
    </row>
    <row r="36" spans="1:7" ht="15">
      <c r="A36" s="123"/>
      <c r="B36" s="271">
        <f>IF(C33&lt;0,"See Tab B","")</f>
      </c>
      <c r="C36" s="271">
        <f>IF(E33&lt;0,"See Tab D","")</f>
      </c>
      <c r="D36" s="22"/>
      <c r="E36" s="472" t="s">
        <v>299</v>
      </c>
      <c r="F36" s="473"/>
      <c r="G36" s="214">
        <f>IF(G35-G22&gt;0,G35-G22,0)</f>
        <v>0</v>
      </c>
    </row>
    <row r="37" spans="1:7" ht="15">
      <c r="A37" s="157"/>
      <c r="B37" s="157"/>
      <c r="C37" s="487" t="s">
        <v>590</v>
      </c>
      <c r="D37" s="488"/>
      <c r="E37" s="488"/>
      <c r="F37" s="273">
        <f>inputOth!$E$46</f>
        <v>0</v>
      </c>
      <c r="G37" s="214">
        <f>ROUND(IF(F37&gt;0,(G36*F37),0),0)</f>
        <v>0</v>
      </c>
    </row>
    <row r="38" spans="1:7" ht="15">
      <c r="A38" s="22"/>
      <c r="B38" s="22"/>
      <c r="C38" s="489" t="str">
        <f>CONCATENATE("Amount of  ",$G$1-1," Ad Valorem Tax")</f>
        <v>Amount of  2011 Ad Valorem Tax</v>
      </c>
      <c r="D38" s="490"/>
      <c r="E38" s="490"/>
      <c r="F38" s="491"/>
      <c r="G38" s="301">
        <f>G36+G37</f>
        <v>0</v>
      </c>
    </row>
    <row r="39" spans="1:7" ht="15">
      <c r="A39" s="22"/>
      <c r="B39" s="22"/>
      <c r="C39" s="22"/>
      <c r="D39" s="22"/>
      <c r="E39" s="22"/>
      <c r="F39" s="22"/>
      <c r="G39" s="22"/>
    </row>
    <row r="40" spans="1:7" ht="15">
      <c r="A40" s="29" t="s">
        <v>285</v>
      </c>
      <c r="B40" s="29"/>
      <c r="C40" s="127"/>
      <c r="D40" s="127"/>
      <c r="E40" s="127"/>
      <c r="F40" s="127"/>
      <c r="G40" s="127"/>
    </row>
    <row r="41" spans="1:7" ht="15">
      <c r="A41" s="22"/>
      <c r="B41" s="22"/>
      <c r="C41" s="483" t="s">
        <v>305</v>
      </c>
      <c r="D41" s="484"/>
      <c r="E41" s="485" t="s">
        <v>432</v>
      </c>
      <c r="F41" s="486"/>
      <c r="G41" s="129" t="s">
        <v>433</v>
      </c>
    </row>
    <row r="42" spans="1:7" ht="15">
      <c r="A42" s="183">
        <f>inputPrYr!B29</f>
        <v>0</v>
      </c>
      <c r="B42" s="184"/>
      <c r="C42" s="481">
        <f>C6</f>
        <v>2010</v>
      </c>
      <c r="D42" s="482"/>
      <c r="E42" s="481">
        <f>E6</f>
        <v>2011</v>
      </c>
      <c r="F42" s="482"/>
      <c r="G42" s="244">
        <f>G6</f>
        <v>2012</v>
      </c>
    </row>
    <row r="43" spans="1:7" ht="15">
      <c r="A43" s="245" t="s">
        <v>408</v>
      </c>
      <c r="B43" s="246"/>
      <c r="C43" s="492"/>
      <c r="D43" s="493"/>
      <c r="E43" s="464">
        <f>C69</f>
        <v>0</v>
      </c>
      <c r="F43" s="465"/>
      <c r="G43" s="214">
        <f>E69</f>
        <v>0</v>
      </c>
    </row>
    <row r="44" spans="1:7" ht="15">
      <c r="A44" s="245" t="s">
        <v>410</v>
      </c>
      <c r="B44" s="246"/>
      <c r="C44" s="466"/>
      <c r="D44" s="467"/>
      <c r="E44" s="466"/>
      <c r="F44" s="467"/>
      <c r="G44" s="70"/>
    </row>
    <row r="45" spans="1:7" ht="15">
      <c r="A45" s="135" t="s">
        <v>286</v>
      </c>
      <c r="B45" s="246"/>
      <c r="C45" s="492"/>
      <c r="D45" s="493"/>
      <c r="E45" s="464">
        <f>inputPrYr!E29</f>
        <v>0</v>
      </c>
      <c r="F45" s="465"/>
      <c r="G45" s="288" t="s">
        <v>274</v>
      </c>
    </row>
    <row r="46" spans="1:7" ht="15">
      <c r="A46" s="135" t="s">
        <v>287</v>
      </c>
      <c r="B46" s="246"/>
      <c r="C46" s="492"/>
      <c r="D46" s="493"/>
      <c r="E46" s="492"/>
      <c r="F46" s="493"/>
      <c r="G46" s="50"/>
    </row>
    <row r="47" spans="1:7" ht="15">
      <c r="A47" s="135" t="s">
        <v>288</v>
      </c>
      <c r="B47" s="246"/>
      <c r="C47" s="492"/>
      <c r="D47" s="493"/>
      <c r="E47" s="492"/>
      <c r="F47" s="493"/>
      <c r="G47" s="214" t="str">
        <f>mvalloc!C18</f>
        <v>  </v>
      </c>
    </row>
    <row r="48" spans="1:7" ht="15">
      <c r="A48" s="135" t="s">
        <v>289</v>
      </c>
      <c r="B48" s="246"/>
      <c r="C48" s="492"/>
      <c r="D48" s="493"/>
      <c r="E48" s="492"/>
      <c r="F48" s="493"/>
      <c r="G48" s="214" t="str">
        <f>mvalloc!D18</f>
        <v> </v>
      </c>
    </row>
    <row r="49" spans="1:7" ht="15">
      <c r="A49" s="144" t="s">
        <v>385</v>
      </c>
      <c r="B49" s="246"/>
      <c r="C49" s="492"/>
      <c r="D49" s="493"/>
      <c r="E49" s="492"/>
      <c r="F49" s="493"/>
      <c r="G49" s="214" t="str">
        <f>mvalloc!E18</f>
        <v> </v>
      </c>
    </row>
    <row r="50" spans="1:7" ht="15">
      <c r="A50" s="144" t="s">
        <v>441</v>
      </c>
      <c r="B50" s="246"/>
      <c r="C50" s="492"/>
      <c r="D50" s="493"/>
      <c r="E50" s="492"/>
      <c r="F50" s="493"/>
      <c r="G50" s="214" t="str">
        <f>mvalloc!F18</f>
        <v> </v>
      </c>
    </row>
    <row r="51" spans="1:7" ht="15">
      <c r="A51" s="266"/>
      <c r="B51" s="255"/>
      <c r="C51" s="492"/>
      <c r="D51" s="493"/>
      <c r="E51" s="492"/>
      <c r="F51" s="493"/>
      <c r="G51" s="50"/>
    </row>
    <row r="52" spans="1:7" ht="15">
      <c r="A52" s="266"/>
      <c r="B52" s="255"/>
      <c r="C52" s="492"/>
      <c r="D52" s="493"/>
      <c r="E52" s="492"/>
      <c r="F52" s="493"/>
      <c r="G52" s="50"/>
    </row>
    <row r="53" spans="1:7" ht="15">
      <c r="A53" s="266"/>
      <c r="B53" s="255"/>
      <c r="C53" s="247"/>
      <c r="D53" s="248"/>
      <c r="E53" s="247"/>
      <c r="F53" s="248"/>
      <c r="G53" s="50"/>
    </row>
    <row r="54" spans="1:7" ht="15">
      <c r="A54" s="256" t="s">
        <v>290</v>
      </c>
      <c r="B54" s="255"/>
      <c r="C54" s="492"/>
      <c r="D54" s="493"/>
      <c r="E54" s="492"/>
      <c r="F54" s="493"/>
      <c r="G54" s="50"/>
    </row>
    <row r="55" spans="1:7" ht="15">
      <c r="A55" s="144" t="s">
        <v>549</v>
      </c>
      <c r="B55" s="246"/>
      <c r="C55" s="492"/>
      <c r="D55" s="493"/>
      <c r="E55" s="492"/>
      <c r="F55" s="493"/>
      <c r="G55" s="50"/>
    </row>
    <row r="56" spans="1:7" ht="15">
      <c r="A56" s="245" t="s">
        <v>550</v>
      </c>
      <c r="B56" s="246"/>
      <c r="C56" s="496">
        <f>IF(C57*0.1&lt;C55,"Exceed 10% Rule","")</f>
      </c>
      <c r="D56" s="497"/>
      <c r="E56" s="496">
        <f>IF(E57*0.1&lt;E55,"Exceed 10% Rule","")</f>
      </c>
      <c r="F56" s="497"/>
      <c r="G56" s="296">
        <f>IF(G57*0.1+G74&lt;G55,"Exceed 10% Rule","")</f>
      </c>
    </row>
    <row r="57" spans="1:7" ht="15">
      <c r="A57" s="258" t="s">
        <v>291</v>
      </c>
      <c r="B57" s="246"/>
      <c r="C57" s="512">
        <f>SUM(C45:C55)</f>
        <v>0</v>
      </c>
      <c r="D57" s="513"/>
      <c r="E57" s="512">
        <f>SUM(E45:E55)</f>
        <v>0</v>
      </c>
      <c r="F57" s="513"/>
      <c r="G57" s="306">
        <f>SUM(G45:G55)</f>
        <v>0</v>
      </c>
    </row>
    <row r="58" spans="1:7" ht="15">
      <c r="A58" s="258" t="s">
        <v>292</v>
      </c>
      <c r="B58" s="246"/>
      <c r="C58" s="512">
        <f>C43+C57</f>
        <v>0</v>
      </c>
      <c r="D58" s="513"/>
      <c r="E58" s="512">
        <f>E43+E57</f>
        <v>0</v>
      </c>
      <c r="F58" s="513"/>
      <c r="G58" s="306">
        <f>G43+G57</f>
        <v>0</v>
      </c>
    </row>
    <row r="59" spans="1:7" ht="15">
      <c r="A59" s="135" t="s">
        <v>294</v>
      </c>
      <c r="B59" s="246"/>
      <c r="C59" s="510"/>
      <c r="D59" s="511"/>
      <c r="E59" s="510"/>
      <c r="F59" s="511"/>
      <c r="G59" s="48"/>
    </row>
    <row r="60" spans="1:7" ht="15">
      <c r="A60" s="266"/>
      <c r="B60" s="255"/>
      <c r="C60" s="492"/>
      <c r="D60" s="493"/>
      <c r="E60" s="492"/>
      <c r="F60" s="493"/>
      <c r="G60" s="50"/>
    </row>
    <row r="61" spans="1:7" ht="15">
      <c r="A61" s="266"/>
      <c r="B61" s="255"/>
      <c r="C61" s="492"/>
      <c r="D61" s="493"/>
      <c r="E61" s="492"/>
      <c r="F61" s="493"/>
      <c r="G61" s="50"/>
    </row>
    <row r="62" spans="1:7" ht="15">
      <c r="A62" s="266"/>
      <c r="B62" s="255"/>
      <c r="C62" s="492"/>
      <c r="D62" s="493"/>
      <c r="E62" s="492"/>
      <c r="F62" s="493"/>
      <c r="G62" s="50"/>
    </row>
    <row r="63" spans="1:7" ht="15">
      <c r="A63" s="266"/>
      <c r="B63" s="255"/>
      <c r="C63" s="492"/>
      <c r="D63" s="493"/>
      <c r="E63" s="492"/>
      <c r="F63" s="493"/>
      <c r="G63" s="50"/>
    </row>
    <row r="64" spans="1:7" ht="15">
      <c r="A64" s="266"/>
      <c r="B64" s="255"/>
      <c r="C64" s="492"/>
      <c r="D64" s="493"/>
      <c r="E64" s="492"/>
      <c r="F64" s="493"/>
      <c r="G64" s="50"/>
    </row>
    <row r="65" spans="1:7" ht="15">
      <c r="A65" s="267" t="s">
        <v>551</v>
      </c>
      <c r="B65" s="246"/>
      <c r="C65" s="492"/>
      <c r="D65" s="493"/>
      <c r="E65" s="492"/>
      <c r="F65" s="493"/>
      <c r="G65" s="58">
        <f>nhood!E17</f>
      </c>
    </row>
    <row r="66" spans="1:7" ht="15">
      <c r="A66" s="267" t="s">
        <v>549</v>
      </c>
      <c r="B66" s="246"/>
      <c r="C66" s="492"/>
      <c r="D66" s="493"/>
      <c r="E66" s="492"/>
      <c r="F66" s="493"/>
      <c r="G66" s="50"/>
    </row>
    <row r="67" spans="1:7" ht="15">
      <c r="A67" s="267" t="s">
        <v>552</v>
      </c>
      <c r="B67" s="246"/>
      <c r="C67" s="496">
        <f>IF(C68*0.1&lt;C66,"Exceed 10% Rule","")</f>
      </c>
      <c r="D67" s="497"/>
      <c r="E67" s="496">
        <f>IF(E68*0.1&lt;E66,"Exceed 10% Rule","")</f>
      </c>
      <c r="F67" s="497"/>
      <c r="G67" s="296">
        <f>IF(G68*0.1&lt;G66,"Exceed 10% Rule","")</f>
      </c>
    </row>
    <row r="68" spans="1:7" ht="15">
      <c r="A68" s="258" t="s">
        <v>298</v>
      </c>
      <c r="B68" s="246"/>
      <c r="C68" s="512">
        <f>SUM(C60:C66)</f>
        <v>0</v>
      </c>
      <c r="D68" s="513"/>
      <c r="E68" s="512">
        <f>SUM(E60:E66)</f>
        <v>0</v>
      </c>
      <c r="F68" s="513"/>
      <c r="G68" s="306">
        <f>SUM(G60:G66)</f>
        <v>0</v>
      </c>
    </row>
    <row r="69" spans="1:7" ht="15">
      <c r="A69" s="135" t="s">
        <v>409</v>
      </c>
      <c r="B69" s="246"/>
      <c r="C69" s="464">
        <f>C58-C68</f>
        <v>0</v>
      </c>
      <c r="D69" s="465"/>
      <c r="E69" s="464">
        <f>E58-E68</f>
        <v>0</v>
      </c>
      <c r="F69" s="465"/>
      <c r="G69" s="288" t="s">
        <v>274</v>
      </c>
    </row>
    <row r="70" spans="1:8" ht="15">
      <c r="A70" s="123" t="str">
        <f>CONCATENATE("",$G$1-2,"/",$G$1-1," Budget Authority Amount:")</f>
        <v>2010/2011 Budget Authority Amount:</v>
      </c>
      <c r="B70" s="269">
        <f>inputOth!B71</f>
        <v>0</v>
      </c>
      <c r="C70" s="269">
        <f>inputPrYr!D29</f>
        <v>0</v>
      </c>
      <c r="D70" s="478" t="s">
        <v>586</v>
      </c>
      <c r="E70" s="479"/>
      <c r="F70" s="480"/>
      <c r="G70" s="50"/>
      <c r="H70" s="270">
        <f>IF(G68/0.95-G68&lt;G70,"Exceeds 5%","")</f>
      </c>
    </row>
    <row r="71" spans="1:7" ht="15">
      <c r="A71" s="123"/>
      <c r="B71" s="271">
        <f>IF(C68&gt;B70,"See Tab A","")</f>
      </c>
      <c r="C71" s="271">
        <f>IF(E68&gt;C70,"See Tab C","")</f>
      </c>
      <c r="D71" s="22"/>
      <c r="E71" s="472" t="s">
        <v>589</v>
      </c>
      <c r="F71" s="473"/>
      <c r="G71" s="214">
        <f>G68+G70</f>
        <v>0</v>
      </c>
    </row>
    <row r="72" spans="1:7" ht="15">
      <c r="A72" s="123"/>
      <c r="B72" s="271">
        <f>IF(C69&lt;0,"See Tab B","")</f>
      </c>
      <c r="C72" s="271">
        <f>IF(E69&lt;0,"See Tab D","")</f>
      </c>
      <c r="D72" s="22"/>
      <c r="E72" s="472" t="s">
        <v>299</v>
      </c>
      <c r="F72" s="473"/>
      <c r="G72" s="214">
        <f>IF(G71-G58&gt;0,G71-G58,0)</f>
        <v>0</v>
      </c>
    </row>
    <row r="73" spans="1:7" ht="15">
      <c r="A73" s="157"/>
      <c r="B73" s="157"/>
      <c r="C73" s="487" t="s">
        <v>590</v>
      </c>
      <c r="D73" s="488"/>
      <c r="E73" s="488"/>
      <c r="F73" s="273">
        <f>inputOth!$E$46</f>
        <v>0</v>
      </c>
      <c r="G73" s="214">
        <f>ROUND(IF(F73&gt;0,(G72*F73),0),0)</f>
        <v>0</v>
      </c>
    </row>
    <row r="74" spans="1:7" ht="15">
      <c r="A74" s="22"/>
      <c r="B74" s="22"/>
      <c r="C74" s="489" t="str">
        <f>CONCATENATE("Amount of  ",$G$1-1," Ad Valorem Tax")</f>
        <v>Amount of  2011 Ad Valorem Tax</v>
      </c>
      <c r="D74" s="490"/>
      <c r="E74" s="490"/>
      <c r="F74" s="491"/>
      <c r="G74" s="301">
        <f>G72+G73</f>
        <v>0</v>
      </c>
    </row>
    <row r="75" spans="1:7" ht="15">
      <c r="A75" s="22"/>
      <c r="B75" s="22"/>
      <c r="C75" s="22"/>
      <c r="D75" s="22"/>
      <c r="E75" s="22"/>
      <c r="F75" s="22"/>
      <c r="G75" s="22"/>
    </row>
    <row r="76" spans="1:7" ht="15">
      <c r="A76" s="157"/>
      <c r="B76" s="157" t="s">
        <v>301</v>
      </c>
      <c r="C76" s="279"/>
      <c r="D76" s="80"/>
      <c r="E76" s="22"/>
      <c r="F76" s="22"/>
      <c r="G76" s="22"/>
    </row>
  </sheetData>
  <sheetProtection sheet="1"/>
  <mergeCells count="122">
    <mergeCell ref="C74:F74"/>
    <mergeCell ref="D70:F70"/>
    <mergeCell ref="E71:F71"/>
    <mergeCell ref="E72:F72"/>
    <mergeCell ref="C73:E73"/>
    <mergeCell ref="E45:F45"/>
    <mergeCell ref="C69:D69"/>
    <mergeCell ref="E69:F69"/>
    <mergeCell ref="C68:D68"/>
    <mergeCell ref="E66:F66"/>
    <mergeCell ref="C41:D41"/>
    <mergeCell ref="C42:D42"/>
    <mergeCell ref="C43:D43"/>
    <mergeCell ref="C44:D44"/>
    <mergeCell ref="E67:F67"/>
    <mergeCell ref="E68:F68"/>
    <mergeCell ref="C59:D59"/>
    <mergeCell ref="C58:D58"/>
    <mergeCell ref="C67:D67"/>
    <mergeCell ref="E65:F65"/>
    <mergeCell ref="E44:F44"/>
    <mergeCell ref="E36:F36"/>
    <mergeCell ref="E46:F46"/>
    <mergeCell ref="E47:F47"/>
    <mergeCell ref="E48:F48"/>
    <mergeCell ref="E41:F41"/>
    <mergeCell ref="C22:D22"/>
    <mergeCell ref="E49:F49"/>
    <mergeCell ref="C37:E37"/>
    <mergeCell ref="C38:F38"/>
    <mergeCell ref="C33:D33"/>
    <mergeCell ref="E31:F31"/>
    <mergeCell ref="E32:F32"/>
    <mergeCell ref="E33:F33"/>
    <mergeCell ref="D34:F34"/>
    <mergeCell ref="E35:F35"/>
    <mergeCell ref="E21:F21"/>
    <mergeCell ref="E22:F22"/>
    <mergeCell ref="E23:F23"/>
    <mergeCell ref="C31:D31"/>
    <mergeCell ref="E63:F63"/>
    <mergeCell ref="E64:F64"/>
    <mergeCell ref="E60:F60"/>
    <mergeCell ref="C60:D60"/>
    <mergeCell ref="C51:D51"/>
    <mergeCell ref="C52:D52"/>
    <mergeCell ref="C63:D63"/>
    <mergeCell ref="C64:D64"/>
    <mergeCell ref="C65:D65"/>
    <mergeCell ref="C66:D66"/>
    <mergeCell ref="C61:D61"/>
    <mergeCell ref="C62:D62"/>
    <mergeCell ref="E61:F61"/>
    <mergeCell ref="E62:F62"/>
    <mergeCell ref="C57:D57"/>
    <mergeCell ref="E59:F59"/>
    <mergeCell ref="E50:F50"/>
    <mergeCell ref="E51:F51"/>
    <mergeCell ref="E52:F52"/>
    <mergeCell ref="E54:F54"/>
    <mergeCell ref="E56:F56"/>
    <mergeCell ref="C50:D50"/>
    <mergeCell ref="E27:F27"/>
    <mergeCell ref="E28:F28"/>
    <mergeCell ref="C54:D54"/>
    <mergeCell ref="C55:D55"/>
    <mergeCell ref="C56:D56"/>
    <mergeCell ref="C32:D32"/>
    <mergeCell ref="E30:F30"/>
    <mergeCell ref="C49:D49"/>
    <mergeCell ref="E42:F42"/>
    <mergeCell ref="E43:F43"/>
    <mergeCell ref="C20:D20"/>
    <mergeCell ref="E20:F20"/>
    <mergeCell ref="E55:F55"/>
    <mergeCell ref="E57:F57"/>
    <mergeCell ref="E58:F58"/>
    <mergeCell ref="C21:D21"/>
    <mergeCell ref="C27:D27"/>
    <mergeCell ref="C28:D28"/>
    <mergeCell ref="C29:D29"/>
    <mergeCell ref="C30:D30"/>
    <mergeCell ref="E15:F15"/>
    <mergeCell ref="E16:F16"/>
    <mergeCell ref="E29:F29"/>
    <mergeCell ref="E19:F19"/>
    <mergeCell ref="C24:D24"/>
    <mergeCell ref="C25:D25"/>
    <mergeCell ref="C26:D26"/>
    <mergeCell ref="E24:F24"/>
    <mergeCell ref="E25:F25"/>
    <mergeCell ref="E26:F26"/>
    <mergeCell ref="C12:D12"/>
    <mergeCell ref="E9:F9"/>
    <mergeCell ref="C23:D23"/>
    <mergeCell ref="C18:D18"/>
    <mergeCell ref="C19:D19"/>
    <mergeCell ref="E10:F10"/>
    <mergeCell ref="E11:F11"/>
    <mergeCell ref="E12:F12"/>
    <mergeCell ref="E13:F13"/>
    <mergeCell ref="E14:F14"/>
    <mergeCell ref="E5:F5"/>
    <mergeCell ref="E6:F6"/>
    <mergeCell ref="E7:F7"/>
    <mergeCell ref="E8:F8"/>
    <mergeCell ref="E18:F18"/>
    <mergeCell ref="C13:D13"/>
    <mergeCell ref="C14:D14"/>
    <mergeCell ref="C15:D15"/>
    <mergeCell ref="C16:D16"/>
    <mergeCell ref="C9:D9"/>
    <mergeCell ref="C45:D45"/>
    <mergeCell ref="C46:D46"/>
    <mergeCell ref="C47:D47"/>
    <mergeCell ref="C48:D48"/>
    <mergeCell ref="C5:D5"/>
    <mergeCell ref="C6:D6"/>
    <mergeCell ref="C7:D7"/>
    <mergeCell ref="C8:D8"/>
    <mergeCell ref="C10:D10"/>
    <mergeCell ref="C11:D11"/>
  </mergeCells>
  <conditionalFormatting sqref="G30">
    <cfRule type="cellIs" priority="3" dxfId="245" operator="greaterThan" stopIfTrue="1">
      <formula>$G$32*0.1</formula>
    </cfRule>
  </conditionalFormatting>
  <conditionalFormatting sqref="G34">
    <cfRule type="cellIs" priority="4" dxfId="245" operator="greaterThan" stopIfTrue="1">
      <formula>$G$32/0.95-$G$32</formula>
    </cfRule>
  </conditionalFormatting>
  <conditionalFormatting sqref="G66">
    <cfRule type="cellIs" priority="5" dxfId="245" operator="greaterThan" stopIfTrue="1">
      <formula>$G$68*0.1</formula>
    </cfRule>
  </conditionalFormatting>
  <conditionalFormatting sqref="G70">
    <cfRule type="cellIs" priority="6" dxfId="245" operator="greaterThan" stopIfTrue="1">
      <formula>$G$68/0.95-$G$68</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66:D66">
    <cfRule type="cellIs" priority="12" dxfId="1" operator="greaterThan" stopIfTrue="1">
      <formula>$C$68*0.1</formula>
    </cfRule>
  </conditionalFormatting>
  <conditionalFormatting sqref="E66:F66">
    <cfRule type="cellIs" priority="13" dxfId="1" operator="greaterThan" stopIfTrue="1">
      <formula>$E$68*0.1</formula>
    </cfRule>
  </conditionalFormatting>
  <conditionalFormatting sqref="C30:D30">
    <cfRule type="cellIs" priority="14" dxfId="1" operator="greaterThan" stopIfTrue="1">
      <formula>$C$32*0.1</formula>
    </cfRule>
  </conditionalFormatting>
  <conditionalFormatting sqref="E30:F30">
    <cfRule type="cellIs" priority="15" dxfId="1" operator="greaterThan" stopIfTrue="1">
      <formula>$E$32*0.1</formula>
    </cfRule>
  </conditionalFormatting>
  <conditionalFormatting sqref="E55:F55">
    <cfRule type="cellIs" priority="16" dxfId="1" operator="greaterThan" stopIfTrue="1">
      <formula>$E$57*0.1</formula>
    </cfRule>
  </conditionalFormatting>
  <conditionalFormatting sqref="C55:D55">
    <cfRule type="cellIs" priority="17" dxfId="1" operator="greaterThan" stopIfTrue="1">
      <formula>$C$57*0.1</formula>
    </cfRule>
  </conditionalFormatting>
  <conditionalFormatting sqref="E19:F19">
    <cfRule type="cellIs" priority="18" dxfId="1" operator="greaterThan" stopIfTrue="1">
      <formula>$E$21*0.1</formula>
    </cfRule>
  </conditionalFormatting>
  <conditionalFormatting sqref="C19:D19">
    <cfRule type="cellIs" priority="19" dxfId="1" operator="greaterThan" stopIfTrue="1">
      <formula>$C$21*0.1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1">
      <selection activeCell="H5" sqref="H5"/>
    </sheetView>
  </sheetViews>
  <sheetFormatPr defaultColWidth="8.8984375" defaultRowHeight="15"/>
  <cols>
    <col min="1" max="1" width="15.69921875" style="23" customWidth="1"/>
    <col min="2" max="2" width="20.69921875" style="23" customWidth="1"/>
    <col min="3" max="3" width="9.69921875" style="23" customWidth="1"/>
    <col min="4" max="4" width="15.09765625" style="23" customWidth="1"/>
    <col min="5" max="5" width="15.69921875" style="23" customWidth="1"/>
    <col min="6" max="16384" width="8.8984375" style="23" customWidth="1"/>
  </cols>
  <sheetData>
    <row r="1" spans="1:5" ht="15">
      <c r="A1" s="21" t="s">
        <v>484</v>
      </c>
      <c r="B1" s="22"/>
      <c r="C1" s="22"/>
      <c r="D1" s="22"/>
      <c r="E1" s="22"/>
    </row>
    <row r="2" spans="1:5" ht="15">
      <c r="A2" s="24" t="s">
        <v>524</v>
      </c>
      <c r="B2" s="22"/>
      <c r="C2" s="22"/>
      <c r="D2" s="25" t="s">
        <v>712</v>
      </c>
      <c r="E2" s="26"/>
    </row>
    <row r="3" spans="1:5" ht="15">
      <c r="A3" s="24" t="s">
        <v>525</v>
      </c>
      <c r="B3" s="22"/>
      <c r="C3" s="22"/>
      <c r="D3" s="27" t="s">
        <v>260</v>
      </c>
      <c r="E3" s="28"/>
    </row>
    <row r="4" spans="1:5" ht="15">
      <c r="A4" s="29"/>
      <c r="B4" s="22"/>
      <c r="C4" s="22"/>
      <c r="D4" s="30"/>
      <c r="E4" s="22"/>
    </row>
    <row r="5" spans="1:5" ht="15">
      <c r="A5" s="24" t="s">
        <v>443</v>
      </c>
      <c r="B5" s="22"/>
      <c r="C5" s="31">
        <v>2012</v>
      </c>
      <c r="D5" s="30"/>
      <c r="E5" s="22"/>
    </row>
    <row r="6" spans="1:5" ht="15">
      <c r="A6" s="22"/>
      <c r="B6" s="22"/>
      <c r="C6" s="22"/>
      <c r="D6" s="22"/>
      <c r="E6" s="22"/>
    </row>
    <row r="7" spans="1:5" ht="15">
      <c r="A7" s="32" t="s">
        <v>637</v>
      </c>
      <c r="B7" s="33"/>
      <c r="C7" s="33"/>
      <c r="D7" s="33"/>
      <c r="E7" s="33"/>
    </row>
    <row r="8" spans="1:5" ht="15">
      <c r="A8" s="32" t="s">
        <v>636</v>
      </c>
      <c r="B8" s="33"/>
      <c r="C8" s="33"/>
      <c r="D8" s="33"/>
      <c r="E8" s="33"/>
    </row>
    <row r="9" spans="1:5" ht="15">
      <c r="A9" s="34"/>
      <c r="B9" s="33"/>
      <c r="C9" s="33"/>
      <c r="D9" s="33"/>
      <c r="E9" s="33"/>
    </row>
    <row r="10" spans="1:5" ht="15">
      <c r="A10" s="426" t="s">
        <v>517</v>
      </c>
      <c r="B10" s="427"/>
      <c r="C10" s="427"/>
      <c r="D10" s="427"/>
      <c r="E10" s="427"/>
    </row>
    <row r="11" spans="1:5" ht="15">
      <c r="A11" s="35"/>
      <c r="B11" s="35"/>
      <c r="C11" s="35"/>
      <c r="D11" s="35"/>
      <c r="E11" s="35"/>
    </row>
    <row r="12" spans="1:5" ht="15">
      <c r="A12" s="36" t="s">
        <v>518</v>
      </c>
      <c r="B12" s="37"/>
      <c r="C12" s="22"/>
      <c r="D12" s="22"/>
      <c r="E12" s="22"/>
    </row>
    <row r="13" spans="1:5" ht="15">
      <c r="A13" s="38" t="str">
        <f>CONCATENATE("the ",C5-1," Budget, Certificate Page:")</f>
        <v>the 2011 Budget, Certificate Page:</v>
      </c>
      <c r="B13" s="39"/>
      <c r="C13" s="40"/>
      <c r="D13" s="22"/>
      <c r="E13" s="22"/>
    </row>
    <row r="14" spans="1:5" ht="15">
      <c r="A14" s="38" t="s">
        <v>639</v>
      </c>
      <c r="B14" s="39"/>
      <c r="C14" s="40"/>
      <c r="D14" s="22"/>
      <c r="E14" s="22"/>
    </row>
    <row r="15" spans="1:5" ht="15">
      <c r="A15" s="41"/>
      <c r="B15" s="22"/>
      <c r="C15" s="22"/>
      <c r="D15" s="42">
        <f>C5-1</f>
        <v>2011</v>
      </c>
      <c r="E15" s="43">
        <f>$C$5-2</f>
        <v>2010</v>
      </c>
    </row>
    <row r="16" spans="1:5" ht="15">
      <c r="A16" s="29" t="s">
        <v>620</v>
      </c>
      <c r="B16" s="22"/>
      <c r="C16" s="44" t="s">
        <v>621</v>
      </c>
      <c r="D16" s="45" t="s">
        <v>638</v>
      </c>
      <c r="E16" s="46" t="s">
        <v>617</v>
      </c>
    </row>
    <row r="17" spans="1:5" ht="15">
      <c r="A17" s="22"/>
      <c r="B17" s="47" t="s">
        <v>622</v>
      </c>
      <c r="C17" s="48" t="s">
        <v>411</v>
      </c>
      <c r="D17" s="49">
        <v>41500</v>
      </c>
      <c r="E17" s="50">
        <v>13414</v>
      </c>
    </row>
    <row r="18" spans="1:5" ht="15">
      <c r="A18" s="22"/>
      <c r="B18" s="47" t="s">
        <v>585</v>
      </c>
      <c r="C18" s="48" t="s">
        <v>444</v>
      </c>
      <c r="D18" s="49"/>
      <c r="E18" s="50"/>
    </row>
    <row r="19" spans="1:5" ht="15">
      <c r="A19" s="29" t="s">
        <v>516</v>
      </c>
      <c r="B19" s="22"/>
      <c r="C19" s="22"/>
      <c r="D19" s="51"/>
      <c r="E19" s="52"/>
    </row>
    <row r="20" spans="1:5" ht="15">
      <c r="A20" s="22"/>
      <c r="B20" s="53" t="s">
        <v>725</v>
      </c>
      <c r="C20" s="53"/>
      <c r="D20" s="50"/>
      <c r="E20" s="50"/>
    </row>
    <row r="21" spans="1:5" ht="15">
      <c r="A21" s="22"/>
      <c r="B21" s="54" t="s">
        <v>726</v>
      </c>
      <c r="C21" s="54"/>
      <c r="D21" s="50"/>
      <c r="E21" s="50"/>
    </row>
    <row r="22" spans="1:5" ht="15">
      <c r="A22" s="22"/>
      <c r="B22" s="54"/>
      <c r="C22" s="54"/>
      <c r="D22" s="50"/>
      <c r="E22" s="50"/>
    </row>
    <row r="23" spans="1:5" ht="15">
      <c r="A23" s="22"/>
      <c r="B23" s="54"/>
      <c r="C23" s="54"/>
      <c r="D23" s="50"/>
      <c r="E23" s="50"/>
    </row>
    <row r="24" spans="1:5" ht="15">
      <c r="A24" s="22"/>
      <c r="B24" s="54"/>
      <c r="C24" s="54"/>
      <c r="D24" s="50"/>
      <c r="E24" s="50"/>
    </row>
    <row r="25" spans="1:5" ht="15">
      <c r="A25" s="22"/>
      <c r="B25" s="54"/>
      <c r="C25" s="54"/>
      <c r="D25" s="50"/>
      <c r="E25" s="50"/>
    </row>
    <row r="26" spans="1:5" ht="15">
      <c r="A26" s="22"/>
      <c r="B26" s="54"/>
      <c r="C26" s="54"/>
      <c r="D26" s="50"/>
      <c r="E26" s="50"/>
    </row>
    <row r="27" spans="1:5" ht="15">
      <c r="A27" s="22"/>
      <c r="B27" s="54"/>
      <c r="C27" s="54"/>
      <c r="D27" s="50"/>
      <c r="E27" s="50"/>
    </row>
    <row r="28" spans="1:5" ht="15">
      <c r="A28" s="22"/>
      <c r="B28" s="54"/>
      <c r="C28" s="54"/>
      <c r="D28" s="50"/>
      <c r="E28" s="50"/>
    </row>
    <row r="29" spans="1:5" ht="15">
      <c r="A29" s="22"/>
      <c r="B29" s="54"/>
      <c r="C29" s="54"/>
      <c r="D29" s="50"/>
      <c r="E29" s="50"/>
    </row>
    <row r="30" spans="1:5" ht="15">
      <c r="A30" s="55" t="str">
        <f>CONCATENATE("Total Tax Levy Funds for ",C5-1," Budgeted Year")</f>
        <v>Total Tax Levy Funds for 2011 Budgeted Year</v>
      </c>
      <c r="B30" s="56"/>
      <c r="C30" s="56"/>
      <c r="D30" s="57"/>
      <c r="E30" s="58">
        <f>SUM(E17:E29)</f>
        <v>13414</v>
      </c>
    </row>
    <row r="31" spans="1:5" ht="15">
      <c r="A31" s="29"/>
      <c r="B31" s="22"/>
      <c r="C31" s="22"/>
      <c r="D31" s="59"/>
      <c r="E31" s="52"/>
    </row>
    <row r="32" spans="1:5" ht="15">
      <c r="A32" s="29" t="s">
        <v>445</v>
      </c>
      <c r="B32" s="22"/>
      <c r="C32" s="22"/>
      <c r="D32" s="22"/>
      <c r="E32" s="22"/>
    </row>
    <row r="33" spans="1:5" ht="15">
      <c r="A33" s="22"/>
      <c r="B33" s="60" t="s">
        <v>387</v>
      </c>
      <c r="C33" s="61"/>
      <c r="D33" s="49">
        <v>7281</v>
      </c>
      <c r="E33" s="61"/>
    </row>
    <row r="34" spans="1:5" ht="15">
      <c r="A34" s="22"/>
      <c r="B34" s="62" t="s">
        <v>706</v>
      </c>
      <c r="C34" s="61"/>
      <c r="D34" s="49">
        <v>26200</v>
      </c>
      <c r="E34" s="61"/>
    </row>
    <row r="35" spans="1:5" ht="15">
      <c r="A35" s="22"/>
      <c r="B35" s="62" t="s">
        <v>707</v>
      </c>
      <c r="C35" s="61"/>
      <c r="D35" s="49">
        <v>12700</v>
      </c>
      <c r="E35" s="61"/>
    </row>
    <row r="36" spans="1:5" ht="15">
      <c r="A36" s="22"/>
      <c r="B36" s="62" t="s">
        <v>708</v>
      </c>
      <c r="C36" s="61"/>
      <c r="D36" s="49">
        <v>12175</v>
      </c>
      <c r="E36" s="61"/>
    </row>
    <row r="37" spans="1:5" ht="15">
      <c r="A37" s="22"/>
      <c r="B37" s="62" t="s">
        <v>709</v>
      </c>
      <c r="C37" s="61"/>
      <c r="D37" s="49">
        <v>8300</v>
      </c>
      <c r="E37" s="61"/>
    </row>
    <row r="38" spans="1:5" ht="15">
      <c r="A38" s="22"/>
      <c r="B38" s="62" t="s">
        <v>710</v>
      </c>
      <c r="C38" s="61"/>
      <c r="D38" s="49">
        <v>4050</v>
      </c>
      <c r="E38" s="61"/>
    </row>
    <row r="39" spans="1:5" ht="15">
      <c r="A39" s="63"/>
      <c r="B39" s="53" t="s">
        <v>711</v>
      </c>
      <c r="C39" s="64"/>
      <c r="D39" s="49"/>
      <c r="E39" s="65"/>
    </row>
    <row r="40" spans="1:5" ht="15">
      <c r="A40" s="63"/>
      <c r="B40" s="53"/>
      <c r="C40" s="61"/>
      <c r="D40" s="49"/>
      <c r="E40" s="65"/>
    </row>
    <row r="41" spans="1:5" ht="15">
      <c r="A41" s="63" t="s">
        <v>491</v>
      </c>
      <c r="B41" s="48"/>
      <c r="C41" s="61"/>
      <c r="D41" s="61"/>
      <c r="E41" s="65"/>
    </row>
    <row r="42" spans="1:5" ht="15">
      <c r="A42" s="66">
        <v>1</v>
      </c>
      <c r="B42" s="53"/>
      <c r="C42" s="61"/>
      <c r="D42" s="49"/>
      <c r="E42" s="65"/>
    </row>
    <row r="43" spans="1:5" ht="15">
      <c r="A43" s="66">
        <v>2</v>
      </c>
      <c r="B43" s="53"/>
      <c r="C43" s="61"/>
      <c r="D43" s="49"/>
      <c r="E43" s="65"/>
    </row>
    <row r="44" spans="1:5" ht="15">
      <c r="A44" s="66">
        <v>3</v>
      </c>
      <c r="B44" s="53"/>
      <c r="C44" s="61"/>
      <c r="D44" s="49"/>
      <c r="E44" s="65"/>
    </row>
    <row r="45" spans="1:5" ht="15">
      <c r="A45" s="66">
        <v>4</v>
      </c>
      <c r="B45" s="53"/>
      <c r="C45" s="61"/>
      <c r="D45" s="49"/>
      <c r="E45" s="65"/>
    </row>
    <row r="46" spans="1:5" ht="15">
      <c r="A46" s="55" t="str">
        <f>CONCATENATE("Total Expenditures for ",C5-1," Budgeted Year")</f>
        <v>Total Expenditures for 2011 Budgeted Year</v>
      </c>
      <c r="B46" s="56"/>
      <c r="C46" s="56"/>
      <c r="D46" s="58">
        <f>SUM(D17:D18,D20:D29,D33:D40,D42:D45)</f>
        <v>112206</v>
      </c>
      <c r="E46" s="22"/>
    </row>
    <row r="47" spans="1:5" ht="15">
      <c r="A47" s="63" t="s">
        <v>492</v>
      </c>
      <c r="B47" s="61"/>
      <c r="C47" s="61"/>
      <c r="D47" s="61"/>
      <c r="E47" s="22"/>
    </row>
    <row r="48" spans="1:5" ht="15">
      <c r="A48" s="66">
        <v>1</v>
      </c>
      <c r="B48" s="53"/>
      <c r="C48" s="61"/>
      <c r="D48" s="61"/>
      <c r="E48" s="22"/>
    </row>
    <row r="49" spans="1:5" ht="15">
      <c r="A49" s="66">
        <v>2</v>
      </c>
      <c r="B49" s="53"/>
      <c r="C49" s="61"/>
      <c r="D49" s="61"/>
      <c r="E49" s="22"/>
    </row>
    <row r="50" spans="1:5" ht="15">
      <c r="A50" s="66">
        <v>3</v>
      </c>
      <c r="B50" s="53"/>
      <c r="C50" s="61"/>
      <c r="D50" s="61"/>
      <c r="E50" s="22"/>
    </row>
    <row r="51" spans="1:5" ht="15">
      <c r="A51" s="66">
        <v>4</v>
      </c>
      <c r="B51" s="53"/>
      <c r="C51" s="61"/>
      <c r="D51" s="61"/>
      <c r="E51" s="22"/>
    </row>
    <row r="52" spans="1:5" ht="15">
      <c r="A52" s="66">
        <v>5</v>
      </c>
      <c r="B52" s="53"/>
      <c r="C52" s="61"/>
      <c r="D52" s="61"/>
      <c r="E52" s="22"/>
    </row>
    <row r="53" spans="1:5" ht="15">
      <c r="A53" s="63" t="s">
        <v>462</v>
      </c>
      <c r="B53" s="48"/>
      <c r="C53" s="61"/>
      <c r="D53" s="61"/>
      <c r="E53" s="22"/>
    </row>
    <row r="54" spans="1:5" ht="15">
      <c r="A54" s="66">
        <v>1</v>
      </c>
      <c r="B54" s="53"/>
      <c r="C54" s="61"/>
      <c r="D54" s="61"/>
      <c r="E54" s="22"/>
    </row>
    <row r="55" spans="1:5" ht="15">
      <c r="A55" s="66">
        <v>2</v>
      </c>
      <c r="B55" s="53"/>
      <c r="C55" s="61"/>
      <c r="D55" s="61"/>
      <c r="E55" s="22"/>
    </row>
    <row r="56" spans="1:5" ht="15">
      <c r="A56" s="66">
        <v>3</v>
      </c>
      <c r="B56" s="53"/>
      <c r="C56" s="61"/>
      <c r="D56" s="61"/>
      <c r="E56" s="22"/>
    </row>
    <row r="57" spans="1:5" ht="15">
      <c r="A57" s="66">
        <v>4</v>
      </c>
      <c r="B57" s="53"/>
      <c r="C57" s="61"/>
      <c r="D57" s="61"/>
      <c r="E57" s="22"/>
    </row>
    <row r="58" spans="1:5" ht="18" customHeight="1">
      <c r="A58" s="66">
        <v>5</v>
      </c>
      <c r="B58" s="53"/>
      <c r="C58" s="22"/>
      <c r="D58" s="22"/>
      <c r="E58" s="22"/>
    </row>
    <row r="59" spans="1:5" ht="15">
      <c r="A59" s="22"/>
      <c r="B59" s="22"/>
      <c r="C59" s="22"/>
      <c r="D59" s="67" t="str">
        <f>CONCATENATE("",C5-3," Tax Rate")</f>
        <v>2009 Tax Rate</v>
      </c>
      <c r="E59" s="22"/>
    </row>
    <row r="60" spans="1:5" ht="15">
      <c r="A60" s="68" t="str">
        <f>CONCATENATE("From the ",C5-1," Budget, Budget Summary Page")</f>
        <v>From the 2011 Budget, Budget Summary Page</v>
      </c>
      <c r="B60" s="37"/>
      <c r="C60" s="22"/>
      <c r="D60" s="69" t="str">
        <f>CONCATENATE("(",C5-2," Column)")</f>
        <v>(2010 Column)</v>
      </c>
      <c r="E60" s="22"/>
    </row>
    <row r="61" spans="1:5" ht="15">
      <c r="A61" s="22"/>
      <c r="B61" s="70" t="str">
        <f>B17</f>
        <v>General</v>
      </c>
      <c r="C61" s="71"/>
      <c r="D61" s="72">
        <v>30.485</v>
      </c>
      <c r="E61" s="22"/>
    </row>
    <row r="62" spans="1:5" ht="15">
      <c r="A62" s="22"/>
      <c r="B62" s="70" t="str">
        <f>B18</f>
        <v>Debt Service</v>
      </c>
      <c r="C62" s="71"/>
      <c r="D62" s="72"/>
      <c r="E62" s="22"/>
    </row>
    <row r="63" spans="1:5" ht="15">
      <c r="A63" s="22"/>
      <c r="B63" s="70" t="str">
        <f>B20</f>
        <v>Library</v>
      </c>
      <c r="C63" s="48"/>
      <c r="D63" s="72"/>
      <c r="E63" s="22"/>
    </row>
    <row r="64" spans="1:5" ht="15">
      <c r="A64" s="22"/>
      <c r="B64" s="70" t="str">
        <f>B21</f>
        <v>Employee Benefits</v>
      </c>
      <c r="C64" s="48"/>
      <c r="D64" s="72"/>
      <c r="E64" s="22"/>
    </row>
    <row r="65" spans="1:5" ht="15">
      <c r="A65" s="22"/>
      <c r="B65" s="70">
        <f>B22</f>
        <v>0</v>
      </c>
      <c r="C65" s="48"/>
      <c r="D65" s="72"/>
      <c r="E65" s="22"/>
    </row>
    <row r="66" spans="1:5" ht="15">
      <c r="A66" s="22"/>
      <c r="B66" s="70">
        <f>B23</f>
        <v>0</v>
      </c>
      <c r="C66" s="48"/>
      <c r="D66" s="72"/>
      <c r="E66" s="22"/>
    </row>
    <row r="67" spans="1:5" ht="15">
      <c r="A67" s="22"/>
      <c r="B67" s="70">
        <f aca="true" t="shared" si="0" ref="B67:B72">B24</f>
        <v>0</v>
      </c>
      <c r="C67" s="48"/>
      <c r="D67" s="72"/>
      <c r="E67" s="22"/>
    </row>
    <row r="68" spans="1:5" ht="15">
      <c r="A68" s="22"/>
      <c r="B68" s="70">
        <f t="shared" si="0"/>
        <v>0</v>
      </c>
      <c r="C68" s="48"/>
      <c r="D68" s="72"/>
      <c r="E68" s="22"/>
    </row>
    <row r="69" spans="1:5" ht="15">
      <c r="A69" s="22"/>
      <c r="B69" s="70">
        <f t="shared" si="0"/>
        <v>0</v>
      </c>
      <c r="C69" s="48"/>
      <c r="D69" s="72"/>
      <c r="E69" s="22"/>
    </row>
    <row r="70" spans="1:5" ht="15">
      <c r="A70" s="22"/>
      <c r="B70" s="70">
        <f t="shared" si="0"/>
        <v>0</v>
      </c>
      <c r="C70" s="48"/>
      <c r="D70" s="72"/>
      <c r="E70" s="22"/>
    </row>
    <row r="71" spans="1:5" ht="15">
      <c r="A71" s="22"/>
      <c r="B71" s="70">
        <f t="shared" si="0"/>
        <v>0</v>
      </c>
      <c r="C71" s="48"/>
      <c r="D71" s="72"/>
      <c r="E71" s="22"/>
    </row>
    <row r="72" spans="1:5" ht="15">
      <c r="A72" s="22"/>
      <c r="B72" s="70">
        <f t="shared" si="0"/>
        <v>0</v>
      </c>
      <c r="C72" s="48"/>
      <c r="D72" s="72"/>
      <c r="E72" s="22"/>
    </row>
    <row r="73" spans="1:5" ht="15">
      <c r="A73" s="29" t="s">
        <v>623</v>
      </c>
      <c r="B73" s="22"/>
      <c r="C73" s="22"/>
      <c r="D73" s="73">
        <f>SUM(D61:D72)</f>
        <v>30.485</v>
      </c>
      <c r="E73" s="22"/>
    </row>
    <row r="74" spans="1:5" ht="15">
      <c r="A74" s="22"/>
      <c r="B74" s="22"/>
      <c r="C74" s="22"/>
      <c r="D74" s="22"/>
      <c r="E74" s="22"/>
    </row>
    <row r="75" spans="1:5" ht="15">
      <c r="A75" s="74" t="str">
        <f>CONCATENATE("Total Tax Levied (",C5-2," budget column)")</f>
        <v>Total Tax Levied (2010 budget column)</v>
      </c>
      <c r="B75" s="75"/>
      <c r="C75" s="56"/>
      <c r="D75" s="76"/>
      <c r="E75" s="50">
        <v>13400</v>
      </c>
    </row>
    <row r="76" spans="1:5" ht="15">
      <c r="A76" s="74" t="str">
        <f>CONCATENATE("Assessed Valuation  (",C5-2," budget column)")</f>
        <v>Assessed Valuation  (2010 budget column)</v>
      </c>
      <c r="B76" s="77"/>
      <c r="C76" s="78"/>
      <c r="D76" s="79"/>
      <c r="E76" s="50">
        <v>439558</v>
      </c>
    </row>
    <row r="77" spans="1:5" ht="15">
      <c r="A77" s="22"/>
      <c r="B77" s="22"/>
      <c r="C77" s="22"/>
      <c r="D77" s="40"/>
      <c r="E77" s="51"/>
    </row>
    <row r="78" spans="1:5" ht="15">
      <c r="A78" s="37" t="s">
        <v>535</v>
      </c>
      <c r="B78" s="37"/>
      <c r="C78" s="80"/>
      <c r="D78" s="81">
        <f>C5-3</f>
        <v>2009</v>
      </c>
      <c r="E78" s="82">
        <f>C5-2</f>
        <v>2010</v>
      </c>
    </row>
    <row r="79" spans="1:5" ht="15">
      <c r="A79" s="75" t="s">
        <v>446</v>
      </c>
      <c r="B79" s="75"/>
      <c r="C79" s="83"/>
      <c r="D79" s="49"/>
      <c r="E79" s="49"/>
    </row>
    <row r="80" spans="1:5" ht="15">
      <c r="A80" s="77" t="s">
        <v>447</v>
      </c>
      <c r="B80" s="77"/>
      <c r="C80" s="84"/>
      <c r="D80" s="49"/>
      <c r="E80" s="49"/>
    </row>
    <row r="81" spans="1:5" ht="15">
      <c r="A81" s="77" t="s">
        <v>448</v>
      </c>
      <c r="B81" s="77"/>
      <c r="C81" s="84"/>
      <c r="D81" s="49"/>
      <c r="E81" s="49"/>
    </row>
    <row r="82" spans="1:5" ht="15">
      <c r="A82" s="77" t="s">
        <v>449</v>
      </c>
      <c r="B82" s="77"/>
      <c r="C82" s="84"/>
      <c r="D82" s="49"/>
      <c r="E82" s="49"/>
    </row>
    <row r="89" spans="1:5" s="85" customFormat="1" ht="15">
      <c r="A89" s="23"/>
      <c r="B89" s="23"/>
      <c r="C89" s="23"/>
      <c r="D89" s="23"/>
      <c r="E89" s="23"/>
    </row>
  </sheetData>
  <sheetProtection sheet="1" objects="1" scenarios="1"/>
  <mergeCells count="1">
    <mergeCell ref="A10:E10"/>
  </mergeCells>
  <printOptions/>
  <pageMargins left="0.5" right="0.5" top="1" bottom="0.5" header="0.5" footer="0.25"/>
  <pageSetup blackAndWhite="1" fitToHeight="2" fitToWidth="1" horizontalDpi="120" verticalDpi="120" orientation="portrait" scale="74" r:id="rId1"/>
  <headerFooter alignWithMargins="0">
    <oddFooter>&amp;Lrevised 10/2/09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F1" sqref="F1"/>
    </sheetView>
  </sheetViews>
  <sheetFormatPr defaultColWidth="8.8984375" defaultRowHeight="15"/>
  <cols>
    <col min="1" max="1" width="28.69921875" style="23" customWidth="1"/>
    <col min="2" max="2" width="9.59765625" style="23" customWidth="1"/>
    <col min="3" max="4" width="15.69921875" style="23" customWidth="1"/>
    <col min="5" max="5" width="16.19921875" style="23" customWidth="1"/>
    <col min="6" max="16384" width="8.8984375" style="23" customWidth="1"/>
  </cols>
  <sheetData>
    <row r="1" spans="1:5" ht="15">
      <c r="A1" s="162" t="str">
        <f>(inputPrYr!D2)</f>
        <v>CITY OF BURR OAK</v>
      </c>
      <c r="B1" s="162"/>
      <c r="C1" s="22"/>
      <c r="D1" s="22"/>
      <c r="E1" s="233">
        <f>inputPrYr!C5</f>
        <v>2012</v>
      </c>
    </row>
    <row r="2" spans="1:5" ht="15">
      <c r="A2" s="22"/>
      <c r="B2" s="22"/>
      <c r="C2" s="22"/>
      <c r="D2" s="22"/>
      <c r="E2" s="157"/>
    </row>
    <row r="3" spans="1:5" ht="15">
      <c r="A3" s="41" t="s">
        <v>354</v>
      </c>
      <c r="B3" s="41"/>
      <c r="C3" s="304"/>
      <c r="D3" s="304"/>
      <c r="E3" s="304"/>
    </row>
    <row r="4" spans="1:5" ht="15">
      <c r="A4" s="29" t="s">
        <v>285</v>
      </c>
      <c r="B4" s="29"/>
      <c r="C4" s="276" t="s">
        <v>305</v>
      </c>
      <c r="D4" s="129" t="s">
        <v>432</v>
      </c>
      <c r="E4" s="129" t="s">
        <v>433</v>
      </c>
    </row>
    <row r="5" spans="1:5" ht="15">
      <c r="A5" s="184" t="str">
        <f>(inputPrYr!B33)</f>
        <v>Special Highway</v>
      </c>
      <c r="B5" s="184"/>
      <c r="C5" s="244">
        <f>E1-2</f>
        <v>2010</v>
      </c>
      <c r="D5" s="244">
        <f>E1-1</f>
        <v>2011</v>
      </c>
      <c r="E5" s="244">
        <f>E1</f>
        <v>2012</v>
      </c>
    </row>
    <row r="6" spans="1:5" ht="15">
      <c r="A6" s="245" t="s">
        <v>408</v>
      </c>
      <c r="B6" s="246"/>
      <c r="C6" s="248">
        <v>6627</v>
      </c>
      <c r="D6" s="214">
        <f>C29</f>
        <v>2894</v>
      </c>
      <c r="E6" s="214">
        <f>D29</f>
        <v>1773</v>
      </c>
    </row>
    <row r="7" spans="1:5" ht="15">
      <c r="A7" s="249" t="s">
        <v>410</v>
      </c>
      <c r="B7" s="246"/>
      <c r="C7" s="250"/>
      <c r="D7" s="70"/>
      <c r="E7" s="70"/>
    </row>
    <row r="8" spans="1:5" ht="15">
      <c r="A8" s="267" t="s">
        <v>388</v>
      </c>
      <c r="B8" s="246"/>
      <c r="C8" s="248">
        <v>5612</v>
      </c>
      <c r="D8" s="214">
        <f>inputOth!E52</f>
        <v>5600</v>
      </c>
      <c r="E8" s="214">
        <f>inputOth!E50</f>
        <v>5600</v>
      </c>
    </row>
    <row r="9" spans="1:5" ht="15">
      <c r="A9" s="267" t="s">
        <v>539</v>
      </c>
      <c r="B9" s="246"/>
      <c r="C9" s="248"/>
      <c r="D9" s="214">
        <f>inputOth!E53</f>
        <v>0</v>
      </c>
      <c r="E9" s="214">
        <f>inputOth!E51</f>
        <v>0</v>
      </c>
    </row>
    <row r="10" spans="1:5" ht="15">
      <c r="A10" s="266" t="s">
        <v>732</v>
      </c>
      <c r="B10" s="255"/>
      <c r="C10" s="248">
        <v>416</v>
      </c>
      <c r="D10" s="50"/>
      <c r="E10" s="50"/>
    </row>
    <row r="11" spans="1:5" ht="15">
      <c r="A11" s="266" t="s">
        <v>733</v>
      </c>
      <c r="B11" s="255"/>
      <c r="C11" s="248">
        <v>3505</v>
      </c>
      <c r="D11" s="50"/>
      <c r="E11" s="50"/>
    </row>
    <row r="12" spans="1:5" ht="15">
      <c r="A12" s="256"/>
      <c r="B12" s="255"/>
      <c r="C12" s="248"/>
      <c r="D12" s="50"/>
      <c r="E12" s="50"/>
    </row>
    <row r="13" spans="1:5" ht="15">
      <c r="A13" s="144" t="s">
        <v>549</v>
      </c>
      <c r="B13" s="246"/>
      <c r="C13" s="248"/>
      <c r="D13" s="50">
        <v>560</v>
      </c>
      <c r="E13" s="50">
        <v>560</v>
      </c>
    </row>
    <row r="14" spans="1:5" ht="15">
      <c r="A14" s="245" t="s">
        <v>550</v>
      </c>
      <c r="B14" s="246"/>
      <c r="C14" s="296">
        <f>IF(C15*0.1&lt;C13,"Exceed 10% Rule","")</f>
      </c>
      <c r="D14" s="296">
        <f>IF(D15*0.1&lt;D13,"Exceed 10% Rule","")</f>
      </c>
      <c r="E14" s="296">
        <f>IF(E15*0.1&lt;E13,"Exceed 10% Rule","")</f>
      </c>
    </row>
    <row r="15" spans="1:5" ht="15">
      <c r="A15" s="258" t="s">
        <v>291</v>
      </c>
      <c r="B15" s="246"/>
      <c r="C15" s="305">
        <f>SUM(C8:C13)</f>
        <v>9533</v>
      </c>
      <c r="D15" s="306">
        <f>SUM(D8:D13)</f>
        <v>6160</v>
      </c>
      <c r="E15" s="306">
        <f>SUM(E8:E13)</f>
        <v>6160</v>
      </c>
    </row>
    <row r="16" spans="1:5" ht="15">
      <c r="A16" s="258" t="s">
        <v>292</v>
      </c>
      <c r="B16" s="246"/>
      <c r="C16" s="305">
        <f>C6+C15</f>
        <v>16160</v>
      </c>
      <c r="D16" s="306">
        <f>D6+D15</f>
        <v>9054</v>
      </c>
      <c r="E16" s="306">
        <f>E6+E15</f>
        <v>7933</v>
      </c>
    </row>
    <row r="17" spans="1:5" ht="15">
      <c r="A17" s="135" t="s">
        <v>294</v>
      </c>
      <c r="B17" s="246"/>
      <c r="C17" s="102"/>
      <c r="D17" s="214"/>
      <c r="E17" s="214"/>
    </row>
    <row r="18" spans="1:5" ht="15">
      <c r="A18" s="266" t="s">
        <v>727</v>
      </c>
      <c r="B18" s="255"/>
      <c r="C18" s="248">
        <v>13266</v>
      </c>
      <c r="D18" s="50">
        <v>7281</v>
      </c>
      <c r="E18" s="50">
        <v>7933</v>
      </c>
    </row>
    <row r="19" spans="1:5" ht="15">
      <c r="A19" s="266" t="s">
        <v>728</v>
      </c>
      <c r="B19" s="255"/>
      <c r="C19" s="248"/>
      <c r="D19" s="50"/>
      <c r="E19" s="50"/>
    </row>
    <row r="20" spans="1:5" ht="15">
      <c r="A20" s="266"/>
      <c r="B20" s="255"/>
      <c r="C20" s="248"/>
      <c r="D20" s="50"/>
      <c r="E20" s="50"/>
    </row>
    <row r="21" spans="1:5" ht="15">
      <c r="A21" s="266"/>
      <c r="B21" s="255"/>
      <c r="C21" s="248"/>
      <c r="D21" s="50"/>
      <c r="E21" s="50"/>
    </row>
    <row r="22" spans="1:5" ht="15">
      <c r="A22" s="266"/>
      <c r="B22" s="255"/>
      <c r="C22" s="248"/>
      <c r="D22" s="50"/>
      <c r="E22" s="50"/>
    </row>
    <row r="23" spans="1:5" ht="15">
      <c r="A23" s="266"/>
      <c r="B23" s="255"/>
      <c r="C23" s="248"/>
      <c r="D23" s="50"/>
      <c r="E23" s="50"/>
    </row>
    <row r="24" spans="1:5" ht="15">
      <c r="A24" s="266"/>
      <c r="B24" s="255"/>
      <c r="C24" s="248"/>
      <c r="D24" s="50"/>
      <c r="E24" s="50"/>
    </row>
    <row r="25" spans="1:5" ht="15">
      <c r="A25" s="266"/>
      <c r="B25" s="255"/>
      <c r="C25" s="248"/>
      <c r="D25" s="50"/>
      <c r="E25" s="50"/>
    </row>
    <row r="26" spans="1:5" ht="15">
      <c r="A26" s="267" t="s">
        <v>549</v>
      </c>
      <c r="B26" s="246"/>
      <c r="C26" s="248"/>
      <c r="D26" s="50"/>
      <c r="E26" s="50"/>
    </row>
    <row r="27" spans="1:5" ht="15">
      <c r="A27" s="267" t="s">
        <v>552</v>
      </c>
      <c r="B27" s="246"/>
      <c r="C27" s="296">
        <f>IF(C28*0.1&lt;C26,"Exceed 10% Rule","")</f>
      </c>
      <c r="D27" s="296">
        <f>IF(D28*0.1&lt;D26,"Exceed 10% Rule","")</f>
      </c>
      <c r="E27" s="296">
        <f>IF(E28*0.1&lt;E26,"Exceed 10% Rule","")</f>
      </c>
    </row>
    <row r="28" spans="1:5" ht="15">
      <c r="A28" s="258" t="s">
        <v>298</v>
      </c>
      <c r="B28" s="246"/>
      <c r="C28" s="305">
        <f>SUM(C18:C26)</f>
        <v>13266</v>
      </c>
      <c r="D28" s="306">
        <f>SUM(D18:D26)</f>
        <v>7281</v>
      </c>
      <c r="E28" s="306">
        <f>SUM(E18:E26)</f>
        <v>7933</v>
      </c>
    </row>
    <row r="29" spans="1:5" ht="15">
      <c r="A29" s="135" t="s">
        <v>409</v>
      </c>
      <c r="B29" s="246"/>
      <c r="C29" s="102">
        <f>C16-C28</f>
        <v>2894</v>
      </c>
      <c r="D29" s="214">
        <f>D16-D28</f>
        <v>1773</v>
      </c>
      <c r="E29" s="214">
        <f>E16-E28</f>
        <v>0</v>
      </c>
    </row>
    <row r="30" spans="1:5" ht="15">
      <c r="A30" s="123" t="str">
        <f>CONCATENATE("",$E$1-2,"/",$E$1-1," Budget Authority Amount:")</f>
        <v>2010/2011 Budget Authority Amount:</v>
      </c>
      <c r="B30" s="269"/>
      <c r="C30" s="269">
        <f>inputOth!B72</f>
        <v>6500</v>
      </c>
      <c r="D30" s="269">
        <f>inputPrYr!D33</f>
        <v>7281</v>
      </c>
      <c r="E30" s="381">
        <f>IF(E29&lt;0,"See Tab E","")</f>
      </c>
    </row>
    <row r="31" spans="1:5" ht="15">
      <c r="A31" s="123"/>
      <c r="B31" s="271"/>
      <c r="C31" s="271" t="str">
        <f>IF(C28&gt;C30,"See Tab A","")</f>
        <v>See Tab A</v>
      </c>
      <c r="D31" s="271">
        <f>IF(D28&gt;D30,"See Tab C","")</f>
      </c>
      <c r="E31" s="51"/>
    </row>
    <row r="32" spans="1:5" ht="15">
      <c r="A32" s="123"/>
      <c r="B32" s="271"/>
      <c r="C32" s="271">
        <f>IF(C29&lt;0,"See Tab B","")</f>
      </c>
      <c r="D32" s="271">
        <f>IF(D29&lt;0,"See Tab D","")</f>
      </c>
      <c r="E32" s="51"/>
    </row>
    <row r="33" spans="1:5" ht="15">
      <c r="A33" s="22"/>
      <c r="B33" s="22"/>
      <c r="C33" s="51"/>
      <c r="D33" s="51"/>
      <c r="E33" s="51"/>
    </row>
    <row r="34" spans="1:5" ht="15">
      <c r="A34" s="29" t="s">
        <v>285</v>
      </c>
      <c r="B34" s="29"/>
      <c r="C34" s="311"/>
      <c r="D34" s="311"/>
      <c r="E34" s="311"/>
    </row>
    <row r="35" spans="1:5" ht="15">
      <c r="A35" s="22"/>
      <c r="B35" s="22"/>
      <c r="C35" s="276" t="str">
        <f aca="true" t="shared" si="0" ref="C35:E36">C4</f>
        <v>Prior Year Actual</v>
      </c>
      <c r="D35" s="129" t="str">
        <f t="shared" si="0"/>
        <v>Current Year Estimate</v>
      </c>
      <c r="E35" s="129" t="str">
        <f t="shared" si="0"/>
        <v>Proposed Budget Year</v>
      </c>
    </row>
    <row r="36" spans="1:5" ht="15">
      <c r="A36" s="183" t="str">
        <f>(inputPrYr!B34)</f>
        <v>Water</v>
      </c>
      <c r="B36" s="184"/>
      <c r="C36" s="244">
        <f t="shared" si="0"/>
        <v>2010</v>
      </c>
      <c r="D36" s="244">
        <f t="shared" si="0"/>
        <v>2011</v>
      </c>
      <c r="E36" s="244">
        <f t="shared" si="0"/>
        <v>2012</v>
      </c>
    </row>
    <row r="37" spans="1:5" ht="15">
      <c r="A37" s="245" t="s">
        <v>408</v>
      </c>
      <c r="B37" s="246"/>
      <c r="C37" s="248">
        <v>2607</v>
      </c>
      <c r="D37" s="214">
        <f>C60</f>
        <v>2108</v>
      </c>
      <c r="E37" s="214">
        <f>D60</f>
        <v>4408</v>
      </c>
    </row>
    <row r="38" spans="1:5" ht="15">
      <c r="A38" s="245" t="s">
        <v>410</v>
      </c>
      <c r="B38" s="246"/>
      <c r="C38" s="250"/>
      <c r="D38" s="70"/>
      <c r="E38" s="70"/>
    </row>
    <row r="39" spans="1:5" ht="15">
      <c r="A39" s="266" t="s">
        <v>729</v>
      </c>
      <c r="B39" s="255"/>
      <c r="C39" s="248">
        <v>26796</v>
      </c>
      <c r="D39" s="50">
        <v>28500</v>
      </c>
      <c r="E39" s="50">
        <v>28000</v>
      </c>
    </row>
    <row r="40" spans="1:5" ht="15">
      <c r="A40" s="266"/>
      <c r="B40" s="255"/>
      <c r="C40" s="248"/>
      <c r="D40" s="50"/>
      <c r="E40" s="50"/>
    </row>
    <row r="41" spans="1:5" ht="15">
      <c r="A41" s="266"/>
      <c r="B41" s="255"/>
      <c r="C41" s="248"/>
      <c r="D41" s="50"/>
      <c r="E41" s="50"/>
    </row>
    <row r="42" spans="1:5" ht="15">
      <c r="A42" s="266"/>
      <c r="B42" s="255"/>
      <c r="C42" s="248"/>
      <c r="D42" s="50"/>
      <c r="E42" s="50"/>
    </row>
    <row r="43" spans="1:5" ht="15">
      <c r="A43" s="256" t="s">
        <v>290</v>
      </c>
      <c r="B43" s="255"/>
      <c r="C43" s="248"/>
      <c r="D43" s="50"/>
      <c r="E43" s="50"/>
    </row>
    <row r="44" spans="1:5" ht="15">
      <c r="A44" s="144" t="s">
        <v>549</v>
      </c>
      <c r="B44" s="246"/>
      <c r="C44" s="248"/>
      <c r="D44" s="50"/>
      <c r="E44" s="50"/>
    </row>
    <row r="45" spans="1:5" ht="15">
      <c r="A45" s="245" t="s">
        <v>550</v>
      </c>
      <c r="B45" s="246"/>
      <c r="C45" s="296">
        <f>IF(C46*0.1&lt;C44,"Exceed 10% Rule","")</f>
      </c>
      <c r="D45" s="296">
        <f>IF(D46*0.1&lt;D44,"Exceed 10% Rule","")</f>
      </c>
      <c r="E45" s="296">
        <f>IF(E46*0.1&lt;E44,"Exceed 10% Rule","")</f>
      </c>
    </row>
    <row r="46" spans="1:5" ht="15">
      <c r="A46" s="258" t="s">
        <v>291</v>
      </c>
      <c r="B46" s="246"/>
      <c r="C46" s="305">
        <f>SUM(C39:C44)</f>
        <v>26796</v>
      </c>
      <c r="D46" s="306">
        <f>SUM(D39:D44)</f>
        <v>28500</v>
      </c>
      <c r="E46" s="306">
        <f>SUM(E39:E44)</f>
        <v>28000</v>
      </c>
    </row>
    <row r="47" spans="1:5" ht="15">
      <c r="A47" s="258" t="s">
        <v>292</v>
      </c>
      <c r="B47" s="246"/>
      <c r="C47" s="305">
        <f>C37+C46</f>
        <v>29403</v>
      </c>
      <c r="D47" s="306">
        <f>D37+D46</f>
        <v>30608</v>
      </c>
      <c r="E47" s="306">
        <f>E37+E46</f>
        <v>32408</v>
      </c>
    </row>
    <row r="48" spans="1:5" ht="15">
      <c r="A48" s="135" t="s">
        <v>294</v>
      </c>
      <c r="B48" s="246"/>
      <c r="C48" s="102"/>
      <c r="D48" s="214"/>
      <c r="E48" s="214"/>
    </row>
    <row r="49" spans="1:5" ht="15">
      <c r="A49" s="266" t="s">
        <v>730</v>
      </c>
      <c r="B49" s="255"/>
      <c r="C49" s="248">
        <v>9128</v>
      </c>
      <c r="D49" s="50">
        <v>10000</v>
      </c>
      <c r="E49" s="50">
        <v>11000</v>
      </c>
    </row>
    <row r="50" spans="1:5" ht="15">
      <c r="A50" s="266" t="s">
        <v>731</v>
      </c>
      <c r="B50" s="255"/>
      <c r="C50" s="248">
        <v>8637</v>
      </c>
      <c r="D50" s="50">
        <v>10000</v>
      </c>
      <c r="E50" s="50">
        <v>11000</v>
      </c>
    </row>
    <row r="51" spans="1:5" ht="15">
      <c r="A51" s="266" t="s">
        <v>722</v>
      </c>
      <c r="B51" s="255"/>
      <c r="C51" s="248">
        <v>9530</v>
      </c>
      <c r="D51" s="50">
        <v>6200</v>
      </c>
      <c r="E51" s="50">
        <v>10408</v>
      </c>
    </row>
    <row r="52" spans="1:5" ht="15">
      <c r="A52" s="266"/>
      <c r="B52" s="255"/>
      <c r="C52" s="248"/>
      <c r="D52" s="50"/>
      <c r="E52" s="50"/>
    </row>
    <row r="53" spans="1:5" ht="15">
      <c r="A53" s="266"/>
      <c r="B53" s="255"/>
      <c r="C53" s="248"/>
      <c r="D53" s="50"/>
      <c r="E53" s="50"/>
    </row>
    <row r="54" spans="1:5" ht="15">
      <c r="A54" s="266"/>
      <c r="B54" s="255"/>
      <c r="C54" s="248"/>
      <c r="D54" s="50"/>
      <c r="E54" s="50"/>
    </row>
    <row r="55" spans="1:5" ht="15">
      <c r="A55" s="266"/>
      <c r="B55" s="255"/>
      <c r="C55" s="248"/>
      <c r="D55" s="50"/>
      <c r="E55" s="50"/>
    </row>
    <row r="56" spans="1:5" ht="15">
      <c r="A56" s="266"/>
      <c r="B56" s="255"/>
      <c r="C56" s="248"/>
      <c r="D56" s="50"/>
      <c r="E56" s="50"/>
    </row>
    <row r="57" spans="1:5" ht="15">
      <c r="A57" s="267" t="s">
        <v>549</v>
      </c>
      <c r="B57" s="246"/>
      <c r="C57" s="248"/>
      <c r="D57" s="50"/>
      <c r="E57" s="50"/>
    </row>
    <row r="58" spans="1:5" ht="15">
      <c r="A58" s="267" t="s">
        <v>552</v>
      </c>
      <c r="B58" s="246"/>
      <c r="C58" s="296">
        <f>IF(C59*0.1&lt;C57,"Exceed 10% Rule","")</f>
      </c>
      <c r="D58" s="296">
        <f>IF(D59*0.1&lt;D57,"Exceed 10% Rule","")</f>
      </c>
      <c r="E58" s="296">
        <f>IF(E59*0.1&lt;E57,"Exceed 10% Rule","")</f>
      </c>
    </row>
    <row r="59" spans="1:5" ht="15">
      <c r="A59" s="258" t="s">
        <v>298</v>
      </c>
      <c r="B59" s="246"/>
      <c r="C59" s="305">
        <f>SUM(C49:C57)</f>
        <v>27295</v>
      </c>
      <c r="D59" s="306">
        <f>SUM(D49:D57)</f>
        <v>26200</v>
      </c>
      <c r="E59" s="306">
        <f>SUM(E49:E57)</f>
        <v>32408</v>
      </c>
    </row>
    <row r="60" spans="1:5" ht="15">
      <c r="A60" s="135" t="s">
        <v>409</v>
      </c>
      <c r="B60" s="246"/>
      <c r="C60" s="102">
        <f>C47-C59</f>
        <v>2108</v>
      </c>
      <c r="D60" s="214">
        <f>D47-D59</f>
        <v>4408</v>
      </c>
      <c r="E60" s="214">
        <f>E47-E59</f>
        <v>0</v>
      </c>
    </row>
    <row r="61" spans="1:5" ht="15">
      <c r="A61" s="123" t="str">
        <f>CONCATENATE("",$E$1-2,"/",$E$1-1," Budget Authority Amount:")</f>
        <v>2010/2011 Budget Authority Amount:</v>
      </c>
      <c r="B61" s="269"/>
      <c r="C61" s="269">
        <f>inputOth!B73</f>
        <v>31000</v>
      </c>
      <c r="D61" s="269">
        <f>inputPrYr!D34</f>
        <v>26200</v>
      </c>
      <c r="E61" s="381">
        <f>IF(E60&lt;0,"See Tab E","")</f>
      </c>
    </row>
    <row r="62" spans="1:5" ht="15">
      <c r="A62" s="123"/>
      <c r="B62" s="271"/>
      <c r="C62" s="271">
        <f>IF(C59&gt;C61,"See Tab A","")</f>
      </c>
      <c r="D62" s="271">
        <f>IF(D59&gt;D61,"See Tab C","")</f>
      </c>
      <c r="E62" s="22"/>
    </row>
    <row r="63" spans="1:5" ht="15">
      <c r="A63" s="123"/>
      <c r="B63" s="271"/>
      <c r="C63" s="271">
        <f>IF(C60&lt;0,"See Tab B","")</f>
      </c>
      <c r="D63" s="271">
        <f>IF(D60&lt;0,"See Tab D","")</f>
      </c>
      <c r="E63" s="22"/>
    </row>
    <row r="64" spans="1:5" ht="15">
      <c r="A64" s="22"/>
      <c r="B64" s="22"/>
      <c r="C64" s="22"/>
      <c r="D64" s="22"/>
      <c r="E64" s="22"/>
    </row>
    <row r="65" spans="1:5" ht="15">
      <c r="A65" s="157"/>
      <c r="B65" s="157" t="s">
        <v>301</v>
      </c>
      <c r="C65" s="279">
        <v>9</v>
      </c>
      <c r="D65" s="22"/>
      <c r="E65" s="22"/>
    </row>
  </sheetData>
  <sheetProtection sheet="1" objects="1" scenarios="1"/>
  <conditionalFormatting sqref="C44">
    <cfRule type="cellIs" priority="3" dxfId="245" operator="greaterThan" stopIfTrue="1">
      <formula>$C$46*0.1</formula>
    </cfRule>
  </conditionalFormatting>
  <conditionalFormatting sqref="D44">
    <cfRule type="cellIs" priority="4" dxfId="245" operator="greaterThan" stopIfTrue="1">
      <formula>$D$46*0.1</formula>
    </cfRule>
  </conditionalFormatting>
  <conditionalFormatting sqref="E44">
    <cfRule type="cellIs" priority="5" dxfId="245" operator="greaterThan" stopIfTrue="1">
      <formula>$E$46*0.1</formula>
    </cfRule>
  </conditionalFormatting>
  <conditionalFormatting sqref="C57">
    <cfRule type="cellIs" priority="6" dxfId="245" operator="greaterThan" stopIfTrue="1">
      <formula>$C$59*0.1</formula>
    </cfRule>
  </conditionalFormatting>
  <conditionalFormatting sqref="D57">
    <cfRule type="cellIs" priority="7" dxfId="245" operator="greaterThan" stopIfTrue="1">
      <formula>$D$59*0.1</formula>
    </cfRule>
  </conditionalFormatting>
  <conditionalFormatting sqref="E57">
    <cfRule type="cellIs" priority="8" dxfId="245" operator="greaterThan" stopIfTrue="1">
      <formula>$E$59*0.1</formula>
    </cfRule>
  </conditionalFormatting>
  <conditionalFormatting sqref="C13">
    <cfRule type="cellIs" priority="9" dxfId="245" operator="greaterThan" stopIfTrue="1">
      <formula>$C$15*0.1</formula>
    </cfRule>
  </conditionalFormatting>
  <conditionalFormatting sqref="D13">
    <cfRule type="cellIs" priority="10" dxfId="245" operator="greaterThan" stopIfTrue="1">
      <formula>$D$15*0.1</formula>
    </cfRule>
  </conditionalFormatting>
  <conditionalFormatting sqref="E13">
    <cfRule type="cellIs" priority="11" dxfId="245" operator="greaterThan" stopIfTrue="1">
      <formula>$E$15*0.1</formula>
    </cfRule>
  </conditionalFormatting>
  <conditionalFormatting sqref="C26">
    <cfRule type="cellIs" priority="12" dxfId="245" operator="greaterThan" stopIfTrue="1">
      <formula>$C$28*0.1</formula>
    </cfRule>
  </conditionalFormatting>
  <conditionalFormatting sqref="D26">
    <cfRule type="cellIs" priority="13" dxfId="245" operator="greaterThan" stopIfTrue="1">
      <formula>$D$28*0.1</formula>
    </cfRule>
  </conditionalFormatting>
  <conditionalFormatting sqref="E26">
    <cfRule type="cellIs" priority="14" dxfId="245"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F1" sqref="F1"/>
    </sheetView>
  </sheetViews>
  <sheetFormatPr defaultColWidth="8.8984375" defaultRowHeight="15"/>
  <cols>
    <col min="1" max="1" width="28.69921875" style="23" customWidth="1"/>
    <col min="2" max="2" width="9.59765625" style="23" customWidth="1"/>
    <col min="3" max="4" width="15.69921875" style="23" customWidth="1"/>
    <col min="5" max="5" width="16.19921875" style="23" customWidth="1"/>
    <col min="6" max="16384" width="8.8984375" style="23" customWidth="1"/>
  </cols>
  <sheetData>
    <row r="1" spans="1:5" ht="15">
      <c r="A1" s="162" t="str">
        <f>(inputPrYr!D2)</f>
        <v>CITY OF BURR OAK</v>
      </c>
      <c r="B1" s="162"/>
      <c r="C1" s="22"/>
      <c r="D1" s="22"/>
      <c r="E1" s="233">
        <f>inputPrYr!C5</f>
        <v>2012</v>
      </c>
    </row>
    <row r="2" spans="1:5" ht="15">
      <c r="A2" s="22"/>
      <c r="B2" s="22"/>
      <c r="C2" s="22"/>
      <c r="D2" s="22"/>
      <c r="E2" s="157"/>
    </row>
    <row r="3" spans="1:5" ht="15">
      <c r="A3" s="41" t="s">
        <v>354</v>
      </c>
      <c r="B3" s="41"/>
      <c r="C3" s="304"/>
      <c r="D3" s="304"/>
      <c r="E3" s="304"/>
    </row>
    <row r="4" spans="1:5" ht="15">
      <c r="A4" s="29" t="s">
        <v>285</v>
      </c>
      <c r="B4" s="29"/>
      <c r="C4" s="276" t="s">
        <v>305</v>
      </c>
      <c r="D4" s="129" t="s">
        <v>432</v>
      </c>
      <c r="E4" s="129" t="s">
        <v>433</v>
      </c>
    </row>
    <row r="5" spans="1:5" ht="15">
      <c r="A5" s="184" t="str">
        <f>(inputPrYr!B35)</f>
        <v>Sewer</v>
      </c>
      <c r="B5" s="184"/>
      <c r="C5" s="244">
        <f>E1-2</f>
        <v>2010</v>
      </c>
      <c r="D5" s="244">
        <f>E1-1</f>
        <v>2011</v>
      </c>
      <c r="E5" s="244">
        <f>E1</f>
        <v>2012</v>
      </c>
    </row>
    <row r="6" spans="1:5" ht="15">
      <c r="A6" s="245" t="s">
        <v>408</v>
      </c>
      <c r="B6" s="246"/>
      <c r="C6" s="248">
        <v>2374</v>
      </c>
      <c r="D6" s="214">
        <f>C29</f>
        <v>0</v>
      </c>
      <c r="E6" s="214">
        <f>D29</f>
        <v>2600</v>
      </c>
    </row>
    <row r="7" spans="1:5" ht="15">
      <c r="A7" s="249" t="s">
        <v>410</v>
      </c>
      <c r="B7" s="246"/>
      <c r="C7" s="250"/>
      <c r="D7" s="70"/>
      <c r="E7" s="70"/>
    </row>
    <row r="8" spans="1:5" ht="15">
      <c r="A8" s="266" t="s">
        <v>734</v>
      </c>
      <c r="B8" s="255"/>
      <c r="C8" s="248">
        <v>12224</v>
      </c>
      <c r="D8" s="50">
        <v>15300</v>
      </c>
      <c r="E8" s="50">
        <v>15300</v>
      </c>
    </row>
    <row r="9" spans="1:5" ht="15">
      <c r="A9" s="266"/>
      <c r="B9" s="255"/>
      <c r="C9" s="248"/>
      <c r="D9" s="50"/>
      <c r="E9" s="50"/>
    </row>
    <row r="10" spans="1:5" ht="15">
      <c r="A10" s="266"/>
      <c r="B10" s="255"/>
      <c r="C10" s="248"/>
      <c r="D10" s="50"/>
      <c r="E10" s="50"/>
    </row>
    <row r="11" spans="1:5" ht="15">
      <c r="A11" s="266"/>
      <c r="B11" s="255"/>
      <c r="C11" s="248"/>
      <c r="D11" s="50"/>
      <c r="E11" s="50"/>
    </row>
    <row r="12" spans="1:5" ht="15">
      <c r="A12" s="256" t="s">
        <v>290</v>
      </c>
      <c r="B12" s="255"/>
      <c r="C12" s="248"/>
      <c r="D12" s="50"/>
      <c r="E12" s="50"/>
    </row>
    <row r="13" spans="1:5" ht="15">
      <c r="A13" s="144" t="s">
        <v>549</v>
      </c>
      <c r="B13" s="246"/>
      <c r="C13" s="248"/>
      <c r="D13" s="248"/>
      <c r="E13" s="248"/>
    </row>
    <row r="14" spans="1:5" ht="15">
      <c r="A14" s="245" t="s">
        <v>550</v>
      </c>
      <c r="B14" s="246"/>
      <c r="C14" s="296">
        <f>IF(C15*0.1&lt;C13,"Exceed 10% Rule","")</f>
      </c>
      <c r="D14" s="296">
        <f>IF(D15*0.1&lt;D13,"Exceed 10% Rule","")</f>
      </c>
      <c r="E14" s="296">
        <f>IF(E15*0.1&lt;E13,"Exceed 10% Rule","")</f>
      </c>
    </row>
    <row r="15" spans="1:5" ht="15">
      <c r="A15" s="258" t="s">
        <v>291</v>
      </c>
      <c r="B15" s="246"/>
      <c r="C15" s="305">
        <f>SUM(C8:C13)</f>
        <v>12224</v>
      </c>
      <c r="D15" s="306">
        <f>SUM(D8:D13)</f>
        <v>15300</v>
      </c>
      <c r="E15" s="306">
        <f>SUM(E8:E13)</f>
        <v>15300</v>
      </c>
    </row>
    <row r="16" spans="1:5" ht="15">
      <c r="A16" s="258" t="s">
        <v>292</v>
      </c>
      <c r="B16" s="246"/>
      <c r="C16" s="305">
        <f>C6+C15</f>
        <v>14598</v>
      </c>
      <c r="D16" s="306">
        <f>D6+D15</f>
        <v>15300</v>
      </c>
      <c r="E16" s="306">
        <f>E6+E15</f>
        <v>17900</v>
      </c>
    </row>
    <row r="17" spans="1:5" ht="15">
      <c r="A17" s="135" t="s">
        <v>294</v>
      </c>
      <c r="B17" s="246"/>
      <c r="C17" s="102"/>
      <c r="D17" s="214"/>
      <c r="E17" s="214"/>
    </row>
    <row r="18" spans="1:5" ht="15">
      <c r="A18" s="266" t="s">
        <v>730</v>
      </c>
      <c r="B18" s="255"/>
      <c r="C18" s="248">
        <v>8571</v>
      </c>
      <c r="D18" s="50">
        <v>9000</v>
      </c>
      <c r="E18" s="50">
        <v>9500</v>
      </c>
    </row>
    <row r="19" spans="1:5" ht="15">
      <c r="A19" s="266" t="s">
        <v>731</v>
      </c>
      <c r="B19" s="255"/>
      <c r="C19" s="248">
        <v>1120</v>
      </c>
      <c r="D19" s="50">
        <v>800</v>
      </c>
      <c r="E19" s="50">
        <v>2500</v>
      </c>
    </row>
    <row r="20" spans="1:5" ht="15">
      <c r="A20" s="266" t="s">
        <v>722</v>
      </c>
      <c r="B20" s="255"/>
      <c r="C20" s="248">
        <v>4907</v>
      </c>
      <c r="D20" s="50">
        <v>2900</v>
      </c>
      <c r="E20" s="50">
        <v>5900</v>
      </c>
    </row>
    <row r="21" spans="1:5" ht="15">
      <c r="A21" s="266" t="s">
        <v>735</v>
      </c>
      <c r="B21" s="255"/>
      <c r="C21" s="248"/>
      <c r="D21" s="50"/>
      <c r="E21" s="50"/>
    </row>
    <row r="22" spans="1:5" ht="15">
      <c r="A22" s="266"/>
      <c r="B22" s="255"/>
      <c r="C22" s="248"/>
      <c r="D22" s="50"/>
      <c r="E22" s="50"/>
    </row>
    <row r="23" spans="1:5" ht="15">
      <c r="A23" s="266"/>
      <c r="B23" s="255"/>
      <c r="C23" s="248"/>
      <c r="D23" s="50"/>
      <c r="E23" s="50"/>
    </row>
    <row r="24" spans="1:5" ht="15">
      <c r="A24" s="266"/>
      <c r="B24" s="255"/>
      <c r="C24" s="248"/>
      <c r="D24" s="50"/>
      <c r="E24" s="50"/>
    </row>
    <row r="25" spans="1:5" ht="15">
      <c r="A25" s="266"/>
      <c r="B25" s="255"/>
      <c r="C25" s="248"/>
      <c r="D25" s="50"/>
      <c r="E25" s="50"/>
    </row>
    <row r="26" spans="1:5" ht="15">
      <c r="A26" s="267" t="s">
        <v>549</v>
      </c>
      <c r="B26" s="246"/>
      <c r="C26" s="248"/>
      <c r="D26" s="248"/>
      <c r="E26" s="248"/>
    </row>
    <row r="27" spans="1:5" ht="15">
      <c r="A27" s="267" t="s">
        <v>552</v>
      </c>
      <c r="B27" s="246"/>
      <c r="C27" s="296">
        <f>IF(C28*0.1&lt;C26,"Exceed 10% Rule","")</f>
      </c>
      <c r="D27" s="296">
        <f>IF(D28*0.1&lt;D26,"Exceed 10% Rule","")</f>
      </c>
      <c r="E27" s="296">
        <f>IF(E28*0.1&lt;E26,"Exceed 10% Rule","")</f>
      </c>
    </row>
    <row r="28" spans="1:5" ht="15">
      <c r="A28" s="258" t="s">
        <v>298</v>
      </c>
      <c r="B28" s="246"/>
      <c r="C28" s="305">
        <f>SUM(C18:C26)</f>
        <v>14598</v>
      </c>
      <c r="D28" s="306">
        <f>SUM(D18:D26)</f>
        <v>12700</v>
      </c>
      <c r="E28" s="306">
        <f>SUM(E18:E26)</f>
        <v>17900</v>
      </c>
    </row>
    <row r="29" spans="1:5" ht="15">
      <c r="A29" s="135" t="s">
        <v>409</v>
      </c>
      <c r="B29" s="246"/>
      <c r="C29" s="102">
        <f>C16-C28</f>
        <v>0</v>
      </c>
      <c r="D29" s="214">
        <f>D16-D28</f>
        <v>2600</v>
      </c>
      <c r="E29" s="214">
        <f>E16-E28</f>
        <v>0</v>
      </c>
    </row>
    <row r="30" spans="1:5" ht="15">
      <c r="A30" s="123" t="str">
        <f>CONCATENATE("",$E$1-2,"/",$E$1-1," Budget Authority Amount:")</f>
        <v>2010/2011 Budget Authority Amount:</v>
      </c>
      <c r="B30" s="269"/>
      <c r="C30" s="269">
        <f>inputOth!B74</f>
        <v>13600</v>
      </c>
      <c r="D30" s="269">
        <f>inputPrYr!D35</f>
        <v>12700</v>
      </c>
      <c r="E30" s="381">
        <f>IF(E29&lt;0,"See Tab E","")</f>
      </c>
    </row>
    <row r="31" spans="1:5" ht="15">
      <c r="A31" s="123"/>
      <c r="B31" s="271"/>
      <c r="C31" s="271" t="str">
        <f>IF(C28&gt;C30,"See Tab A","")</f>
        <v>See Tab A</v>
      </c>
      <c r="D31" s="271">
        <f>IF(D28&gt;D30,"See Tab C","")</f>
      </c>
      <c r="E31" s="51"/>
    </row>
    <row r="32" spans="1:5" ht="15">
      <c r="A32" s="123"/>
      <c r="B32" s="271"/>
      <c r="C32" s="271">
        <f>IF(C29&lt;0,"See Tab B","")</f>
      </c>
      <c r="D32" s="271">
        <f>IF(D29&lt;0,"See Tab D","")</f>
      </c>
      <c r="E32" s="51"/>
    </row>
    <row r="33" spans="1:5" ht="15">
      <c r="A33" s="22"/>
      <c r="B33" s="22"/>
      <c r="C33" s="51"/>
      <c r="D33" s="51"/>
      <c r="E33" s="51"/>
    </row>
    <row r="34" spans="1:5" ht="15">
      <c r="A34" s="29" t="s">
        <v>285</v>
      </c>
      <c r="B34" s="29"/>
      <c r="C34" s="311"/>
      <c r="D34" s="311"/>
      <c r="E34" s="311"/>
    </row>
    <row r="35" spans="1:5" ht="15">
      <c r="A35" s="22"/>
      <c r="B35" s="22"/>
      <c r="C35" s="276" t="str">
        <f aca="true" t="shared" si="0" ref="C35:E36">C4</f>
        <v>Prior Year Actual</v>
      </c>
      <c r="D35" s="129" t="str">
        <f t="shared" si="0"/>
        <v>Current Year Estimate</v>
      </c>
      <c r="E35" s="129" t="str">
        <f t="shared" si="0"/>
        <v>Proposed Budget Year</v>
      </c>
    </row>
    <row r="36" spans="1:5" ht="15">
      <c r="A36" s="183" t="str">
        <f>(inputPrYr!B36)</f>
        <v>Gen-Cap Out-Equip Res Fund</v>
      </c>
      <c r="B36" s="184"/>
      <c r="C36" s="244">
        <f t="shared" si="0"/>
        <v>2010</v>
      </c>
      <c r="D36" s="244">
        <f t="shared" si="0"/>
        <v>2011</v>
      </c>
      <c r="E36" s="244">
        <f t="shared" si="0"/>
        <v>2012</v>
      </c>
    </row>
    <row r="37" spans="1:5" ht="15">
      <c r="A37" s="245" t="s">
        <v>408</v>
      </c>
      <c r="B37" s="246"/>
      <c r="C37" s="248">
        <v>18175</v>
      </c>
      <c r="D37" s="214">
        <f>C60</f>
        <v>18436</v>
      </c>
      <c r="E37" s="214">
        <f>D60</f>
        <v>12486</v>
      </c>
    </row>
    <row r="38" spans="1:5" ht="15">
      <c r="A38" s="245" t="s">
        <v>410</v>
      </c>
      <c r="B38" s="246"/>
      <c r="C38" s="250"/>
      <c r="D38" s="70"/>
      <c r="E38" s="70"/>
    </row>
    <row r="39" spans="1:5" ht="15">
      <c r="A39" s="266"/>
      <c r="B39" s="255"/>
      <c r="C39" s="248"/>
      <c r="D39" s="50"/>
      <c r="E39" s="50"/>
    </row>
    <row r="40" spans="1:5" ht="15">
      <c r="A40" s="266"/>
      <c r="B40" s="255"/>
      <c r="C40" s="248"/>
      <c r="D40" s="50"/>
      <c r="E40" s="50"/>
    </row>
    <row r="41" spans="1:5" ht="15">
      <c r="A41" s="266"/>
      <c r="B41" s="255"/>
      <c r="C41" s="248"/>
      <c r="D41" s="50"/>
      <c r="E41" s="50"/>
    </row>
    <row r="42" spans="1:5" ht="15">
      <c r="A42" s="266"/>
      <c r="B42" s="255"/>
      <c r="C42" s="248"/>
      <c r="D42" s="50"/>
      <c r="E42" s="50"/>
    </row>
    <row r="43" spans="1:5" ht="15">
      <c r="A43" s="256" t="s">
        <v>290</v>
      </c>
      <c r="B43" s="255"/>
      <c r="C43" s="248">
        <v>261</v>
      </c>
      <c r="D43" s="50"/>
      <c r="E43" s="50"/>
    </row>
    <row r="44" spans="1:5" ht="15">
      <c r="A44" s="144" t="s">
        <v>549</v>
      </c>
      <c r="B44" s="246"/>
      <c r="C44" s="248"/>
      <c r="D44" s="50"/>
      <c r="E44" s="50"/>
    </row>
    <row r="45" spans="1:5" ht="15">
      <c r="A45" s="245" t="s">
        <v>550</v>
      </c>
      <c r="B45" s="246"/>
      <c r="C45" s="296">
        <f>IF(C46*0.1&lt;C44,"Exceed 10% Rule","")</f>
      </c>
      <c r="D45" s="296">
        <f>IF(D46*0.1&lt;D44,"Exceed 10% Rule","")</f>
      </c>
      <c r="E45" s="296">
        <f>IF(E46*0.1&lt;E44,"Exceed 10% Rule","")</f>
      </c>
    </row>
    <row r="46" spans="1:5" ht="15">
      <c r="A46" s="258" t="s">
        <v>291</v>
      </c>
      <c r="B46" s="246"/>
      <c r="C46" s="305">
        <f>SUM(C39:C44)</f>
        <v>261</v>
      </c>
      <c r="D46" s="306">
        <f>SUM(D39:D44)</f>
        <v>0</v>
      </c>
      <c r="E46" s="306">
        <f>SUM(E39:E44)</f>
        <v>0</v>
      </c>
    </row>
    <row r="47" spans="1:5" ht="15">
      <c r="A47" s="258" t="s">
        <v>292</v>
      </c>
      <c r="B47" s="246"/>
      <c r="C47" s="305">
        <f>C37+C46</f>
        <v>18436</v>
      </c>
      <c r="D47" s="306">
        <f>D37+D46</f>
        <v>18436</v>
      </c>
      <c r="E47" s="306">
        <f>E37+E46</f>
        <v>12486</v>
      </c>
    </row>
    <row r="48" spans="1:5" ht="15">
      <c r="A48" s="135" t="s">
        <v>294</v>
      </c>
      <c r="B48" s="246"/>
      <c r="C48" s="102"/>
      <c r="D48" s="214"/>
      <c r="E48" s="214"/>
    </row>
    <row r="49" spans="1:5" ht="15">
      <c r="A49" s="266" t="s">
        <v>736</v>
      </c>
      <c r="B49" s="255"/>
      <c r="C49" s="248"/>
      <c r="D49" s="50">
        <v>5950</v>
      </c>
      <c r="E49" s="50">
        <v>12486</v>
      </c>
    </row>
    <row r="50" spans="1:5" ht="15">
      <c r="A50" s="266"/>
      <c r="B50" s="255"/>
      <c r="C50" s="248"/>
      <c r="D50" s="50"/>
      <c r="E50" s="50"/>
    </row>
    <row r="51" spans="1:5" ht="15">
      <c r="A51" s="266"/>
      <c r="B51" s="255"/>
      <c r="C51" s="248"/>
      <c r="D51" s="50"/>
      <c r="E51" s="50"/>
    </row>
    <row r="52" spans="1:5" ht="15">
      <c r="A52" s="266"/>
      <c r="B52" s="255"/>
      <c r="C52" s="248"/>
      <c r="D52" s="50"/>
      <c r="E52" s="50"/>
    </row>
    <row r="53" spans="1:5" ht="15">
      <c r="A53" s="266"/>
      <c r="B53" s="255"/>
      <c r="C53" s="248"/>
      <c r="D53" s="50"/>
      <c r="E53" s="50"/>
    </row>
    <row r="54" spans="1:5" ht="15">
      <c r="A54" s="266"/>
      <c r="B54" s="255"/>
      <c r="C54" s="248"/>
      <c r="D54" s="50"/>
      <c r="E54" s="50"/>
    </row>
    <row r="55" spans="1:5" ht="15">
      <c r="A55" s="266"/>
      <c r="B55" s="255"/>
      <c r="C55" s="248"/>
      <c r="D55" s="50"/>
      <c r="E55" s="50"/>
    </row>
    <row r="56" spans="1:5" ht="15">
      <c r="A56" s="266"/>
      <c r="B56" s="255"/>
      <c r="C56" s="248"/>
      <c r="D56" s="50"/>
      <c r="E56" s="50"/>
    </row>
    <row r="57" spans="1:5" ht="15">
      <c r="A57" s="267" t="s">
        <v>549</v>
      </c>
      <c r="B57" s="246"/>
      <c r="C57" s="248"/>
      <c r="D57" s="248"/>
      <c r="E57" s="248"/>
    </row>
    <row r="58" spans="1:5" ht="15">
      <c r="A58" s="267" t="s">
        <v>552</v>
      </c>
      <c r="B58" s="246"/>
      <c r="C58" s="296">
        <f>IF(C59*0.1&lt;C57,"Exceed 10% Rule","")</f>
      </c>
      <c r="D58" s="296">
        <f>IF(D59*0.1&lt;D57,"Exceed 10% Rule","")</f>
      </c>
      <c r="E58" s="296">
        <f>IF(E59*0.1&lt;E57,"Exceed 10% Rule","")</f>
      </c>
    </row>
    <row r="59" spans="1:5" ht="15">
      <c r="A59" s="258" t="s">
        <v>298</v>
      </c>
      <c r="B59" s="246"/>
      <c r="C59" s="305">
        <f>SUM(C49:C57)</f>
        <v>0</v>
      </c>
      <c r="D59" s="306">
        <f>SUM(D49:D57)</f>
        <v>5950</v>
      </c>
      <c r="E59" s="306">
        <f>SUM(E49:E57)</f>
        <v>12486</v>
      </c>
    </row>
    <row r="60" spans="1:5" ht="15">
      <c r="A60" s="135" t="s">
        <v>409</v>
      </c>
      <c r="B60" s="246"/>
      <c r="C60" s="102">
        <f>C47-C59</f>
        <v>18436</v>
      </c>
      <c r="D60" s="214">
        <f>D47-D59</f>
        <v>12486</v>
      </c>
      <c r="E60" s="214">
        <f>E47-E59</f>
        <v>0</v>
      </c>
    </row>
    <row r="61" spans="1:5" ht="15">
      <c r="A61" s="123" t="str">
        <f>CONCATENATE("",$E$1-2,"/",$E$1-1," Budget Authority Amount:")</f>
        <v>2010/2011 Budget Authority Amount:</v>
      </c>
      <c r="B61" s="269"/>
      <c r="C61" s="269">
        <f>inputOth!B75</f>
        <v>17991</v>
      </c>
      <c r="D61" s="269">
        <f>inputPrYr!D36</f>
        <v>12175</v>
      </c>
      <c r="E61" s="381">
        <f>IF(E60&lt;0,"See Tab E","")</f>
      </c>
    </row>
    <row r="62" spans="1:5" ht="15">
      <c r="A62" s="123"/>
      <c r="B62" s="271"/>
      <c r="C62" s="271">
        <f>IF(C59&gt;C61,"See Tab A","")</f>
      </c>
      <c r="D62" s="271">
        <f>IF(D59&gt;D61,"See Tab C","")</f>
      </c>
      <c r="E62" s="22"/>
    </row>
    <row r="63" spans="1:5" ht="15">
      <c r="A63" s="123"/>
      <c r="B63" s="271"/>
      <c r="C63" s="271">
        <f>IF(C60&lt;0,"See Tab B","")</f>
      </c>
      <c r="D63" s="271">
        <f>IF(D60&lt;0,"See Tab D","")</f>
      </c>
      <c r="E63" s="22"/>
    </row>
    <row r="64" spans="1:5" ht="15">
      <c r="A64" s="22"/>
      <c r="B64" s="22"/>
      <c r="C64" s="22"/>
      <c r="D64" s="22"/>
      <c r="E64" s="22"/>
    </row>
    <row r="65" spans="1:5" ht="15">
      <c r="A65" s="157"/>
      <c r="B65" s="157" t="s">
        <v>301</v>
      </c>
      <c r="C65" s="279">
        <v>10</v>
      </c>
      <c r="D65" s="22"/>
      <c r="E65" s="22"/>
    </row>
  </sheetData>
  <sheetProtection sheet="1" objects="1" scenarios="1"/>
  <conditionalFormatting sqref="C13">
    <cfRule type="cellIs" priority="3" dxfId="245" operator="greaterThan" stopIfTrue="1">
      <formula>$C$15*0.1</formula>
    </cfRule>
  </conditionalFormatting>
  <conditionalFormatting sqref="D13">
    <cfRule type="cellIs" priority="4" dxfId="245" operator="greaterThan" stopIfTrue="1">
      <formula>$D$15*0.1</formula>
    </cfRule>
  </conditionalFormatting>
  <conditionalFormatting sqref="E13">
    <cfRule type="cellIs" priority="5" dxfId="245" operator="greaterThan" stopIfTrue="1">
      <formula>$E$15*0.1</formula>
    </cfRule>
  </conditionalFormatting>
  <conditionalFormatting sqref="C26">
    <cfRule type="cellIs" priority="6" dxfId="245" operator="greaterThan" stopIfTrue="1">
      <formula>$C$28*0.1</formula>
    </cfRule>
  </conditionalFormatting>
  <conditionalFormatting sqref="D26">
    <cfRule type="cellIs" priority="7" dxfId="245" operator="greaterThan" stopIfTrue="1">
      <formula>$D$28*0.1</formula>
    </cfRule>
  </conditionalFormatting>
  <conditionalFormatting sqref="E26">
    <cfRule type="cellIs" priority="8" dxfId="245" operator="greaterThan" stopIfTrue="1">
      <formula>$E$28*0.1</formula>
    </cfRule>
  </conditionalFormatting>
  <conditionalFormatting sqref="C44">
    <cfRule type="cellIs" priority="9" dxfId="245" operator="greaterThan" stopIfTrue="1">
      <formula>$C$46*0.1</formula>
    </cfRule>
  </conditionalFormatting>
  <conditionalFormatting sqref="D44">
    <cfRule type="cellIs" priority="10" dxfId="245" operator="greaterThan" stopIfTrue="1">
      <formula>$D$46*0.1</formula>
    </cfRule>
  </conditionalFormatting>
  <conditionalFormatting sqref="E44">
    <cfRule type="cellIs" priority="11" dxfId="245" operator="greaterThan" stopIfTrue="1">
      <formula>$E$46*0.1</formula>
    </cfRule>
  </conditionalFormatting>
  <conditionalFormatting sqref="C57">
    <cfRule type="cellIs" priority="12" dxfId="245" operator="greaterThan" stopIfTrue="1">
      <formula>$C$59*0.1</formula>
    </cfRule>
  </conditionalFormatting>
  <conditionalFormatting sqref="D57">
    <cfRule type="cellIs" priority="13" dxfId="245" operator="greaterThan" stopIfTrue="1">
      <formula>$D$59*0.1</formula>
    </cfRule>
  </conditionalFormatting>
  <conditionalFormatting sqref="E57">
    <cfRule type="cellIs" priority="14" dxfId="245"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F1" sqref="F1"/>
    </sheetView>
  </sheetViews>
  <sheetFormatPr defaultColWidth="8.8984375" defaultRowHeight="15"/>
  <cols>
    <col min="1" max="1" width="28.69921875" style="23" customWidth="1"/>
    <col min="2" max="2" width="9.59765625" style="23" customWidth="1"/>
    <col min="3" max="4" width="15.69921875" style="23" customWidth="1"/>
    <col min="5" max="5" width="16.296875" style="23" customWidth="1"/>
    <col min="6" max="16384" width="8.8984375" style="23" customWidth="1"/>
  </cols>
  <sheetData>
    <row r="1" spans="1:5" ht="15">
      <c r="A1" s="162" t="str">
        <f>(inputPrYr!D2)</f>
        <v>CITY OF BURR OAK</v>
      </c>
      <c r="B1" s="162"/>
      <c r="C1" s="22"/>
      <c r="D1" s="22"/>
      <c r="E1" s="233">
        <f>inputPrYr!C5</f>
        <v>2012</v>
      </c>
    </row>
    <row r="2" spans="1:5" ht="15">
      <c r="A2" s="22"/>
      <c r="B2" s="22"/>
      <c r="C2" s="22"/>
      <c r="D2" s="22"/>
      <c r="E2" s="157"/>
    </row>
    <row r="3" spans="1:5" ht="15">
      <c r="A3" s="41" t="s">
        <v>354</v>
      </c>
      <c r="B3" s="41"/>
      <c r="C3" s="304"/>
      <c r="D3" s="304"/>
      <c r="E3" s="304"/>
    </row>
    <row r="4" spans="1:5" ht="15">
      <c r="A4" s="29" t="s">
        <v>285</v>
      </c>
      <c r="B4" s="29"/>
      <c r="C4" s="276" t="s">
        <v>305</v>
      </c>
      <c r="D4" s="129" t="s">
        <v>432</v>
      </c>
      <c r="E4" s="129" t="s">
        <v>433</v>
      </c>
    </row>
    <row r="5" spans="1:5" ht="15">
      <c r="A5" s="184" t="str">
        <f>(inputPrYr!B37)</f>
        <v>Water-Cap Out Equip Res Fund</v>
      </c>
      <c r="B5" s="184"/>
      <c r="C5" s="244">
        <f>E1-2</f>
        <v>2010</v>
      </c>
      <c r="D5" s="244">
        <f>E1-1</f>
        <v>2011</v>
      </c>
      <c r="E5" s="244">
        <f>E1</f>
        <v>2012</v>
      </c>
    </row>
    <row r="6" spans="1:5" ht="15">
      <c r="A6" s="245" t="s">
        <v>408</v>
      </c>
      <c r="B6" s="246"/>
      <c r="C6" s="248">
        <v>24361</v>
      </c>
      <c r="D6" s="214">
        <f>C29</f>
        <v>24669</v>
      </c>
      <c r="E6" s="214">
        <f>D29</f>
        <v>16369</v>
      </c>
    </row>
    <row r="7" spans="1:5" ht="15">
      <c r="A7" s="249" t="s">
        <v>410</v>
      </c>
      <c r="B7" s="246"/>
      <c r="C7" s="250"/>
      <c r="D7" s="70"/>
      <c r="E7" s="70"/>
    </row>
    <row r="8" spans="1:5" ht="15">
      <c r="A8" s="266"/>
      <c r="B8" s="255"/>
      <c r="C8" s="248"/>
      <c r="D8" s="50"/>
      <c r="E8" s="50"/>
    </row>
    <row r="9" spans="1:5" ht="15">
      <c r="A9" s="266"/>
      <c r="B9" s="255"/>
      <c r="C9" s="248"/>
      <c r="D9" s="50"/>
      <c r="E9" s="50"/>
    </row>
    <row r="10" spans="1:5" ht="15">
      <c r="A10" s="266"/>
      <c r="B10" s="255"/>
      <c r="C10" s="248"/>
      <c r="D10" s="50"/>
      <c r="E10" s="50"/>
    </row>
    <row r="11" spans="1:5" ht="15">
      <c r="A11" s="266"/>
      <c r="B11" s="255"/>
      <c r="C11" s="248"/>
      <c r="D11" s="50"/>
      <c r="E11" s="50"/>
    </row>
    <row r="12" spans="1:5" ht="15">
      <c r="A12" s="256" t="s">
        <v>290</v>
      </c>
      <c r="B12" s="255"/>
      <c r="C12" s="248">
        <v>308</v>
      </c>
      <c r="D12" s="50"/>
      <c r="E12" s="50"/>
    </row>
    <row r="13" spans="1:5" ht="15">
      <c r="A13" s="144" t="s">
        <v>549</v>
      </c>
      <c r="B13" s="246"/>
      <c r="C13" s="248"/>
      <c r="D13" s="248"/>
      <c r="E13" s="248"/>
    </row>
    <row r="14" spans="1:5" ht="15">
      <c r="A14" s="245" t="s">
        <v>550</v>
      </c>
      <c r="B14" s="246"/>
      <c r="C14" s="296">
        <f>IF(C15*0.1&lt;C13,"Exceed 10% Rule","")</f>
      </c>
      <c r="D14" s="296">
        <f>IF(D15*0.1&lt;D13,"Exceed 10% Rule","")</f>
      </c>
      <c r="E14" s="296">
        <f>IF(E15*0.1&lt;E13,"Exceed 10% Rule","")</f>
      </c>
    </row>
    <row r="15" spans="1:5" ht="15">
      <c r="A15" s="258" t="s">
        <v>291</v>
      </c>
      <c r="B15" s="246"/>
      <c r="C15" s="305">
        <f>SUM(C8:C13)</f>
        <v>308</v>
      </c>
      <c r="D15" s="306">
        <f>SUM(D8:D13)</f>
        <v>0</v>
      </c>
      <c r="E15" s="306">
        <f>SUM(E8:E13)</f>
        <v>0</v>
      </c>
    </row>
    <row r="16" spans="1:5" ht="15">
      <c r="A16" s="258" t="s">
        <v>292</v>
      </c>
      <c r="B16" s="246"/>
      <c r="C16" s="305">
        <f>C6+C15</f>
        <v>24669</v>
      </c>
      <c r="D16" s="306">
        <f>D6+D15</f>
        <v>24669</v>
      </c>
      <c r="E16" s="306">
        <f>E6+E15</f>
        <v>16369</v>
      </c>
    </row>
    <row r="17" spans="1:5" ht="15">
      <c r="A17" s="135" t="s">
        <v>294</v>
      </c>
      <c r="B17" s="246"/>
      <c r="C17" s="102"/>
      <c r="D17" s="214"/>
      <c r="E17" s="214"/>
    </row>
    <row r="18" spans="1:5" ht="15">
      <c r="A18" s="266" t="s">
        <v>737</v>
      </c>
      <c r="B18" s="255"/>
      <c r="C18" s="248"/>
      <c r="D18" s="50">
        <v>8300</v>
      </c>
      <c r="E18" s="50">
        <v>11000</v>
      </c>
    </row>
    <row r="19" spans="1:5" ht="15">
      <c r="A19" s="266"/>
      <c r="B19" s="255"/>
      <c r="C19" s="248"/>
      <c r="D19" s="50"/>
      <c r="E19" s="50"/>
    </row>
    <row r="20" spans="1:5" ht="15">
      <c r="A20" s="266"/>
      <c r="B20" s="255"/>
      <c r="C20" s="248"/>
      <c r="D20" s="50"/>
      <c r="E20" s="50"/>
    </row>
    <row r="21" spans="1:5" ht="15">
      <c r="A21" s="266"/>
      <c r="B21" s="255"/>
      <c r="C21" s="248"/>
      <c r="D21" s="50"/>
      <c r="E21" s="50"/>
    </row>
    <row r="22" spans="1:5" ht="15">
      <c r="A22" s="266"/>
      <c r="B22" s="255"/>
      <c r="C22" s="248"/>
      <c r="D22" s="50"/>
      <c r="E22" s="50"/>
    </row>
    <row r="23" spans="1:5" ht="15">
      <c r="A23" s="266"/>
      <c r="B23" s="255"/>
      <c r="C23" s="248"/>
      <c r="D23" s="50"/>
      <c r="E23" s="50"/>
    </row>
    <row r="24" spans="1:5" ht="15">
      <c r="A24" s="266"/>
      <c r="B24" s="255"/>
      <c r="C24" s="248"/>
      <c r="D24" s="50"/>
      <c r="E24" s="50"/>
    </row>
    <row r="25" spans="1:5" ht="15">
      <c r="A25" s="266"/>
      <c r="B25" s="255"/>
      <c r="C25" s="248"/>
      <c r="D25" s="50"/>
      <c r="E25" s="50"/>
    </row>
    <row r="26" spans="1:5" ht="15">
      <c r="A26" s="267" t="s">
        <v>549</v>
      </c>
      <c r="B26" s="246"/>
      <c r="C26" s="248"/>
      <c r="D26" s="248"/>
      <c r="E26" s="248"/>
    </row>
    <row r="27" spans="1:5" ht="15">
      <c r="A27" s="267" t="s">
        <v>552</v>
      </c>
      <c r="B27" s="246"/>
      <c r="C27" s="296">
        <f>IF(C28*0.1&lt;C26,"Exceed 10% Rule","")</f>
      </c>
      <c r="D27" s="296">
        <f>IF(D28*0.1&lt;D26,"Exceed 10% Rule","")</f>
      </c>
      <c r="E27" s="296">
        <f>IF(E28*0.1&lt;E26,"Exceed 10% Rule","")</f>
      </c>
    </row>
    <row r="28" spans="1:5" ht="15">
      <c r="A28" s="258" t="s">
        <v>298</v>
      </c>
      <c r="B28" s="246"/>
      <c r="C28" s="305">
        <f>SUM(C18:C26)</f>
        <v>0</v>
      </c>
      <c r="D28" s="306">
        <f>SUM(D18:D26)</f>
        <v>8300</v>
      </c>
      <c r="E28" s="306">
        <f>SUM(E18:E26)</f>
        <v>11000</v>
      </c>
    </row>
    <row r="29" spans="1:5" ht="15">
      <c r="A29" s="135" t="s">
        <v>409</v>
      </c>
      <c r="B29" s="246"/>
      <c r="C29" s="102">
        <f>C16-C28</f>
        <v>24669</v>
      </c>
      <c r="D29" s="214">
        <f>D16-D28</f>
        <v>16369</v>
      </c>
      <c r="E29" s="214">
        <f>E16-E28</f>
        <v>5369</v>
      </c>
    </row>
    <row r="30" spans="1:5" ht="15">
      <c r="A30" s="123" t="str">
        <f>CONCATENATE("",E1-2,"/",E1-1," Budget Authority Amount:")</f>
        <v>2010/2011 Budget Authority Amount:</v>
      </c>
      <c r="B30" s="269"/>
      <c r="C30" s="269">
        <f>inputOth!B76</f>
        <v>0</v>
      </c>
      <c r="D30" s="269">
        <f>inputPrYr!D37</f>
        <v>8300</v>
      </c>
      <c r="E30" s="381">
        <f>IF(E29&lt;0,"See Tab E","")</f>
      </c>
    </row>
    <row r="31" spans="1:5" ht="15">
      <c r="A31" s="123"/>
      <c r="B31" s="271"/>
      <c r="C31" s="271">
        <f>IF(C28&gt;C30,"See Tab A","")</f>
      </c>
      <c r="D31" s="271">
        <f>IF(D28&gt;D30,"See Tab C","")</f>
      </c>
      <c r="E31" s="51"/>
    </row>
    <row r="32" spans="1:5" ht="15">
      <c r="A32" s="123"/>
      <c r="B32" s="271"/>
      <c r="C32" s="271">
        <f>IF(C29&lt;0,"See Tab B","")</f>
      </c>
      <c r="D32" s="271">
        <f>IF(D29&lt;0,"See Tab D","")</f>
      </c>
      <c r="E32" s="51"/>
    </row>
    <row r="33" spans="1:5" ht="15">
      <c r="A33" s="22"/>
      <c r="B33" s="22"/>
      <c r="C33" s="51"/>
      <c r="D33" s="51"/>
      <c r="E33" s="51"/>
    </row>
    <row r="34" spans="1:5" ht="15">
      <c r="A34" s="29" t="s">
        <v>285</v>
      </c>
      <c r="B34" s="29"/>
      <c r="C34" s="311"/>
      <c r="D34" s="311"/>
      <c r="E34" s="311"/>
    </row>
    <row r="35" spans="1:5" ht="15">
      <c r="A35" s="22"/>
      <c r="B35" s="22"/>
      <c r="C35" s="276" t="s">
        <v>305</v>
      </c>
      <c r="D35" s="129" t="s">
        <v>432</v>
      </c>
      <c r="E35" s="129" t="s">
        <v>433</v>
      </c>
    </row>
    <row r="36" spans="1:5" ht="15">
      <c r="A36" s="183" t="str">
        <f>(inputPrYr!B38)</f>
        <v>Sewer-Cap Out Equip Res Fund</v>
      </c>
      <c r="B36" s="184"/>
      <c r="C36" s="244">
        <f>C5</f>
        <v>2010</v>
      </c>
      <c r="D36" s="244">
        <f>D5</f>
        <v>2011</v>
      </c>
      <c r="E36" s="244">
        <f>E5</f>
        <v>2012</v>
      </c>
    </row>
    <row r="37" spans="1:5" ht="15">
      <c r="A37" s="245" t="s">
        <v>408</v>
      </c>
      <c r="B37" s="246"/>
      <c r="C37" s="248">
        <v>13783</v>
      </c>
      <c r="D37" s="214">
        <f>C60</f>
        <v>14001</v>
      </c>
      <c r="E37" s="214">
        <f>D60</f>
        <v>9951</v>
      </c>
    </row>
    <row r="38" spans="1:5" ht="15">
      <c r="A38" s="245" t="s">
        <v>410</v>
      </c>
      <c r="B38" s="246"/>
      <c r="C38" s="250"/>
      <c r="D38" s="70"/>
      <c r="E38" s="70"/>
    </row>
    <row r="39" spans="1:5" ht="15">
      <c r="A39" s="266"/>
      <c r="B39" s="255"/>
      <c r="C39" s="248"/>
      <c r="D39" s="50"/>
      <c r="E39" s="50"/>
    </row>
    <row r="40" spans="1:5" ht="15">
      <c r="A40" s="266"/>
      <c r="B40" s="255"/>
      <c r="C40" s="248"/>
      <c r="D40" s="50"/>
      <c r="E40" s="50"/>
    </row>
    <row r="41" spans="1:5" ht="15">
      <c r="A41" s="266"/>
      <c r="B41" s="255"/>
      <c r="C41" s="248"/>
      <c r="D41" s="50"/>
      <c r="E41" s="50"/>
    </row>
    <row r="42" spans="1:5" ht="15">
      <c r="A42" s="266"/>
      <c r="B42" s="255"/>
      <c r="C42" s="248"/>
      <c r="D42" s="50"/>
      <c r="E42" s="50"/>
    </row>
    <row r="43" spans="1:5" ht="15">
      <c r="A43" s="256" t="s">
        <v>290</v>
      </c>
      <c r="B43" s="255"/>
      <c r="C43" s="248">
        <v>218</v>
      </c>
      <c r="D43" s="50"/>
      <c r="E43" s="50"/>
    </row>
    <row r="44" spans="1:5" ht="15">
      <c r="A44" s="144" t="s">
        <v>549</v>
      </c>
      <c r="B44" s="246"/>
      <c r="C44" s="248"/>
      <c r="D44" s="248"/>
      <c r="E44" s="248"/>
    </row>
    <row r="45" spans="1:5" ht="15">
      <c r="A45" s="245" t="s">
        <v>550</v>
      </c>
      <c r="B45" s="246"/>
      <c r="C45" s="296">
        <f>IF(C46*0.1&lt;C44,"Exceed 10% Rule","")</f>
      </c>
      <c r="D45" s="296">
        <f>IF(D46*0.1&lt;D44,"Exceed 10% Rule","")</f>
      </c>
      <c r="E45" s="296">
        <f>IF(E46*0.1&lt;E44,"Exceed 10% Rule","")</f>
      </c>
    </row>
    <row r="46" spans="1:5" ht="15">
      <c r="A46" s="258" t="s">
        <v>291</v>
      </c>
      <c r="B46" s="246"/>
      <c r="C46" s="305">
        <f>SUM(C39:C44)</f>
        <v>218</v>
      </c>
      <c r="D46" s="306">
        <f>SUM(D39:D44)</f>
        <v>0</v>
      </c>
      <c r="E46" s="306">
        <f>SUM(E39:E44)</f>
        <v>0</v>
      </c>
    </row>
    <row r="47" spans="1:5" ht="15">
      <c r="A47" s="258" t="s">
        <v>292</v>
      </c>
      <c r="B47" s="246"/>
      <c r="C47" s="305">
        <f>C37+C46</f>
        <v>14001</v>
      </c>
      <c r="D47" s="306">
        <f>D37+D46</f>
        <v>14001</v>
      </c>
      <c r="E47" s="306">
        <f>E37+E46</f>
        <v>9951</v>
      </c>
    </row>
    <row r="48" spans="1:5" ht="15">
      <c r="A48" s="135" t="s">
        <v>294</v>
      </c>
      <c r="B48" s="246"/>
      <c r="C48" s="102"/>
      <c r="D48" s="214"/>
      <c r="E48" s="214"/>
    </row>
    <row r="49" spans="1:5" ht="15">
      <c r="A49" s="266" t="s">
        <v>738</v>
      </c>
      <c r="B49" s="255"/>
      <c r="C49" s="248"/>
      <c r="D49" s="50">
        <v>4050</v>
      </c>
      <c r="E49" s="50">
        <v>8950</v>
      </c>
    </row>
    <row r="50" spans="1:5" ht="15">
      <c r="A50" s="266"/>
      <c r="B50" s="255"/>
      <c r="C50" s="248"/>
      <c r="D50" s="50"/>
      <c r="E50" s="50"/>
    </row>
    <row r="51" spans="1:5" ht="15">
      <c r="A51" s="266"/>
      <c r="B51" s="255"/>
      <c r="C51" s="248"/>
      <c r="D51" s="50"/>
      <c r="E51" s="50"/>
    </row>
    <row r="52" spans="1:5" ht="15">
      <c r="A52" s="266"/>
      <c r="B52" s="255"/>
      <c r="C52" s="248"/>
      <c r="D52" s="50"/>
      <c r="E52" s="50"/>
    </row>
    <row r="53" spans="1:5" ht="15">
      <c r="A53" s="266"/>
      <c r="B53" s="255"/>
      <c r="C53" s="248"/>
      <c r="D53" s="50"/>
      <c r="E53" s="50"/>
    </row>
    <row r="54" spans="1:5" ht="15">
      <c r="A54" s="266"/>
      <c r="B54" s="255"/>
      <c r="C54" s="248"/>
      <c r="D54" s="50"/>
      <c r="E54" s="50"/>
    </row>
    <row r="55" spans="1:5" ht="15">
      <c r="A55" s="266"/>
      <c r="B55" s="255"/>
      <c r="C55" s="248"/>
      <c r="D55" s="50"/>
      <c r="E55" s="50"/>
    </row>
    <row r="56" spans="1:5" ht="15">
      <c r="A56" s="266"/>
      <c r="B56" s="255"/>
      <c r="C56" s="248"/>
      <c r="D56" s="50"/>
      <c r="E56" s="50"/>
    </row>
    <row r="57" spans="1:5" ht="15">
      <c r="A57" s="267" t="s">
        <v>549</v>
      </c>
      <c r="B57" s="246"/>
      <c r="C57" s="248"/>
      <c r="D57" s="248"/>
      <c r="E57" s="248"/>
    </row>
    <row r="58" spans="1:5" ht="15">
      <c r="A58" s="267" t="s">
        <v>552</v>
      </c>
      <c r="B58" s="246"/>
      <c r="C58" s="296">
        <f>IF(C59*0.1&lt;C57,"Exceed 10% Rule","")</f>
      </c>
      <c r="D58" s="296">
        <f>IF(D59*0.1&lt;D57,"Exceed 10% Rule","")</f>
      </c>
      <c r="E58" s="296">
        <f>IF(E59*0.1&lt;E57,"Exceed 10% Rule","")</f>
      </c>
    </row>
    <row r="59" spans="1:5" ht="15">
      <c r="A59" s="258" t="s">
        <v>298</v>
      </c>
      <c r="B59" s="246"/>
      <c r="C59" s="305">
        <f>SUM(C49:C57)</f>
        <v>0</v>
      </c>
      <c r="D59" s="306">
        <f>SUM(D49:D57)</f>
        <v>4050</v>
      </c>
      <c r="E59" s="306">
        <f>SUM(E49:E57)</f>
        <v>8950</v>
      </c>
    </row>
    <row r="60" spans="1:5" ht="15">
      <c r="A60" s="135" t="s">
        <v>409</v>
      </c>
      <c r="B60" s="246"/>
      <c r="C60" s="102">
        <f>C47-C59</f>
        <v>14001</v>
      </c>
      <c r="D60" s="214">
        <f>D47-D59</f>
        <v>9951</v>
      </c>
      <c r="E60" s="214">
        <f>E47-E59</f>
        <v>1001</v>
      </c>
    </row>
    <row r="61" spans="1:5" ht="15">
      <c r="A61" s="123" t="str">
        <f>CONCATENATE("",E1-2,"/",E1-1," Budget Authority Amount:")</f>
        <v>2010/2011 Budget Authority Amount:</v>
      </c>
      <c r="B61" s="269"/>
      <c r="C61" s="269">
        <f>inputOth!B77</f>
        <v>0</v>
      </c>
      <c r="D61" s="269">
        <f>inputPrYr!D38</f>
        <v>4050</v>
      </c>
      <c r="E61" s="381">
        <f>IF(E60&lt;0,"See Tab E","")</f>
      </c>
    </row>
    <row r="62" spans="1:5" ht="15">
      <c r="A62" s="123"/>
      <c r="B62" s="271"/>
      <c r="C62" s="271">
        <f>IF(C59&gt;C61,"See Tab A","")</f>
      </c>
      <c r="D62" s="271">
        <f>IF(D59&gt;D61,"See Tab C","")</f>
      </c>
      <c r="E62" s="59"/>
    </row>
    <row r="63" spans="1:5" ht="15">
      <c r="A63" s="123"/>
      <c r="B63" s="271"/>
      <c r="C63" s="271">
        <f>IF(C60&lt;0,"See Tab B","")</f>
      </c>
      <c r="D63" s="271">
        <f>IF(D60&lt;0,"See Tab D","")</f>
      </c>
      <c r="E63" s="59"/>
    </row>
    <row r="64" spans="1:5" ht="15">
      <c r="A64" s="22"/>
      <c r="B64" s="22"/>
      <c r="C64" s="22"/>
      <c r="D64" s="22"/>
      <c r="E64" s="22"/>
    </row>
    <row r="65" spans="1:5" ht="15">
      <c r="A65" s="157"/>
      <c r="B65" s="157" t="s">
        <v>301</v>
      </c>
      <c r="C65" s="279">
        <v>11</v>
      </c>
      <c r="D65" s="22"/>
      <c r="E65" s="22"/>
    </row>
  </sheetData>
  <sheetProtection sheet="1" objects="1" scenarios="1"/>
  <conditionalFormatting sqref="C13">
    <cfRule type="cellIs" priority="3" dxfId="245" operator="greaterThan" stopIfTrue="1">
      <formula>$C$15*0.1</formula>
    </cfRule>
  </conditionalFormatting>
  <conditionalFormatting sqref="D13">
    <cfRule type="cellIs" priority="4" dxfId="245" operator="greaterThan" stopIfTrue="1">
      <formula>$D$15*0.1</formula>
    </cfRule>
  </conditionalFormatting>
  <conditionalFormatting sqref="E13">
    <cfRule type="cellIs" priority="5" dxfId="245" operator="greaterThan" stopIfTrue="1">
      <formula>$E$15*0.1</formula>
    </cfRule>
  </conditionalFormatting>
  <conditionalFormatting sqref="C26">
    <cfRule type="cellIs" priority="6" dxfId="245" operator="greaterThan" stopIfTrue="1">
      <formula>$C$28*0.1</formula>
    </cfRule>
  </conditionalFormatting>
  <conditionalFormatting sqref="D26">
    <cfRule type="cellIs" priority="7" dxfId="245" operator="greaterThan" stopIfTrue="1">
      <formula>$D$28*0.1</formula>
    </cfRule>
  </conditionalFormatting>
  <conditionalFormatting sqref="E26">
    <cfRule type="cellIs" priority="8" dxfId="245" operator="greaterThan" stopIfTrue="1">
      <formula>$E$28*0.1</formula>
    </cfRule>
  </conditionalFormatting>
  <conditionalFormatting sqref="C44">
    <cfRule type="cellIs" priority="9" dxfId="245" operator="greaterThan" stopIfTrue="1">
      <formula>$C$46*0.1</formula>
    </cfRule>
  </conditionalFormatting>
  <conditionalFormatting sqref="D44">
    <cfRule type="cellIs" priority="10" dxfId="245" operator="greaterThan" stopIfTrue="1">
      <formula>$D$46*0.1</formula>
    </cfRule>
  </conditionalFormatting>
  <conditionalFormatting sqref="E44">
    <cfRule type="cellIs" priority="11" dxfId="245" operator="greaterThan" stopIfTrue="1">
      <formula>$E$46*0.1</formula>
    </cfRule>
  </conditionalFormatting>
  <conditionalFormatting sqref="C57">
    <cfRule type="cellIs" priority="12" dxfId="245" operator="greaterThan" stopIfTrue="1">
      <formula>$C$59*0.1</formula>
    </cfRule>
  </conditionalFormatting>
  <conditionalFormatting sqref="D57">
    <cfRule type="cellIs" priority="13" dxfId="245" operator="greaterThan" stopIfTrue="1">
      <formula>$D$59*0.1</formula>
    </cfRule>
  </conditionalFormatting>
  <conditionalFormatting sqref="E57">
    <cfRule type="cellIs" priority="14" dxfId="245"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1">
      <selection activeCell="F1" sqref="F1"/>
    </sheetView>
  </sheetViews>
  <sheetFormatPr defaultColWidth="8.8984375" defaultRowHeight="15"/>
  <cols>
    <col min="1" max="1" width="28.69921875" style="23" customWidth="1"/>
    <col min="2" max="2" width="9.59765625" style="23" customWidth="1"/>
    <col min="3" max="4" width="15.69921875" style="23" customWidth="1"/>
    <col min="5" max="5" width="16.296875" style="23" customWidth="1"/>
    <col min="6" max="16384" width="8.8984375" style="23" customWidth="1"/>
  </cols>
  <sheetData>
    <row r="1" spans="1:5" ht="15">
      <c r="A1" s="162" t="str">
        <f>(inputPrYr!D2)</f>
        <v>CITY OF BURR OAK</v>
      </c>
      <c r="B1" s="162"/>
      <c r="C1" s="22"/>
      <c r="D1" s="22"/>
      <c r="E1" s="233">
        <f>inputPrYr!C5</f>
        <v>2012</v>
      </c>
    </row>
    <row r="2" spans="1:5" ht="15">
      <c r="A2" s="22"/>
      <c r="B2" s="22"/>
      <c r="C2" s="22"/>
      <c r="D2" s="22"/>
      <c r="E2" s="157"/>
    </row>
    <row r="3" spans="1:5" ht="15">
      <c r="A3" s="41" t="s">
        <v>354</v>
      </c>
      <c r="B3" s="41"/>
      <c r="C3" s="304"/>
      <c r="D3" s="304"/>
      <c r="E3" s="304"/>
    </row>
    <row r="4" spans="1:5" ht="15">
      <c r="A4" s="29" t="s">
        <v>285</v>
      </c>
      <c r="B4" s="29"/>
      <c r="C4" s="276" t="s">
        <v>305</v>
      </c>
      <c r="D4" s="129" t="s">
        <v>432</v>
      </c>
      <c r="E4" s="129" t="s">
        <v>433</v>
      </c>
    </row>
    <row r="5" spans="1:5" ht="15">
      <c r="A5" s="184" t="str">
        <f>inputPrYr!B39</f>
        <v>Sp Bldg Cap Out-Res Fund</v>
      </c>
      <c r="B5" s="184"/>
      <c r="C5" s="244">
        <f>E1-2</f>
        <v>2010</v>
      </c>
      <c r="D5" s="244">
        <f>E1-1</f>
        <v>2011</v>
      </c>
      <c r="E5" s="244">
        <f>E1</f>
        <v>2012</v>
      </c>
    </row>
    <row r="6" spans="1:5" ht="15">
      <c r="A6" s="245" t="s">
        <v>408</v>
      </c>
      <c r="B6" s="246"/>
      <c r="C6" s="248">
        <v>10315</v>
      </c>
      <c r="D6" s="214">
        <f>C29</f>
        <v>10430</v>
      </c>
      <c r="E6" s="214">
        <f>D29</f>
        <v>10430</v>
      </c>
    </row>
    <row r="7" spans="1:5" ht="15">
      <c r="A7" s="249" t="s">
        <v>410</v>
      </c>
      <c r="B7" s="246"/>
      <c r="C7" s="250"/>
      <c r="D7" s="70"/>
      <c r="E7" s="70"/>
    </row>
    <row r="8" spans="1:5" ht="15">
      <c r="A8" s="266"/>
      <c r="B8" s="255"/>
      <c r="C8" s="248"/>
      <c r="D8" s="50"/>
      <c r="E8" s="50"/>
    </row>
    <row r="9" spans="1:5" ht="15">
      <c r="A9" s="266"/>
      <c r="B9" s="255"/>
      <c r="C9" s="248"/>
      <c r="D9" s="50"/>
      <c r="E9" s="50"/>
    </row>
    <row r="10" spans="1:5" ht="15">
      <c r="A10" s="266"/>
      <c r="B10" s="255"/>
      <c r="C10" s="248"/>
      <c r="D10" s="50"/>
      <c r="E10" s="50"/>
    </row>
    <row r="11" spans="1:5" ht="15">
      <c r="A11" s="266"/>
      <c r="B11" s="255"/>
      <c r="C11" s="248"/>
      <c r="D11" s="50"/>
      <c r="E11" s="50"/>
    </row>
    <row r="12" spans="1:5" ht="15">
      <c r="A12" s="256" t="s">
        <v>290</v>
      </c>
      <c r="B12" s="255"/>
      <c r="C12" s="248">
        <v>115</v>
      </c>
      <c r="D12" s="50"/>
      <c r="E12" s="50"/>
    </row>
    <row r="13" spans="1:5" ht="15">
      <c r="A13" s="144" t="s">
        <v>549</v>
      </c>
      <c r="B13" s="246"/>
      <c r="C13" s="248"/>
      <c r="D13" s="248"/>
      <c r="E13" s="248"/>
    </row>
    <row r="14" spans="1:5" ht="15">
      <c r="A14" s="245" t="s">
        <v>550</v>
      </c>
      <c r="B14" s="246"/>
      <c r="C14" s="296">
        <f>IF(C15*0.1&lt;C13,"Exceed 10% Rule","")</f>
      </c>
      <c r="D14" s="296">
        <f>IF(D15*0.1&lt;D13,"Exceed 10% Rule","")</f>
      </c>
      <c r="E14" s="296">
        <f>IF(E15*0.1&lt;E13,"Exceed 10% Rule","")</f>
      </c>
    </row>
    <row r="15" spans="1:5" ht="15">
      <c r="A15" s="258" t="s">
        <v>291</v>
      </c>
      <c r="B15" s="246"/>
      <c r="C15" s="305">
        <f>SUM(C8:C13)</f>
        <v>115</v>
      </c>
      <c r="D15" s="306">
        <f>SUM(D8:D13)</f>
        <v>0</v>
      </c>
      <c r="E15" s="306">
        <f>SUM(E8:E13)</f>
        <v>0</v>
      </c>
    </row>
    <row r="16" spans="1:5" ht="15">
      <c r="A16" s="258" t="s">
        <v>292</v>
      </c>
      <c r="B16" s="246"/>
      <c r="C16" s="305">
        <f>C6+C15</f>
        <v>10430</v>
      </c>
      <c r="D16" s="306">
        <f>D6+D15</f>
        <v>10430</v>
      </c>
      <c r="E16" s="306">
        <f>E6+E15</f>
        <v>10430</v>
      </c>
    </row>
    <row r="17" spans="1:5" ht="15">
      <c r="A17" s="135" t="s">
        <v>294</v>
      </c>
      <c r="B17" s="246"/>
      <c r="C17" s="102"/>
      <c r="D17" s="214"/>
      <c r="E17" s="214"/>
    </row>
    <row r="18" spans="1:5" ht="15">
      <c r="A18" s="266" t="s">
        <v>739</v>
      </c>
      <c r="B18" s="255"/>
      <c r="C18" s="248"/>
      <c r="D18" s="50"/>
      <c r="E18" s="50">
        <v>10430</v>
      </c>
    </row>
    <row r="19" spans="1:5" ht="15">
      <c r="A19" s="266"/>
      <c r="B19" s="255"/>
      <c r="C19" s="248"/>
      <c r="D19" s="50"/>
      <c r="E19" s="50"/>
    </row>
    <row r="20" spans="1:5" ht="15">
      <c r="A20" s="266"/>
      <c r="B20" s="255"/>
      <c r="C20" s="248"/>
      <c r="D20" s="50"/>
      <c r="E20" s="50"/>
    </row>
    <row r="21" spans="1:5" ht="15">
      <c r="A21" s="266"/>
      <c r="B21" s="255"/>
      <c r="C21" s="248"/>
      <c r="D21" s="50"/>
      <c r="E21" s="50"/>
    </row>
    <row r="22" spans="1:5" ht="15">
      <c r="A22" s="266"/>
      <c r="B22" s="255"/>
      <c r="C22" s="248"/>
      <c r="D22" s="50"/>
      <c r="E22" s="50"/>
    </row>
    <row r="23" spans="1:5" ht="15">
      <c r="A23" s="266"/>
      <c r="B23" s="255"/>
      <c r="C23" s="248"/>
      <c r="D23" s="50"/>
      <c r="E23" s="50"/>
    </row>
    <row r="24" spans="1:5" ht="15">
      <c r="A24" s="266"/>
      <c r="B24" s="255"/>
      <c r="C24" s="248"/>
      <c r="D24" s="50"/>
      <c r="E24" s="50"/>
    </row>
    <row r="25" spans="1:5" ht="15">
      <c r="A25" s="266"/>
      <c r="B25" s="255"/>
      <c r="C25" s="248"/>
      <c r="D25" s="50"/>
      <c r="E25" s="50"/>
    </row>
    <row r="26" spans="1:5" ht="15">
      <c r="A26" s="267" t="s">
        <v>549</v>
      </c>
      <c r="B26" s="246"/>
      <c r="C26" s="248"/>
      <c r="D26" s="248"/>
      <c r="E26" s="248"/>
    </row>
    <row r="27" spans="1:5" ht="15">
      <c r="A27" s="267" t="s">
        <v>552</v>
      </c>
      <c r="B27" s="246"/>
      <c r="C27" s="296">
        <f>IF(C28*0.1&lt;C26,"Exceed 10% Rule","")</f>
      </c>
      <c r="D27" s="296">
        <f>IF(D28*0.1&lt;D26,"Exceed 10% Rule","")</f>
      </c>
      <c r="E27" s="296">
        <f>IF(E28*0.1&lt;E26,"Exceed 10% Rule","")</f>
      </c>
    </row>
    <row r="28" spans="1:5" ht="15">
      <c r="A28" s="258" t="s">
        <v>298</v>
      </c>
      <c r="B28" s="246"/>
      <c r="C28" s="305">
        <f>SUM(C18:C26)</f>
        <v>0</v>
      </c>
      <c r="D28" s="306">
        <f>SUM(D18:D26)</f>
        <v>0</v>
      </c>
      <c r="E28" s="306">
        <f>SUM(E18:E26)</f>
        <v>10430</v>
      </c>
    </row>
    <row r="29" spans="1:5" ht="15">
      <c r="A29" s="135" t="s">
        <v>409</v>
      </c>
      <c r="B29" s="246"/>
      <c r="C29" s="102">
        <f>C16-C28</f>
        <v>10430</v>
      </c>
      <c r="D29" s="214">
        <f>D16-D28</f>
        <v>10430</v>
      </c>
      <c r="E29" s="214">
        <f>E16-E28</f>
        <v>0</v>
      </c>
    </row>
    <row r="30" spans="1:5" ht="15">
      <c r="A30" s="123" t="str">
        <f>CONCATENATE("",E1-2,"/",E1-1," Budget Authority Amount:")</f>
        <v>2010/2011 Budget Authority Amount:</v>
      </c>
      <c r="B30" s="269"/>
      <c r="C30" s="269">
        <f>inputOth!B78</f>
        <v>10617</v>
      </c>
      <c r="D30" s="269">
        <f>inputPrYr!D39</f>
        <v>0</v>
      </c>
      <c r="E30" s="381">
        <f>IF(E29&lt;0,"See Tab E","")</f>
      </c>
    </row>
    <row r="31" spans="1:5" ht="15">
      <c r="A31" s="123"/>
      <c r="B31" s="271"/>
      <c r="C31" s="271">
        <f>IF(C28&gt;C30,"See Tab A","")</f>
      </c>
      <c r="D31" s="271">
        <f>IF(D28&gt;D30,"See Tab C","")</f>
      </c>
      <c r="E31" s="59"/>
    </row>
    <row r="32" spans="1:5" ht="15">
      <c r="A32" s="123"/>
      <c r="B32" s="271"/>
      <c r="C32" s="271">
        <f>IF(C29&lt;0,"See Tab B","")</f>
      </c>
      <c r="D32" s="271">
        <f>IF(D29&lt;0,"See Tab D","")</f>
      </c>
      <c r="E32" s="59"/>
    </row>
    <row r="33" spans="1:5" ht="15">
      <c r="A33" s="63"/>
      <c r="B33" s="312"/>
      <c r="C33" s="59"/>
      <c r="D33" s="59"/>
      <c r="E33" s="59"/>
    </row>
    <row r="34" spans="1:5" ht="15">
      <c r="A34" s="22"/>
      <c r="B34" s="61"/>
      <c r="C34" s="51"/>
      <c r="D34" s="51"/>
      <c r="E34" s="51"/>
    </row>
    <row r="35" spans="1:5" ht="15">
      <c r="A35" s="29" t="s">
        <v>285</v>
      </c>
      <c r="B35" s="63"/>
      <c r="C35" s="311"/>
      <c r="D35" s="311"/>
      <c r="E35" s="311"/>
    </row>
    <row r="36" spans="1:5" ht="15">
      <c r="A36" s="22"/>
      <c r="B36" s="61"/>
      <c r="C36" s="276" t="s">
        <v>305</v>
      </c>
      <c r="D36" s="129" t="s">
        <v>432</v>
      </c>
      <c r="E36" s="129" t="s">
        <v>433</v>
      </c>
    </row>
    <row r="37" spans="1:5" ht="15">
      <c r="A37" s="183">
        <f>inputPrYr!B40</f>
        <v>0</v>
      </c>
      <c r="B37" s="184"/>
      <c r="C37" s="244">
        <f>C5</f>
        <v>2010</v>
      </c>
      <c r="D37" s="244">
        <f>D5</f>
        <v>2011</v>
      </c>
      <c r="E37" s="244">
        <f>E5</f>
        <v>2012</v>
      </c>
    </row>
    <row r="38" spans="1:5" ht="15">
      <c r="A38" s="245" t="s">
        <v>408</v>
      </c>
      <c r="B38" s="246"/>
      <c r="C38" s="248"/>
      <c r="D38" s="214">
        <f>C61</f>
        <v>0</v>
      </c>
      <c r="E38" s="214">
        <f>D61</f>
        <v>0</v>
      </c>
    </row>
    <row r="39" spans="1:5" ht="15">
      <c r="A39" s="245" t="s">
        <v>410</v>
      </c>
      <c r="B39" s="246"/>
      <c r="C39" s="250"/>
      <c r="D39" s="70"/>
      <c r="E39" s="70"/>
    </row>
    <row r="40" spans="1:5" ht="15">
      <c r="A40" s="266"/>
      <c r="B40" s="255"/>
      <c r="C40" s="248"/>
      <c r="D40" s="50"/>
      <c r="E40" s="50"/>
    </row>
    <row r="41" spans="1:5" ht="15">
      <c r="A41" s="266"/>
      <c r="B41" s="255"/>
      <c r="C41" s="248"/>
      <c r="D41" s="50"/>
      <c r="E41" s="50"/>
    </row>
    <row r="42" spans="1:5" ht="15">
      <c r="A42" s="266"/>
      <c r="B42" s="255"/>
      <c r="C42" s="248"/>
      <c r="D42" s="50"/>
      <c r="E42" s="50"/>
    </row>
    <row r="43" spans="1:5" ht="15">
      <c r="A43" s="266"/>
      <c r="B43" s="255"/>
      <c r="C43" s="248"/>
      <c r="D43" s="50"/>
      <c r="E43" s="50"/>
    </row>
    <row r="44" spans="1:5" ht="15">
      <c r="A44" s="256" t="s">
        <v>290</v>
      </c>
      <c r="B44" s="255"/>
      <c r="C44" s="248"/>
      <c r="D44" s="50"/>
      <c r="E44" s="50"/>
    </row>
    <row r="45" spans="1:5" ht="15">
      <c r="A45" s="144" t="s">
        <v>549</v>
      </c>
      <c r="B45" s="246"/>
      <c r="C45" s="248"/>
      <c r="D45" s="248"/>
      <c r="E45" s="248"/>
    </row>
    <row r="46" spans="1:5" ht="15">
      <c r="A46" s="245" t="s">
        <v>550</v>
      </c>
      <c r="B46" s="246"/>
      <c r="C46" s="296">
        <f>IF(C47*0.1&lt;C45,"Exceed 10% Rule","")</f>
      </c>
      <c r="D46" s="296">
        <f>IF(D47*0.1&lt;D45,"Exceed 10% Rule","")</f>
      </c>
      <c r="E46" s="296">
        <f>IF(E47*0.1&lt;E45,"Exceed 10% Rule","")</f>
      </c>
    </row>
    <row r="47" spans="1:5" ht="15">
      <c r="A47" s="258" t="s">
        <v>291</v>
      </c>
      <c r="B47" s="246"/>
      <c r="C47" s="305">
        <f>SUM(C40:C45)</f>
        <v>0</v>
      </c>
      <c r="D47" s="306">
        <f>SUM(D40:D45)</f>
        <v>0</v>
      </c>
      <c r="E47" s="306">
        <f>SUM(E40:E45)</f>
        <v>0</v>
      </c>
    </row>
    <row r="48" spans="1:5" ht="15">
      <c r="A48" s="258" t="s">
        <v>292</v>
      </c>
      <c r="B48" s="246"/>
      <c r="C48" s="305">
        <f>C38+C47</f>
        <v>0</v>
      </c>
      <c r="D48" s="306">
        <f>D38+D47</f>
        <v>0</v>
      </c>
      <c r="E48" s="306">
        <f>E38+E47</f>
        <v>0</v>
      </c>
    </row>
    <row r="49" spans="1:5" ht="15">
      <c r="A49" s="135" t="s">
        <v>294</v>
      </c>
      <c r="B49" s="246"/>
      <c r="C49" s="102"/>
      <c r="D49" s="214"/>
      <c r="E49" s="214"/>
    </row>
    <row r="50" spans="1:5" ht="15">
      <c r="A50" s="266"/>
      <c r="B50" s="255"/>
      <c r="C50" s="248"/>
      <c r="D50" s="50"/>
      <c r="E50" s="50"/>
    </row>
    <row r="51" spans="1:5" ht="15">
      <c r="A51" s="266"/>
      <c r="B51" s="255"/>
      <c r="C51" s="248"/>
      <c r="D51" s="50"/>
      <c r="E51" s="50"/>
    </row>
    <row r="52" spans="1:5" ht="15">
      <c r="A52" s="266"/>
      <c r="B52" s="255"/>
      <c r="C52" s="248"/>
      <c r="D52" s="50"/>
      <c r="E52" s="50"/>
    </row>
    <row r="53" spans="1:5" ht="15">
      <c r="A53" s="266"/>
      <c r="B53" s="255"/>
      <c r="C53" s="248"/>
      <c r="D53" s="50"/>
      <c r="E53" s="50"/>
    </row>
    <row r="54" spans="1:5" ht="15">
      <c r="A54" s="266"/>
      <c r="B54" s="255"/>
      <c r="C54" s="248"/>
      <c r="D54" s="50"/>
      <c r="E54" s="50"/>
    </row>
    <row r="55" spans="1:5" ht="15">
      <c r="A55" s="266"/>
      <c r="B55" s="255"/>
      <c r="C55" s="248"/>
      <c r="D55" s="50"/>
      <c r="E55" s="50"/>
    </row>
    <row r="56" spans="1:5" ht="15">
      <c r="A56" s="266"/>
      <c r="B56" s="255"/>
      <c r="C56" s="248"/>
      <c r="D56" s="50"/>
      <c r="E56" s="50"/>
    </row>
    <row r="57" spans="1:5" ht="15">
      <c r="A57" s="266"/>
      <c r="B57" s="255"/>
      <c r="C57" s="248"/>
      <c r="D57" s="50"/>
      <c r="E57" s="50"/>
    </row>
    <row r="58" spans="1:5" ht="15">
      <c r="A58" s="267" t="s">
        <v>549</v>
      </c>
      <c r="B58" s="246"/>
      <c r="C58" s="248"/>
      <c r="D58" s="248"/>
      <c r="E58" s="248"/>
    </row>
    <row r="59" spans="1:5" ht="15">
      <c r="A59" s="267" t="s">
        <v>552</v>
      </c>
      <c r="B59" s="246"/>
      <c r="C59" s="296">
        <f>IF(C60*0.1&lt;C58,"Exceed 10% Rule","")</f>
      </c>
      <c r="D59" s="296">
        <f>IF(D60*0.1&lt;D58,"Exceed 10% Rule","")</f>
      </c>
      <c r="E59" s="296">
        <f>IF(E60*0.1&lt;E58,"Exceed 10% Rule","")</f>
      </c>
    </row>
    <row r="60" spans="1:5" ht="15">
      <c r="A60" s="258" t="s">
        <v>298</v>
      </c>
      <c r="B60" s="246"/>
      <c r="C60" s="305">
        <f>SUM(C50:C58)</f>
        <v>0</v>
      </c>
      <c r="D60" s="306">
        <f>SUM(D50:D58)</f>
        <v>0</v>
      </c>
      <c r="E60" s="306">
        <f>SUM(E50:E58)</f>
        <v>0</v>
      </c>
    </row>
    <row r="61" spans="1:5" ht="15">
      <c r="A61" s="135" t="s">
        <v>409</v>
      </c>
      <c r="B61" s="246"/>
      <c r="C61" s="102">
        <f>C48-C60</f>
        <v>0</v>
      </c>
      <c r="D61" s="214">
        <f>D48-D60</f>
        <v>0</v>
      </c>
      <c r="E61" s="214">
        <f>E48-E60</f>
        <v>0</v>
      </c>
    </row>
    <row r="62" spans="1:5" ht="15">
      <c r="A62" s="123" t="str">
        <f>CONCATENATE("",E1-2,"/",E1-1," Budget Authority Amount:")</f>
        <v>2010/2011 Budget Authority Amount:</v>
      </c>
      <c r="B62" s="269"/>
      <c r="C62" s="269">
        <f>inputOth!B79</f>
        <v>0</v>
      </c>
      <c r="D62" s="269">
        <f>inputPrYr!D40</f>
        <v>0</v>
      </c>
      <c r="E62" s="381">
        <f>IF(E61&lt;0,"See Tab E","")</f>
      </c>
    </row>
    <row r="63" spans="1:5" ht="15">
      <c r="A63" s="123"/>
      <c r="B63" s="271"/>
      <c r="C63" s="271">
        <f>IF(C60&gt;C62,"See Tab A","")</f>
      </c>
      <c r="D63" s="271">
        <f>IF(D60&gt;D62,"See Tab C","")</f>
      </c>
      <c r="E63" s="59"/>
    </row>
    <row r="64" spans="1:5" ht="15">
      <c r="A64" s="123"/>
      <c r="B64" s="271"/>
      <c r="C64" s="271">
        <f>IF(C61&lt;0,"See Tab B","")</f>
      </c>
      <c r="D64" s="271">
        <f>IF(D61&lt;0,"See Tab D","")</f>
      </c>
      <c r="E64" s="59"/>
    </row>
    <row r="65" spans="1:5" ht="15">
      <c r="A65" s="22"/>
      <c r="B65" s="22"/>
      <c r="C65" s="22"/>
      <c r="D65" s="22"/>
      <c r="E65" s="22"/>
    </row>
    <row r="66" spans="1:5" ht="15">
      <c r="A66" s="157"/>
      <c r="B66" s="157" t="s">
        <v>301</v>
      </c>
      <c r="C66" s="279">
        <v>12</v>
      </c>
      <c r="D66" s="22"/>
      <c r="E66" s="22"/>
    </row>
  </sheetData>
  <sheetProtection sheet="1" objects="1" scenarios="1"/>
  <conditionalFormatting sqref="C13">
    <cfRule type="cellIs" priority="3" dxfId="245" operator="greaterThan" stopIfTrue="1">
      <formula>$C$15*0.1</formula>
    </cfRule>
  </conditionalFormatting>
  <conditionalFormatting sqref="D13">
    <cfRule type="cellIs" priority="4" dxfId="245" operator="greaterThan" stopIfTrue="1">
      <formula>$D$15*0.1</formula>
    </cfRule>
  </conditionalFormatting>
  <conditionalFormatting sqref="E13">
    <cfRule type="cellIs" priority="5" dxfId="245" operator="greaterThan" stopIfTrue="1">
      <formula>$E$15*0.1</formula>
    </cfRule>
  </conditionalFormatting>
  <conditionalFormatting sqref="C26">
    <cfRule type="cellIs" priority="6" dxfId="245" operator="greaterThan" stopIfTrue="1">
      <formula>$C$28*0.1</formula>
    </cfRule>
  </conditionalFormatting>
  <conditionalFormatting sqref="D26">
    <cfRule type="cellIs" priority="7" dxfId="245" operator="greaterThan" stopIfTrue="1">
      <formula>$D$28*0.1</formula>
    </cfRule>
  </conditionalFormatting>
  <conditionalFormatting sqref="E26">
    <cfRule type="cellIs" priority="8" dxfId="245" operator="greaterThan" stopIfTrue="1">
      <formula>$E$28*0.1</formula>
    </cfRule>
  </conditionalFormatting>
  <conditionalFormatting sqref="C45">
    <cfRule type="cellIs" priority="9" dxfId="245" operator="greaterThan" stopIfTrue="1">
      <formula>$C$47*0.1</formula>
    </cfRule>
  </conditionalFormatting>
  <conditionalFormatting sqref="D45">
    <cfRule type="cellIs" priority="10" dxfId="245" operator="greaterThan" stopIfTrue="1">
      <formula>$D$47*0.1</formula>
    </cfRule>
  </conditionalFormatting>
  <conditionalFormatting sqref="E45">
    <cfRule type="cellIs" priority="11" dxfId="245" operator="greaterThan" stopIfTrue="1">
      <formula>$E$47*0.1</formula>
    </cfRule>
  </conditionalFormatting>
  <conditionalFormatting sqref="C58">
    <cfRule type="cellIs" priority="12" dxfId="245" operator="greaterThan" stopIfTrue="1">
      <formula>$C$60*0.1</formula>
    </cfRule>
  </conditionalFormatting>
  <conditionalFormatting sqref="D58">
    <cfRule type="cellIs" priority="13" dxfId="245" operator="greaterThan" stopIfTrue="1">
      <formula>$D$60*0.1</formula>
    </cfRule>
  </conditionalFormatting>
  <conditionalFormatting sqref="E58">
    <cfRule type="cellIs" priority="14" dxfId="245"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F1" sqref="F1"/>
    </sheetView>
  </sheetViews>
  <sheetFormatPr defaultColWidth="8.8984375" defaultRowHeight="15"/>
  <cols>
    <col min="1" max="1" width="30.59765625" style="85" customWidth="1"/>
    <col min="2" max="2" width="9.59765625" style="85" customWidth="1"/>
    <col min="3" max="4" width="15.69921875" style="85" customWidth="1"/>
    <col min="5" max="5" width="16.09765625" style="85" customWidth="1"/>
    <col min="6" max="16384" width="8.8984375" style="85" customWidth="1"/>
  </cols>
  <sheetData>
    <row r="1" spans="1:5" ht="15">
      <c r="A1" s="162" t="str">
        <f>inputPrYr!D2</f>
        <v>CITY OF BURR OAK</v>
      </c>
      <c r="B1" s="162"/>
      <c r="C1" s="22"/>
      <c r="D1" s="22"/>
      <c r="E1" s="206">
        <f>inputPrYr!$C$5</f>
        <v>2012</v>
      </c>
    </row>
    <row r="2" spans="1:5" ht="15">
      <c r="A2" s="22"/>
      <c r="B2" s="22"/>
      <c r="C2" s="22"/>
      <c r="D2" s="22"/>
      <c r="E2" s="157"/>
    </row>
    <row r="3" spans="1:5" ht="15">
      <c r="A3" s="41" t="s">
        <v>354</v>
      </c>
      <c r="B3" s="41"/>
      <c r="C3" s="313"/>
      <c r="D3" s="313"/>
      <c r="E3" s="314"/>
    </row>
    <row r="4" spans="1:5" ht="15">
      <c r="A4" s="29" t="s">
        <v>285</v>
      </c>
      <c r="B4" s="29"/>
      <c r="C4" s="276" t="s">
        <v>305</v>
      </c>
      <c r="D4" s="129" t="s">
        <v>432</v>
      </c>
      <c r="E4" s="129" t="s">
        <v>433</v>
      </c>
    </row>
    <row r="5" spans="1:5" ht="15">
      <c r="A5" s="184">
        <f>inputPrYr!B42</f>
        <v>0</v>
      </c>
      <c r="B5" s="184"/>
      <c r="C5" s="191">
        <f>E1-2</f>
        <v>2010</v>
      </c>
      <c r="D5" s="191">
        <f>E1-1</f>
        <v>2011</v>
      </c>
      <c r="E5" s="191">
        <f>E1</f>
        <v>2012</v>
      </c>
    </row>
    <row r="6" spans="1:5" ht="15">
      <c r="A6" s="135" t="s">
        <v>408</v>
      </c>
      <c r="B6" s="285"/>
      <c r="C6" s="248"/>
      <c r="D6" s="214">
        <f>C48</f>
        <v>0</v>
      </c>
      <c r="E6" s="214">
        <f>D48</f>
        <v>0</v>
      </c>
    </row>
    <row r="7" spans="1:5" ht="15">
      <c r="A7" s="135" t="s">
        <v>410</v>
      </c>
      <c r="B7" s="285"/>
      <c r="C7" s="250"/>
      <c r="D7" s="70"/>
      <c r="E7" s="70"/>
    </row>
    <row r="8" spans="1:5" ht="15">
      <c r="A8" s="310"/>
      <c r="B8" s="293"/>
      <c r="C8" s="252"/>
      <c r="D8" s="254"/>
      <c r="E8" s="254"/>
    </row>
    <row r="9" spans="1:5" ht="15">
      <c r="A9" s="266"/>
      <c r="B9" s="293"/>
      <c r="C9" s="252"/>
      <c r="D9" s="254"/>
      <c r="E9" s="254"/>
    </row>
    <row r="10" spans="1:5" ht="15">
      <c r="A10" s="266"/>
      <c r="B10" s="293"/>
      <c r="C10" s="252"/>
      <c r="D10" s="254"/>
      <c r="E10" s="254"/>
    </row>
    <row r="11" spans="1:5" ht="15">
      <c r="A11" s="266"/>
      <c r="B11" s="293"/>
      <c r="C11" s="252"/>
      <c r="D11" s="254"/>
      <c r="E11" s="254"/>
    </row>
    <row r="12" spans="1:5" ht="15">
      <c r="A12" s="266"/>
      <c r="B12" s="293"/>
      <c r="C12" s="252"/>
      <c r="D12" s="254"/>
      <c r="E12" s="254"/>
    </row>
    <row r="13" spans="1:5" ht="15">
      <c r="A13" s="266"/>
      <c r="B13" s="293"/>
      <c r="C13" s="252"/>
      <c r="D13" s="254"/>
      <c r="E13" s="254"/>
    </row>
    <row r="14" spans="1:5" ht="15">
      <c r="A14" s="309"/>
      <c r="B14" s="293"/>
      <c r="C14" s="315"/>
      <c r="D14" s="90"/>
      <c r="E14" s="90"/>
    </row>
    <row r="15" spans="1:5" ht="15">
      <c r="A15" s="266"/>
      <c r="B15" s="293"/>
      <c r="C15" s="252"/>
      <c r="D15" s="254"/>
      <c r="E15" s="254"/>
    </row>
    <row r="16" spans="1:5" ht="15">
      <c r="A16" s="316" t="s">
        <v>290</v>
      </c>
      <c r="B16" s="293"/>
      <c r="C16" s="252"/>
      <c r="D16" s="254"/>
      <c r="E16" s="254"/>
    </row>
    <row r="17" spans="1:5" ht="15">
      <c r="A17" s="144" t="s">
        <v>549</v>
      </c>
      <c r="B17" s="246"/>
      <c r="C17" s="252"/>
      <c r="D17" s="252"/>
      <c r="E17" s="252"/>
    </row>
    <row r="18" spans="1:5" ht="15">
      <c r="A18" s="245" t="s">
        <v>550</v>
      </c>
      <c r="B18" s="246"/>
      <c r="C18" s="296">
        <f>IF(C19*0.1&lt;C17,"Exceed 10% Rule","")</f>
      </c>
      <c r="D18" s="296">
        <f>IF(D19*0.1&lt;D17,"Exceed 10% Rule","")</f>
      </c>
      <c r="E18" s="296">
        <f>IF(E19*0.1&lt;E17,"Exceed 10% Rule","")</f>
      </c>
    </row>
    <row r="19" spans="1:5" ht="15">
      <c r="A19" s="258" t="s">
        <v>291</v>
      </c>
      <c r="B19" s="285"/>
      <c r="C19" s="317">
        <f>SUM(C8:C17)</f>
        <v>0</v>
      </c>
      <c r="D19" s="318">
        <f>SUM(D8:D17)</f>
        <v>0</v>
      </c>
      <c r="E19" s="318">
        <f>SUM(E8:E17)</f>
        <v>0</v>
      </c>
    </row>
    <row r="20" spans="1:5" ht="15">
      <c r="A20" s="258" t="s">
        <v>292</v>
      </c>
      <c r="B20" s="285"/>
      <c r="C20" s="305">
        <f>C6+C19</f>
        <v>0</v>
      </c>
      <c r="D20" s="306">
        <f>D6+D19</f>
        <v>0</v>
      </c>
      <c r="E20" s="306">
        <f>E6+E19</f>
        <v>0</v>
      </c>
    </row>
    <row r="21" spans="1:5" ht="15">
      <c r="A21" s="135" t="s">
        <v>294</v>
      </c>
      <c r="B21" s="285"/>
      <c r="C21" s="250"/>
      <c r="D21" s="70"/>
      <c r="E21" s="70"/>
    </row>
    <row r="22" spans="1:5" ht="15">
      <c r="A22" s="266" t="s">
        <v>452</v>
      </c>
      <c r="B22" s="293"/>
      <c r="C22" s="252"/>
      <c r="D22" s="254"/>
      <c r="E22" s="254"/>
    </row>
    <row r="23" spans="1:5" ht="15">
      <c r="A23" s="266" t="s">
        <v>562</v>
      </c>
      <c r="B23" s="293"/>
      <c r="C23" s="252"/>
      <c r="D23" s="254"/>
      <c r="E23" s="254"/>
    </row>
    <row r="24" spans="1:5" ht="15">
      <c r="A24" s="266"/>
      <c r="B24" s="293"/>
      <c r="C24" s="315"/>
      <c r="D24" s="90"/>
      <c r="E24" s="90"/>
    </row>
    <row r="25" spans="1:5" ht="15">
      <c r="A25" s="266"/>
      <c r="B25" s="293"/>
      <c r="C25" s="315"/>
      <c r="D25" s="90"/>
      <c r="E25" s="90"/>
    </row>
    <row r="26" spans="1:5" ht="15">
      <c r="A26" s="266"/>
      <c r="B26" s="293"/>
      <c r="C26" s="315"/>
      <c r="D26" s="90"/>
      <c r="E26" s="90"/>
    </row>
    <row r="27" spans="1:5" ht="15">
      <c r="A27" s="266"/>
      <c r="B27" s="293"/>
      <c r="C27" s="315"/>
      <c r="D27" s="90"/>
      <c r="E27" s="90"/>
    </row>
    <row r="28" spans="1:5" ht="15">
      <c r="A28" s="266"/>
      <c r="B28" s="293"/>
      <c r="C28" s="315"/>
      <c r="D28" s="90"/>
      <c r="E28" s="90"/>
    </row>
    <row r="29" spans="1:5" ht="15">
      <c r="A29" s="266"/>
      <c r="B29" s="293"/>
      <c r="C29" s="315"/>
      <c r="D29" s="90"/>
      <c r="E29" s="90"/>
    </row>
    <row r="30" spans="1:5" ht="15">
      <c r="A30" s="266"/>
      <c r="B30" s="293"/>
      <c r="C30" s="315"/>
      <c r="D30" s="90"/>
      <c r="E30" s="90"/>
    </row>
    <row r="31" spans="1:5" ht="15">
      <c r="A31" s="266"/>
      <c r="B31" s="293"/>
      <c r="C31" s="315"/>
      <c r="D31" s="90"/>
      <c r="E31" s="90"/>
    </row>
    <row r="32" spans="1:5" ht="15">
      <c r="A32" s="266"/>
      <c r="B32" s="293"/>
      <c r="C32" s="315"/>
      <c r="D32" s="90"/>
      <c r="E32" s="90"/>
    </row>
    <row r="33" spans="1:5" ht="15">
      <c r="A33" s="266"/>
      <c r="B33" s="293"/>
      <c r="C33" s="315"/>
      <c r="D33" s="90"/>
      <c r="E33" s="90"/>
    </row>
    <row r="34" spans="1:5" ht="15">
      <c r="A34" s="266"/>
      <c r="B34" s="293"/>
      <c r="C34" s="315"/>
      <c r="D34" s="90"/>
      <c r="E34" s="90"/>
    </row>
    <row r="35" spans="1:5" ht="15">
      <c r="A35" s="266"/>
      <c r="B35" s="293"/>
      <c r="C35" s="252"/>
      <c r="D35" s="254"/>
      <c r="E35" s="254"/>
    </row>
    <row r="36" spans="1:5" ht="15">
      <c r="A36" s="266"/>
      <c r="B36" s="293"/>
      <c r="C36" s="252"/>
      <c r="D36" s="254"/>
      <c r="E36" s="254"/>
    </row>
    <row r="37" spans="1:5" ht="15">
      <c r="A37" s="266"/>
      <c r="B37" s="293"/>
      <c r="C37" s="252"/>
      <c r="D37" s="254"/>
      <c r="E37" s="254"/>
    </row>
    <row r="38" spans="1:5" ht="15">
      <c r="A38" s="266"/>
      <c r="B38" s="293"/>
      <c r="C38" s="252"/>
      <c r="D38" s="254"/>
      <c r="E38" s="254"/>
    </row>
    <row r="39" spans="1:5" ht="15">
      <c r="A39" s="266"/>
      <c r="B39" s="293"/>
      <c r="C39" s="252"/>
      <c r="D39" s="254"/>
      <c r="E39" s="254"/>
    </row>
    <row r="40" spans="1:5" ht="15">
      <c r="A40" s="266"/>
      <c r="B40" s="293"/>
      <c r="C40" s="252"/>
      <c r="D40" s="254"/>
      <c r="E40" s="254"/>
    </row>
    <row r="41" spans="1:5" ht="15">
      <c r="A41" s="266"/>
      <c r="B41" s="293"/>
      <c r="C41" s="252"/>
      <c r="D41" s="254"/>
      <c r="E41" s="254"/>
    </row>
    <row r="42" spans="1:5" ht="15">
      <c r="A42" s="266"/>
      <c r="B42" s="293"/>
      <c r="C42" s="252"/>
      <c r="D42" s="254"/>
      <c r="E42" s="254"/>
    </row>
    <row r="43" spans="1:5" ht="15">
      <c r="A43" s="266"/>
      <c r="B43" s="293"/>
      <c r="C43" s="252"/>
      <c r="D43" s="254"/>
      <c r="E43" s="254"/>
    </row>
    <row r="44" spans="1:5" ht="15">
      <c r="A44" s="266"/>
      <c r="B44" s="293"/>
      <c r="C44" s="252"/>
      <c r="D44" s="254"/>
      <c r="E44" s="254"/>
    </row>
    <row r="45" spans="1:5" ht="15">
      <c r="A45" s="267" t="s">
        <v>549</v>
      </c>
      <c r="B45" s="246"/>
      <c r="C45" s="252"/>
      <c r="D45" s="252"/>
      <c r="E45" s="252"/>
    </row>
    <row r="46" spans="1:5" ht="15">
      <c r="A46" s="267" t="s">
        <v>552</v>
      </c>
      <c r="B46" s="246"/>
      <c r="C46" s="296">
        <f>IF(C47*0.1&lt;C45,"Exceed 10% Rule","")</f>
      </c>
      <c r="D46" s="296">
        <f>IF(D47*0.1&lt;D45,"Exceed 10% Rule","")</f>
      </c>
      <c r="E46" s="296">
        <f>IF(E47*0.1&lt;E45,"Exceed 10% Rule","")</f>
      </c>
    </row>
    <row r="47" spans="1:5" ht="15">
      <c r="A47" s="258" t="s">
        <v>298</v>
      </c>
      <c r="B47" s="285"/>
      <c r="C47" s="317">
        <f>SUM(C22:C45)</f>
        <v>0</v>
      </c>
      <c r="D47" s="318">
        <f>SUM(D22:D45)</f>
        <v>0</v>
      </c>
      <c r="E47" s="318">
        <f>SUM(E22:E45)</f>
        <v>0</v>
      </c>
    </row>
    <row r="48" spans="1:5" ht="15">
      <c r="A48" s="135" t="s">
        <v>409</v>
      </c>
      <c r="B48" s="285"/>
      <c r="C48" s="102">
        <f>C20-C47</f>
        <v>0</v>
      </c>
      <c r="D48" s="214">
        <f>D20-D47</f>
        <v>0</v>
      </c>
      <c r="E48" s="214">
        <f>E20-E47</f>
        <v>0</v>
      </c>
    </row>
    <row r="49" spans="1:5" ht="15">
      <c r="A49" s="123" t="str">
        <f>CONCATENATE("",E1-2,"/",E1-1," Budget Authority Amount:")</f>
        <v>2010/2011 Budget Authority Amount:</v>
      </c>
      <c r="B49" s="269"/>
      <c r="C49" s="269">
        <f>inputOth!B80</f>
        <v>0</v>
      </c>
      <c r="D49" s="269">
        <f>inputPrYr!D42</f>
        <v>0</v>
      </c>
      <c r="E49" s="381">
        <f>IF(E48&lt;0,"See Tab E","")</f>
      </c>
    </row>
    <row r="50" spans="1:5" ht="15">
      <c r="A50" s="123"/>
      <c r="B50" s="271"/>
      <c r="C50" s="271">
        <f>IF(C47&gt;C49,"See Tab A","")</f>
      </c>
      <c r="D50" s="271">
        <f>IF(D47&gt;D49,"See Tab C","")</f>
      </c>
      <c r="E50" s="184"/>
    </row>
    <row r="51" spans="1:5" ht="15">
      <c r="A51" s="123"/>
      <c r="B51" s="271"/>
      <c r="C51" s="271">
        <f>IF(C48&lt;0,"See Tab B","")</f>
      </c>
      <c r="D51" s="271">
        <f>IF(D48&lt;0,"See Tab D","")</f>
      </c>
      <c r="E51" s="184"/>
    </row>
    <row r="52" spans="1:5" ht="15">
      <c r="A52" s="87"/>
      <c r="B52" s="87"/>
      <c r="C52" s="87"/>
      <c r="D52" s="87"/>
      <c r="E52" s="87"/>
    </row>
    <row r="53" spans="1:5" ht="15">
      <c r="A53" s="157"/>
      <c r="B53" s="157" t="s">
        <v>301</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F1" sqref="F1"/>
    </sheetView>
  </sheetViews>
  <sheetFormatPr defaultColWidth="8.8984375" defaultRowHeight="15"/>
  <cols>
    <col min="1" max="1" width="30.59765625" style="85" customWidth="1"/>
    <col min="2" max="2" width="9.59765625" style="85" customWidth="1"/>
    <col min="3" max="4" width="15.69921875" style="85" customWidth="1"/>
    <col min="5" max="5" width="16.19921875" style="85" customWidth="1"/>
    <col min="6" max="16384" width="8.8984375" style="85" customWidth="1"/>
  </cols>
  <sheetData>
    <row r="1" spans="1:5" ht="15">
      <c r="A1" s="162" t="str">
        <f>inputPrYr!D2</f>
        <v>CITY OF BURR OAK</v>
      </c>
      <c r="B1" s="162"/>
      <c r="C1" s="22"/>
      <c r="D1" s="22"/>
      <c r="E1" s="206">
        <f>inputPrYr!$C$5</f>
        <v>2012</v>
      </c>
    </row>
    <row r="2" spans="1:5" ht="15">
      <c r="A2" s="22"/>
      <c r="B2" s="22"/>
      <c r="C2" s="22"/>
      <c r="D2" s="22"/>
      <c r="E2" s="157"/>
    </row>
    <row r="3" spans="1:5" ht="15">
      <c r="A3" s="41" t="s">
        <v>354</v>
      </c>
      <c r="B3" s="41"/>
      <c r="C3" s="313"/>
      <c r="D3" s="313"/>
      <c r="E3" s="314"/>
    </row>
    <row r="4" spans="1:5" ht="15">
      <c r="A4" s="29" t="s">
        <v>285</v>
      </c>
      <c r="B4" s="29"/>
      <c r="C4" s="276" t="s">
        <v>305</v>
      </c>
      <c r="D4" s="129" t="s">
        <v>432</v>
      </c>
      <c r="E4" s="129" t="s">
        <v>433</v>
      </c>
    </row>
    <row r="5" spans="1:5" ht="15">
      <c r="A5" s="184">
        <f>inputPrYr!B43</f>
        <v>0</v>
      </c>
      <c r="B5" s="184"/>
      <c r="C5" s="191">
        <f>E1-2</f>
        <v>2010</v>
      </c>
      <c r="D5" s="191">
        <f>E1-1</f>
        <v>2011</v>
      </c>
      <c r="E5" s="191">
        <f>E1</f>
        <v>2012</v>
      </c>
    </row>
    <row r="6" spans="1:5" ht="15">
      <c r="A6" s="135" t="s">
        <v>408</v>
      </c>
      <c r="B6" s="285"/>
      <c r="C6" s="248"/>
      <c r="D6" s="214">
        <f>C48</f>
        <v>0</v>
      </c>
      <c r="E6" s="214">
        <f>D48</f>
        <v>0</v>
      </c>
    </row>
    <row r="7" spans="1:5" ht="15">
      <c r="A7" s="135" t="s">
        <v>410</v>
      </c>
      <c r="B7" s="285"/>
      <c r="C7" s="250"/>
      <c r="D7" s="70"/>
      <c r="E7" s="70"/>
    </row>
    <row r="8" spans="1:5" ht="15">
      <c r="A8" s="310"/>
      <c r="B8" s="293"/>
      <c r="C8" s="252"/>
      <c r="D8" s="254"/>
      <c r="E8" s="254"/>
    </row>
    <row r="9" spans="1:5" ht="15">
      <c r="A9" s="266"/>
      <c r="B9" s="293"/>
      <c r="C9" s="252"/>
      <c r="D9" s="254"/>
      <c r="E9" s="254"/>
    </row>
    <row r="10" spans="1:5" ht="15">
      <c r="A10" s="266"/>
      <c r="B10" s="293"/>
      <c r="C10" s="252"/>
      <c r="D10" s="254"/>
      <c r="E10" s="254"/>
    </row>
    <row r="11" spans="1:5" ht="15">
      <c r="A11" s="266"/>
      <c r="B11" s="293"/>
      <c r="C11" s="252"/>
      <c r="D11" s="254"/>
      <c r="E11" s="254"/>
    </row>
    <row r="12" spans="1:5" ht="15">
      <c r="A12" s="266"/>
      <c r="B12" s="293"/>
      <c r="C12" s="252"/>
      <c r="D12" s="254"/>
      <c r="E12" s="254"/>
    </row>
    <row r="13" spans="1:5" ht="15">
      <c r="A13" s="266"/>
      <c r="B13" s="293"/>
      <c r="C13" s="252"/>
      <c r="D13" s="254"/>
      <c r="E13" s="254"/>
    </row>
    <row r="14" spans="1:5" ht="15">
      <c r="A14" s="309"/>
      <c r="B14" s="293"/>
      <c r="C14" s="315"/>
      <c r="D14" s="90"/>
      <c r="E14" s="90"/>
    </row>
    <row r="15" spans="1:5" ht="15">
      <c r="A15" s="266"/>
      <c r="B15" s="293"/>
      <c r="C15" s="252"/>
      <c r="D15" s="254"/>
      <c r="E15" s="254"/>
    </row>
    <row r="16" spans="1:5" ht="15">
      <c r="A16" s="316" t="s">
        <v>290</v>
      </c>
      <c r="B16" s="293"/>
      <c r="C16" s="252"/>
      <c r="D16" s="254"/>
      <c r="E16" s="254"/>
    </row>
    <row r="17" spans="1:5" ht="15">
      <c r="A17" s="144" t="s">
        <v>549</v>
      </c>
      <c r="B17" s="246"/>
      <c r="C17" s="252"/>
      <c r="D17" s="252"/>
      <c r="E17" s="252"/>
    </row>
    <row r="18" spans="1:5" ht="15">
      <c r="A18" s="245" t="s">
        <v>550</v>
      </c>
      <c r="B18" s="246"/>
      <c r="C18" s="296">
        <f>IF(C19*0.1&lt;C17,"Exceed 10% Rule","")</f>
      </c>
      <c r="D18" s="296">
        <f>IF(D19*0.1&lt;D17,"Exceed 10% Rule","")</f>
      </c>
      <c r="E18" s="296">
        <f>IF(E19*0.1&lt;E17,"Exceed 10% Rule","")</f>
      </c>
    </row>
    <row r="19" spans="1:5" ht="15">
      <c r="A19" s="258" t="s">
        <v>291</v>
      </c>
      <c r="B19" s="285"/>
      <c r="C19" s="317">
        <f>SUM(C8:C17)</f>
        <v>0</v>
      </c>
      <c r="D19" s="318">
        <f>SUM(D8:D17)</f>
        <v>0</v>
      </c>
      <c r="E19" s="318">
        <f>SUM(E8:E17)</f>
        <v>0</v>
      </c>
    </row>
    <row r="20" spans="1:5" ht="15">
      <c r="A20" s="258" t="s">
        <v>292</v>
      </c>
      <c r="B20" s="285"/>
      <c r="C20" s="305">
        <f>C6+C19</f>
        <v>0</v>
      </c>
      <c r="D20" s="306">
        <f>D6+D19</f>
        <v>0</v>
      </c>
      <c r="E20" s="306">
        <f>E6+E19</f>
        <v>0</v>
      </c>
    </row>
    <row r="21" spans="1:5" ht="15">
      <c r="A21" s="135" t="s">
        <v>294</v>
      </c>
      <c r="B21" s="285"/>
      <c r="C21" s="250"/>
      <c r="D21" s="70"/>
      <c r="E21" s="70"/>
    </row>
    <row r="22" spans="1:5" ht="15">
      <c r="A22" s="266" t="s">
        <v>452</v>
      </c>
      <c r="B22" s="293"/>
      <c r="C22" s="252"/>
      <c r="D22" s="254"/>
      <c r="E22" s="254"/>
    </row>
    <row r="23" spans="1:5" ht="15">
      <c r="A23" s="266" t="s">
        <v>562</v>
      </c>
      <c r="B23" s="293"/>
      <c r="C23" s="252"/>
      <c r="D23" s="254"/>
      <c r="E23" s="254"/>
    </row>
    <row r="24" spans="1:5" ht="15">
      <c r="A24" s="266"/>
      <c r="B24" s="293"/>
      <c r="C24" s="315"/>
      <c r="D24" s="90"/>
      <c r="E24" s="90"/>
    </row>
    <row r="25" spans="1:5" ht="15">
      <c r="A25" s="266"/>
      <c r="B25" s="293"/>
      <c r="C25" s="315"/>
      <c r="D25" s="90"/>
      <c r="E25" s="90"/>
    </row>
    <row r="26" spans="1:5" ht="15">
      <c r="A26" s="266"/>
      <c r="B26" s="293"/>
      <c r="C26" s="315"/>
      <c r="D26" s="90"/>
      <c r="E26" s="90"/>
    </row>
    <row r="27" spans="1:5" ht="15">
      <c r="A27" s="266"/>
      <c r="B27" s="293"/>
      <c r="C27" s="315"/>
      <c r="D27" s="90"/>
      <c r="E27" s="90"/>
    </row>
    <row r="28" spans="1:5" ht="15">
      <c r="A28" s="266"/>
      <c r="B28" s="293"/>
      <c r="C28" s="315"/>
      <c r="D28" s="90"/>
      <c r="E28" s="90"/>
    </row>
    <row r="29" spans="1:5" ht="15">
      <c r="A29" s="266"/>
      <c r="B29" s="293"/>
      <c r="C29" s="315"/>
      <c r="D29" s="90"/>
      <c r="E29" s="90"/>
    </row>
    <row r="30" spans="1:5" ht="15">
      <c r="A30" s="266"/>
      <c r="B30" s="293"/>
      <c r="C30" s="315"/>
      <c r="D30" s="90"/>
      <c r="E30" s="90"/>
    </row>
    <row r="31" spans="1:5" ht="15">
      <c r="A31" s="266"/>
      <c r="B31" s="293"/>
      <c r="C31" s="315"/>
      <c r="D31" s="90"/>
      <c r="E31" s="90"/>
    </row>
    <row r="32" spans="1:5" ht="15">
      <c r="A32" s="266"/>
      <c r="B32" s="293"/>
      <c r="C32" s="315"/>
      <c r="D32" s="90"/>
      <c r="E32" s="90"/>
    </row>
    <row r="33" spans="1:5" ht="15">
      <c r="A33" s="266"/>
      <c r="B33" s="293"/>
      <c r="C33" s="315"/>
      <c r="D33" s="90"/>
      <c r="E33" s="90"/>
    </row>
    <row r="34" spans="1:5" ht="15">
      <c r="A34" s="266"/>
      <c r="B34" s="293"/>
      <c r="C34" s="315"/>
      <c r="D34" s="90"/>
      <c r="E34" s="90"/>
    </row>
    <row r="35" spans="1:5" ht="15">
      <c r="A35" s="266"/>
      <c r="B35" s="293"/>
      <c r="C35" s="252"/>
      <c r="D35" s="254"/>
      <c r="E35" s="254"/>
    </row>
    <row r="36" spans="1:5" ht="15">
      <c r="A36" s="266"/>
      <c r="B36" s="293"/>
      <c r="C36" s="252"/>
      <c r="D36" s="254"/>
      <c r="E36" s="254"/>
    </row>
    <row r="37" spans="1:5" ht="15">
      <c r="A37" s="266"/>
      <c r="B37" s="293"/>
      <c r="C37" s="252"/>
      <c r="D37" s="254"/>
      <c r="E37" s="254"/>
    </row>
    <row r="38" spans="1:5" ht="15">
      <c r="A38" s="266"/>
      <c r="B38" s="293"/>
      <c r="C38" s="252"/>
      <c r="D38" s="254"/>
      <c r="E38" s="254"/>
    </row>
    <row r="39" spans="1:5" ht="15">
      <c r="A39" s="266"/>
      <c r="B39" s="293"/>
      <c r="C39" s="252"/>
      <c r="D39" s="254"/>
      <c r="E39" s="254"/>
    </row>
    <row r="40" spans="1:5" ht="15">
      <c r="A40" s="266"/>
      <c r="B40" s="293"/>
      <c r="C40" s="252"/>
      <c r="D40" s="254"/>
      <c r="E40" s="254"/>
    </row>
    <row r="41" spans="1:5" ht="15">
      <c r="A41" s="266"/>
      <c r="B41" s="293"/>
      <c r="C41" s="252"/>
      <c r="D41" s="254"/>
      <c r="E41" s="254"/>
    </row>
    <row r="42" spans="1:5" ht="15">
      <c r="A42" s="266"/>
      <c r="B42" s="293"/>
      <c r="C42" s="252"/>
      <c r="D42" s="254"/>
      <c r="E42" s="254"/>
    </row>
    <row r="43" spans="1:5" ht="15">
      <c r="A43" s="266"/>
      <c r="B43" s="293"/>
      <c r="C43" s="252"/>
      <c r="D43" s="254"/>
      <c r="E43" s="254"/>
    </row>
    <row r="44" spans="1:5" ht="15">
      <c r="A44" s="266"/>
      <c r="B44" s="293"/>
      <c r="C44" s="252"/>
      <c r="D44" s="254"/>
      <c r="E44" s="254"/>
    </row>
    <row r="45" spans="1:5" ht="15">
      <c r="A45" s="267" t="s">
        <v>549</v>
      </c>
      <c r="B45" s="246"/>
      <c r="C45" s="252"/>
      <c r="D45" s="252"/>
      <c r="E45" s="252"/>
    </row>
    <row r="46" spans="1:5" ht="15">
      <c r="A46" s="267" t="s">
        <v>552</v>
      </c>
      <c r="B46" s="246"/>
      <c r="C46" s="296">
        <f>IF(C47*0.1&lt;C45,"Exceed 10% Rule","")</f>
      </c>
      <c r="D46" s="296">
        <f>IF(D47*0.1&lt;D45,"Exceed 10% Rule","")</f>
      </c>
      <c r="E46" s="296">
        <f>IF(E47*0.1&lt;E45,"Exceed 10% Rule","")</f>
      </c>
    </row>
    <row r="47" spans="1:5" ht="15">
      <c r="A47" s="258" t="s">
        <v>298</v>
      </c>
      <c r="B47" s="285"/>
      <c r="C47" s="317">
        <f>SUM(C22:C45)</f>
        <v>0</v>
      </c>
      <c r="D47" s="318">
        <f>SUM(D22:D45)</f>
        <v>0</v>
      </c>
      <c r="E47" s="318">
        <f>SUM(E22:E45)</f>
        <v>0</v>
      </c>
    </row>
    <row r="48" spans="1:5" ht="15">
      <c r="A48" s="135" t="s">
        <v>409</v>
      </c>
      <c r="B48" s="285"/>
      <c r="C48" s="102">
        <f>C20-C47</f>
        <v>0</v>
      </c>
      <c r="D48" s="214">
        <f>D20-D47</f>
        <v>0</v>
      </c>
      <c r="E48" s="214">
        <f>E20-E47</f>
        <v>0</v>
      </c>
    </row>
    <row r="49" spans="1:5" ht="15">
      <c r="A49" s="123" t="str">
        <f>CONCATENATE("",E1-2,"/",E1-1," Budget Authority Amount:")</f>
        <v>2010/2011 Budget Authority Amount:</v>
      </c>
      <c r="B49" s="269"/>
      <c r="C49" s="269">
        <f>inputOth!B81</f>
        <v>0</v>
      </c>
      <c r="D49" s="269">
        <f>inputPrYr!D43</f>
        <v>0</v>
      </c>
      <c r="E49" s="381">
        <f>IF(E48&lt;0,"See Tab E","")</f>
      </c>
    </row>
    <row r="50" spans="1:5" ht="15">
      <c r="A50" s="123"/>
      <c r="B50" s="271"/>
      <c r="C50" s="271">
        <f>IF(C47&gt;C49,"See Tab A","")</f>
      </c>
      <c r="D50" s="271">
        <f>IF(D47&gt;D49,"See Tab C","")</f>
      </c>
      <c r="E50" s="184"/>
    </row>
    <row r="51" spans="1:5" ht="15">
      <c r="A51" s="123"/>
      <c r="B51" s="271"/>
      <c r="C51" s="271">
        <f>IF(C48&lt;0,"See Tab B","")</f>
      </c>
      <c r="D51" s="271">
        <f>IF(D48&lt;0,"See Tab D","")</f>
      </c>
      <c r="E51" s="184"/>
    </row>
    <row r="52" spans="1:5" ht="15">
      <c r="A52" s="87"/>
      <c r="B52" s="87"/>
      <c r="C52" s="87"/>
      <c r="D52" s="87"/>
      <c r="E52" s="87"/>
    </row>
    <row r="53" spans="1:5" ht="15">
      <c r="A53" s="157"/>
      <c r="B53" s="157" t="s">
        <v>301</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oddFooter>&amp;Lrevised 10/2/09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F1" sqref="F1"/>
    </sheetView>
  </sheetViews>
  <sheetFormatPr defaultColWidth="8.8984375" defaultRowHeight="15"/>
  <cols>
    <col min="1" max="1" width="30.59765625" style="85" customWidth="1"/>
    <col min="2" max="2" width="9.59765625" style="85" customWidth="1"/>
    <col min="3" max="4" width="15.69921875" style="85" customWidth="1"/>
    <col min="5" max="5" width="16.3984375" style="85" customWidth="1"/>
    <col min="6" max="16384" width="8.8984375" style="85" customWidth="1"/>
  </cols>
  <sheetData>
    <row r="1" spans="1:5" ht="15">
      <c r="A1" s="162" t="str">
        <f>inputPrYr!D2</f>
        <v>CITY OF BURR OAK</v>
      </c>
      <c r="B1" s="162"/>
      <c r="C1" s="22"/>
      <c r="D1" s="22"/>
      <c r="E1" s="206">
        <f>inputPrYr!$C$5</f>
        <v>2012</v>
      </c>
    </row>
    <row r="2" spans="1:5" ht="15">
      <c r="A2" s="22"/>
      <c r="B2" s="22"/>
      <c r="C2" s="22"/>
      <c r="D2" s="22"/>
      <c r="E2" s="157"/>
    </row>
    <row r="3" spans="1:5" ht="15">
      <c r="A3" s="41" t="s">
        <v>354</v>
      </c>
      <c r="B3" s="41"/>
      <c r="C3" s="313"/>
      <c r="D3" s="313"/>
      <c r="E3" s="314"/>
    </row>
    <row r="4" spans="1:5" ht="15">
      <c r="A4" s="29" t="s">
        <v>285</v>
      </c>
      <c r="B4" s="29"/>
      <c r="C4" s="276" t="s">
        <v>305</v>
      </c>
      <c r="D4" s="129" t="s">
        <v>432</v>
      </c>
      <c r="E4" s="129" t="s">
        <v>433</v>
      </c>
    </row>
    <row r="5" spans="1:5" ht="15">
      <c r="A5" s="184">
        <f>inputPrYr!B44</f>
        <v>0</v>
      </c>
      <c r="B5" s="184"/>
      <c r="C5" s="191">
        <f>E1-2</f>
        <v>2010</v>
      </c>
      <c r="D5" s="191">
        <f>E1-1</f>
        <v>2011</v>
      </c>
      <c r="E5" s="191">
        <f>E1</f>
        <v>2012</v>
      </c>
    </row>
    <row r="6" spans="1:5" ht="15">
      <c r="A6" s="135" t="s">
        <v>408</v>
      </c>
      <c r="B6" s="285"/>
      <c r="C6" s="248"/>
      <c r="D6" s="214">
        <f>C48</f>
        <v>0</v>
      </c>
      <c r="E6" s="214">
        <f>D48</f>
        <v>0</v>
      </c>
    </row>
    <row r="7" spans="1:5" ht="15">
      <c r="A7" s="135" t="s">
        <v>410</v>
      </c>
      <c r="B7" s="285"/>
      <c r="C7" s="250"/>
      <c r="D7" s="70"/>
      <c r="E7" s="70"/>
    </row>
    <row r="8" spans="1:5" ht="15">
      <c r="A8" s="310"/>
      <c r="B8" s="293"/>
      <c r="C8" s="252"/>
      <c r="D8" s="254"/>
      <c r="E8" s="254"/>
    </row>
    <row r="9" spans="1:5" ht="15">
      <c r="A9" s="266"/>
      <c r="B9" s="293"/>
      <c r="C9" s="252"/>
      <c r="D9" s="254"/>
      <c r="E9" s="254"/>
    </row>
    <row r="10" spans="1:5" ht="15">
      <c r="A10" s="266"/>
      <c r="B10" s="293"/>
      <c r="C10" s="252"/>
      <c r="D10" s="254"/>
      <c r="E10" s="254"/>
    </row>
    <row r="11" spans="1:5" ht="15">
      <c r="A11" s="266"/>
      <c r="B11" s="293"/>
      <c r="C11" s="252"/>
      <c r="D11" s="254"/>
      <c r="E11" s="254"/>
    </row>
    <row r="12" spans="1:5" ht="15">
      <c r="A12" s="266"/>
      <c r="B12" s="293"/>
      <c r="C12" s="252"/>
      <c r="D12" s="254"/>
      <c r="E12" s="254"/>
    </row>
    <row r="13" spans="1:5" ht="15">
      <c r="A13" s="266"/>
      <c r="B13" s="293"/>
      <c r="C13" s="252"/>
      <c r="D13" s="254"/>
      <c r="E13" s="254"/>
    </row>
    <row r="14" spans="1:5" ht="15">
      <c r="A14" s="309"/>
      <c r="B14" s="293"/>
      <c r="C14" s="315"/>
      <c r="D14" s="90"/>
      <c r="E14" s="90"/>
    </row>
    <row r="15" spans="1:5" ht="15">
      <c r="A15" s="266"/>
      <c r="B15" s="293"/>
      <c r="C15" s="252"/>
      <c r="D15" s="254"/>
      <c r="E15" s="254"/>
    </row>
    <row r="16" spans="1:5" ht="15">
      <c r="A16" s="316" t="s">
        <v>290</v>
      </c>
      <c r="B16" s="293"/>
      <c r="C16" s="252"/>
      <c r="D16" s="254"/>
      <c r="E16" s="254"/>
    </row>
    <row r="17" spans="1:5" ht="15">
      <c r="A17" s="144" t="s">
        <v>549</v>
      </c>
      <c r="B17" s="246"/>
      <c r="C17" s="252"/>
      <c r="D17" s="252"/>
      <c r="E17" s="252"/>
    </row>
    <row r="18" spans="1:5" ht="15">
      <c r="A18" s="245" t="s">
        <v>550</v>
      </c>
      <c r="B18" s="246"/>
      <c r="C18" s="296">
        <f>IF(C19*0.1&lt;C17,"Exceed 10% Rule","")</f>
      </c>
      <c r="D18" s="296">
        <f>IF(D19*0.1&lt;D17,"Exceed 10% Rule","")</f>
      </c>
      <c r="E18" s="296">
        <f>IF(E19*0.1&lt;E17,"Exceed 10% Rule","")</f>
      </c>
    </row>
    <row r="19" spans="1:5" ht="15">
      <c r="A19" s="258" t="s">
        <v>291</v>
      </c>
      <c r="B19" s="285"/>
      <c r="C19" s="317">
        <f>SUM(C8:C17)</f>
        <v>0</v>
      </c>
      <c r="D19" s="318">
        <f>SUM(D8:D17)</f>
        <v>0</v>
      </c>
      <c r="E19" s="318">
        <f>SUM(E8:E17)</f>
        <v>0</v>
      </c>
    </row>
    <row r="20" spans="1:5" ht="15">
      <c r="A20" s="258" t="s">
        <v>292</v>
      </c>
      <c r="B20" s="285"/>
      <c r="C20" s="305">
        <f>C6+C19</f>
        <v>0</v>
      </c>
      <c r="D20" s="306">
        <f>D6+D19</f>
        <v>0</v>
      </c>
      <c r="E20" s="306">
        <f>E6+E19</f>
        <v>0</v>
      </c>
    </row>
    <row r="21" spans="1:5" ht="15">
      <c r="A21" s="135" t="s">
        <v>294</v>
      </c>
      <c r="B21" s="285"/>
      <c r="C21" s="250"/>
      <c r="D21" s="70"/>
      <c r="E21" s="70"/>
    </row>
    <row r="22" spans="1:5" ht="15">
      <c r="A22" s="266" t="s">
        <v>452</v>
      </c>
      <c r="B22" s="293"/>
      <c r="C22" s="252"/>
      <c r="D22" s="254"/>
      <c r="E22" s="254"/>
    </row>
    <row r="23" spans="1:5" ht="15">
      <c r="A23" s="266" t="s">
        <v>562</v>
      </c>
      <c r="B23" s="293"/>
      <c r="C23" s="252"/>
      <c r="D23" s="254"/>
      <c r="E23" s="254"/>
    </row>
    <row r="24" spans="1:5" ht="15">
      <c r="A24" s="266"/>
      <c r="B24" s="293"/>
      <c r="C24" s="315"/>
      <c r="D24" s="90"/>
      <c r="E24" s="90"/>
    </row>
    <row r="25" spans="1:5" ht="15">
      <c r="A25" s="266"/>
      <c r="B25" s="293"/>
      <c r="C25" s="315"/>
      <c r="D25" s="90"/>
      <c r="E25" s="90"/>
    </row>
    <row r="26" spans="1:5" ht="15">
      <c r="A26" s="266"/>
      <c r="B26" s="293"/>
      <c r="C26" s="315"/>
      <c r="D26" s="90"/>
      <c r="E26" s="90"/>
    </row>
    <row r="27" spans="1:5" ht="15">
      <c r="A27" s="266"/>
      <c r="B27" s="293"/>
      <c r="C27" s="315"/>
      <c r="D27" s="90"/>
      <c r="E27" s="90"/>
    </row>
    <row r="28" spans="1:5" ht="15">
      <c r="A28" s="266"/>
      <c r="B28" s="293"/>
      <c r="C28" s="315"/>
      <c r="D28" s="90"/>
      <c r="E28" s="90"/>
    </row>
    <row r="29" spans="1:5" ht="15">
      <c r="A29" s="266"/>
      <c r="B29" s="293"/>
      <c r="C29" s="315"/>
      <c r="D29" s="90"/>
      <c r="E29" s="90"/>
    </row>
    <row r="30" spans="1:5" ht="15">
      <c r="A30" s="266"/>
      <c r="B30" s="293"/>
      <c r="C30" s="315"/>
      <c r="D30" s="90"/>
      <c r="E30" s="90"/>
    </row>
    <row r="31" spans="1:5" ht="15">
      <c r="A31" s="266"/>
      <c r="B31" s="293"/>
      <c r="C31" s="315"/>
      <c r="D31" s="90"/>
      <c r="E31" s="90"/>
    </row>
    <row r="32" spans="1:5" ht="15">
      <c r="A32" s="266"/>
      <c r="B32" s="293"/>
      <c r="C32" s="315"/>
      <c r="D32" s="90"/>
      <c r="E32" s="90"/>
    </row>
    <row r="33" spans="1:5" ht="15">
      <c r="A33" s="266"/>
      <c r="B33" s="293"/>
      <c r="C33" s="315"/>
      <c r="D33" s="90"/>
      <c r="E33" s="90"/>
    </row>
    <row r="34" spans="1:5" ht="15">
      <c r="A34" s="266"/>
      <c r="B34" s="293"/>
      <c r="C34" s="315"/>
      <c r="D34" s="90"/>
      <c r="E34" s="90"/>
    </row>
    <row r="35" spans="1:5" ht="15">
      <c r="A35" s="266"/>
      <c r="B35" s="293"/>
      <c r="C35" s="252"/>
      <c r="D35" s="254"/>
      <c r="E35" s="254"/>
    </row>
    <row r="36" spans="1:5" ht="15">
      <c r="A36" s="266"/>
      <c r="B36" s="293"/>
      <c r="C36" s="252"/>
      <c r="D36" s="254"/>
      <c r="E36" s="254"/>
    </row>
    <row r="37" spans="1:5" ht="15">
      <c r="A37" s="266"/>
      <c r="B37" s="293"/>
      <c r="C37" s="252"/>
      <c r="D37" s="254"/>
      <c r="E37" s="254"/>
    </row>
    <row r="38" spans="1:5" ht="15">
      <c r="A38" s="266"/>
      <c r="B38" s="293"/>
      <c r="C38" s="252"/>
      <c r="D38" s="254"/>
      <c r="E38" s="254"/>
    </row>
    <row r="39" spans="1:5" ht="15">
      <c r="A39" s="266"/>
      <c r="B39" s="293"/>
      <c r="C39" s="252"/>
      <c r="D39" s="254"/>
      <c r="E39" s="254"/>
    </row>
    <row r="40" spans="1:5" ht="15">
      <c r="A40" s="266"/>
      <c r="B40" s="293"/>
      <c r="C40" s="252"/>
      <c r="D40" s="254"/>
      <c r="E40" s="254"/>
    </row>
    <row r="41" spans="1:5" ht="15">
      <c r="A41" s="266"/>
      <c r="B41" s="293"/>
      <c r="C41" s="252"/>
      <c r="D41" s="254"/>
      <c r="E41" s="254"/>
    </row>
    <row r="42" spans="1:5" ht="15">
      <c r="A42" s="266"/>
      <c r="B42" s="293"/>
      <c r="C42" s="252"/>
      <c r="D42" s="254"/>
      <c r="E42" s="254"/>
    </row>
    <row r="43" spans="1:5" ht="15">
      <c r="A43" s="266"/>
      <c r="B43" s="293"/>
      <c r="C43" s="252"/>
      <c r="D43" s="254"/>
      <c r="E43" s="254"/>
    </row>
    <row r="44" spans="1:5" ht="15">
      <c r="A44" s="266"/>
      <c r="B44" s="293"/>
      <c r="C44" s="252"/>
      <c r="D44" s="254"/>
      <c r="E44" s="254"/>
    </row>
    <row r="45" spans="1:5" ht="15">
      <c r="A45" s="267" t="s">
        <v>549</v>
      </c>
      <c r="B45" s="246"/>
      <c r="C45" s="252"/>
      <c r="D45" s="252"/>
      <c r="E45" s="252"/>
    </row>
    <row r="46" spans="1:5" ht="15">
      <c r="A46" s="267" t="s">
        <v>552</v>
      </c>
      <c r="B46" s="246"/>
      <c r="C46" s="296">
        <f>IF(C47*0.1&lt;C45,"Exceed 10% Rule","")</f>
      </c>
      <c r="D46" s="296">
        <f>IF(D47*0.1&lt;D45,"Exceed 10% Rule","")</f>
      </c>
      <c r="E46" s="296">
        <f>IF(E47*0.1&lt;E45,"Exceed 10% Rule","")</f>
      </c>
    </row>
    <row r="47" spans="1:5" ht="15">
      <c r="A47" s="258" t="s">
        <v>298</v>
      </c>
      <c r="B47" s="285"/>
      <c r="C47" s="317">
        <f>SUM(C22:C45)</f>
        <v>0</v>
      </c>
      <c r="D47" s="318">
        <f>SUM(D22:D45)</f>
        <v>0</v>
      </c>
      <c r="E47" s="318">
        <f>SUM(E22:E45)</f>
        <v>0</v>
      </c>
    </row>
    <row r="48" spans="1:5" ht="15">
      <c r="A48" s="135" t="s">
        <v>409</v>
      </c>
      <c r="B48" s="285"/>
      <c r="C48" s="102">
        <f>C20-C47</f>
        <v>0</v>
      </c>
      <c r="D48" s="214">
        <f>D20-D47</f>
        <v>0</v>
      </c>
      <c r="E48" s="214">
        <f>E20-E47</f>
        <v>0</v>
      </c>
    </row>
    <row r="49" spans="1:5" ht="15">
      <c r="A49" s="123" t="str">
        <f>CONCATENATE("",E1-2,"/",E1-1," Budget Authority Amount:")</f>
        <v>2010/2011 Budget Authority Amount:</v>
      </c>
      <c r="B49" s="269"/>
      <c r="C49" s="269">
        <f>inputOth!B82</f>
        <v>0</v>
      </c>
      <c r="D49" s="269">
        <f>inputPrYr!D44</f>
        <v>0</v>
      </c>
      <c r="E49" s="381">
        <f>IF(E48&lt;0,"See Tab E","")</f>
      </c>
    </row>
    <row r="50" spans="1:5" ht="15">
      <c r="A50" s="123"/>
      <c r="B50" s="271"/>
      <c r="C50" s="271">
        <f>IF(C47&gt;C49,"See Tab A","")</f>
      </c>
      <c r="D50" s="271">
        <f>IF(D47&gt;D49,"See Tab C","")</f>
      </c>
      <c r="E50" s="87"/>
    </row>
    <row r="51" spans="1:5" ht="15">
      <c r="A51" s="123"/>
      <c r="B51" s="271"/>
      <c r="C51" s="271">
        <f>IF(C48&lt;0,"See Tab B","")</f>
      </c>
      <c r="D51" s="271">
        <f>IF(D48&lt;0,"See Tab D","")</f>
      </c>
      <c r="E51" s="87"/>
    </row>
    <row r="52" spans="1:5" ht="15">
      <c r="A52" s="87"/>
      <c r="B52" s="87"/>
      <c r="C52" s="87"/>
      <c r="D52" s="87"/>
      <c r="E52" s="87"/>
    </row>
    <row r="53" spans="1:5" ht="15">
      <c r="A53" s="157"/>
      <c r="B53" s="157" t="s">
        <v>301</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10/2/09</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F1" sqref="F1"/>
    </sheetView>
  </sheetViews>
  <sheetFormatPr defaultColWidth="8.8984375" defaultRowHeight="15"/>
  <cols>
    <col min="1" max="1" width="27.69921875" style="85" customWidth="1"/>
    <col min="2" max="2" width="9.59765625" style="85" customWidth="1"/>
    <col min="3" max="4" width="15.69921875" style="85" customWidth="1"/>
    <col min="5" max="5" width="16.19921875" style="85" customWidth="1"/>
    <col min="6" max="16384" width="8.8984375" style="85" customWidth="1"/>
  </cols>
  <sheetData>
    <row r="1" spans="1:5" ht="15">
      <c r="A1" s="162" t="str">
        <f>inputPrYr!D2</f>
        <v>CITY OF BURR OAK</v>
      </c>
      <c r="B1" s="162"/>
      <c r="C1" s="22"/>
      <c r="D1" s="22"/>
      <c r="E1" s="206">
        <f>inputPrYr!$C$5</f>
        <v>2012</v>
      </c>
    </row>
    <row r="2" spans="1:5" ht="15">
      <c r="A2" s="22"/>
      <c r="B2" s="22"/>
      <c r="C2" s="22"/>
      <c r="D2" s="22"/>
      <c r="E2" s="157"/>
    </row>
    <row r="3" spans="1:5" ht="15">
      <c r="A3" s="41" t="s">
        <v>354</v>
      </c>
      <c r="B3" s="41"/>
      <c r="C3" s="313"/>
      <c r="D3" s="313"/>
      <c r="E3" s="314"/>
    </row>
    <row r="4" spans="1:5" ht="15">
      <c r="A4" s="29" t="s">
        <v>285</v>
      </c>
      <c r="B4" s="29"/>
      <c r="C4" s="276" t="s">
        <v>305</v>
      </c>
      <c r="D4" s="129" t="s">
        <v>432</v>
      </c>
      <c r="E4" s="129" t="s">
        <v>433</v>
      </c>
    </row>
    <row r="5" spans="1:5" ht="15">
      <c r="A5" s="183">
        <f>inputPrYr!B45</f>
        <v>0</v>
      </c>
      <c r="B5" s="319"/>
      <c r="C5" s="191">
        <f>E1-2</f>
        <v>2010</v>
      </c>
      <c r="D5" s="191">
        <f>E1-1</f>
        <v>2011</v>
      </c>
      <c r="E5" s="191">
        <f>E1</f>
        <v>2012</v>
      </c>
    </row>
    <row r="6" spans="1:5" ht="15">
      <c r="A6" s="135" t="s">
        <v>408</v>
      </c>
      <c r="B6" s="89"/>
      <c r="C6" s="50"/>
      <c r="D6" s="214">
        <f>C48</f>
        <v>0</v>
      </c>
      <c r="E6" s="214">
        <f>D48</f>
        <v>0</v>
      </c>
    </row>
    <row r="7" spans="1:5" ht="15">
      <c r="A7" s="135" t="s">
        <v>410</v>
      </c>
      <c r="B7" s="320"/>
      <c r="C7" s="250"/>
      <c r="D7" s="70"/>
      <c r="E7" s="70"/>
    </row>
    <row r="8" spans="1:5" ht="15">
      <c r="A8" s="310"/>
      <c r="B8" s="293"/>
      <c r="C8" s="252"/>
      <c r="D8" s="254"/>
      <c r="E8" s="254"/>
    </row>
    <row r="9" spans="1:5" ht="15">
      <c r="A9" s="266"/>
      <c r="B9" s="293"/>
      <c r="C9" s="252"/>
      <c r="D9" s="254"/>
      <c r="E9" s="254"/>
    </row>
    <row r="10" spans="1:5" ht="15">
      <c r="A10" s="266"/>
      <c r="B10" s="293"/>
      <c r="C10" s="252"/>
      <c r="D10" s="254"/>
      <c r="E10" s="254"/>
    </row>
    <row r="11" spans="1:5" ht="15">
      <c r="A11" s="266"/>
      <c r="B11" s="293"/>
      <c r="C11" s="252"/>
      <c r="D11" s="254"/>
      <c r="E11" s="254"/>
    </row>
    <row r="12" spans="1:5" ht="15">
      <c r="A12" s="266"/>
      <c r="B12" s="293"/>
      <c r="C12" s="252"/>
      <c r="D12" s="254"/>
      <c r="E12" s="254"/>
    </row>
    <row r="13" spans="1:5" ht="15">
      <c r="A13" s="266"/>
      <c r="B13" s="293"/>
      <c r="C13" s="252"/>
      <c r="D13" s="254"/>
      <c r="E13" s="254"/>
    </row>
    <row r="14" spans="1:5" ht="15">
      <c r="A14" s="309"/>
      <c r="B14" s="293"/>
      <c r="C14" s="315"/>
      <c r="D14" s="90"/>
      <c r="E14" s="90"/>
    </row>
    <row r="15" spans="1:5" ht="15">
      <c r="A15" s="266"/>
      <c r="B15" s="293"/>
      <c r="C15" s="252"/>
      <c r="D15" s="254"/>
      <c r="E15" s="254"/>
    </row>
    <row r="16" spans="1:5" ht="15">
      <c r="A16" s="316" t="s">
        <v>290</v>
      </c>
      <c r="B16" s="293"/>
      <c r="C16" s="252"/>
      <c r="D16" s="254"/>
      <c r="E16" s="254"/>
    </row>
    <row r="17" spans="1:5" ht="15">
      <c r="A17" s="144" t="s">
        <v>549</v>
      </c>
      <c r="B17" s="246"/>
      <c r="C17" s="252"/>
      <c r="D17" s="252"/>
      <c r="E17" s="252"/>
    </row>
    <row r="18" spans="1:5" ht="15">
      <c r="A18" s="245" t="s">
        <v>550</v>
      </c>
      <c r="B18" s="246"/>
      <c r="C18" s="296">
        <f>IF(C19*0.1&lt;C17,"Exceed 10% Rule","")</f>
      </c>
      <c r="D18" s="296">
        <f>IF(D19*0.1&lt;D17,"Exceed 10% Rule","")</f>
      </c>
      <c r="E18" s="296">
        <f>IF(E19*0.1&lt;E17,"Exceed 10% Rule","")</f>
      </c>
    </row>
    <row r="19" spans="1:5" ht="15">
      <c r="A19" s="258" t="s">
        <v>291</v>
      </c>
      <c r="B19" s="285"/>
      <c r="C19" s="305">
        <f>SUM(C8:C17)</f>
        <v>0</v>
      </c>
      <c r="D19" s="318">
        <f>SUM(D8:D17)</f>
        <v>0</v>
      </c>
      <c r="E19" s="318">
        <f>SUM(E8:E17)</f>
        <v>0</v>
      </c>
    </row>
    <row r="20" spans="1:5" ht="15">
      <c r="A20" s="258" t="s">
        <v>292</v>
      </c>
      <c r="B20" s="285"/>
      <c r="C20" s="305">
        <f>C6+C19</f>
        <v>0</v>
      </c>
      <c r="D20" s="306">
        <f>D6+D19</f>
        <v>0</v>
      </c>
      <c r="E20" s="306">
        <f>E6+E19</f>
        <v>0</v>
      </c>
    </row>
    <row r="21" spans="1:5" ht="15">
      <c r="A21" s="135" t="s">
        <v>294</v>
      </c>
      <c r="B21" s="285"/>
      <c r="C21" s="250"/>
      <c r="D21" s="70"/>
      <c r="E21" s="70"/>
    </row>
    <row r="22" spans="1:5" ht="15">
      <c r="A22" s="266" t="s">
        <v>452</v>
      </c>
      <c r="B22" s="293"/>
      <c r="C22" s="252"/>
      <c r="D22" s="254"/>
      <c r="E22" s="254"/>
    </row>
    <row r="23" spans="1:5" ht="15">
      <c r="A23" s="310" t="s">
        <v>562</v>
      </c>
      <c r="B23" s="293"/>
      <c r="C23" s="252"/>
      <c r="D23" s="254"/>
      <c r="E23" s="254"/>
    </row>
    <row r="24" spans="1:5" ht="15">
      <c r="A24" s="266"/>
      <c r="B24" s="293"/>
      <c r="C24" s="315"/>
      <c r="D24" s="90"/>
      <c r="E24" s="90"/>
    </row>
    <row r="25" spans="1:5" ht="15">
      <c r="A25" s="266"/>
      <c r="B25" s="293"/>
      <c r="C25" s="315"/>
      <c r="D25" s="90"/>
      <c r="E25" s="90"/>
    </row>
    <row r="26" spans="1:5" ht="15">
      <c r="A26" s="266"/>
      <c r="B26" s="293"/>
      <c r="C26" s="315"/>
      <c r="D26" s="90"/>
      <c r="E26" s="90"/>
    </row>
    <row r="27" spans="1:5" ht="15">
      <c r="A27" s="266"/>
      <c r="B27" s="293"/>
      <c r="C27" s="315"/>
      <c r="D27" s="90"/>
      <c r="E27" s="90"/>
    </row>
    <row r="28" spans="1:5" ht="15">
      <c r="A28" s="266"/>
      <c r="B28" s="293"/>
      <c r="C28" s="315"/>
      <c r="D28" s="90"/>
      <c r="E28" s="90"/>
    </row>
    <row r="29" spans="1:5" ht="15">
      <c r="A29" s="266"/>
      <c r="B29" s="293"/>
      <c r="C29" s="315"/>
      <c r="D29" s="90"/>
      <c r="E29" s="90"/>
    </row>
    <row r="30" spans="1:5" ht="15">
      <c r="A30" s="266"/>
      <c r="B30" s="293"/>
      <c r="C30" s="315"/>
      <c r="D30" s="90"/>
      <c r="E30" s="90"/>
    </row>
    <row r="31" spans="1:5" ht="15">
      <c r="A31" s="266"/>
      <c r="B31" s="293"/>
      <c r="C31" s="315"/>
      <c r="D31" s="90"/>
      <c r="E31" s="90"/>
    </row>
    <row r="32" spans="1:5" ht="15">
      <c r="A32" s="266"/>
      <c r="B32" s="293"/>
      <c r="C32" s="315"/>
      <c r="D32" s="90"/>
      <c r="E32" s="90"/>
    </row>
    <row r="33" spans="1:5" ht="15">
      <c r="A33" s="266"/>
      <c r="B33" s="293"/>
      <c r="C33" s="315"/>
      <c r="D33" s="90"/>
      <c r="E33" s="90"/>
    </row>
    <row r="34" spans="1:5" ht="15">
      <c r="A34" s="266"/>
      <c r="B34" s="293"/>
      <c r="C34" s="315"/>
      <c r="D34" s="90"/>
      <c r="E34" s="90"/>
    </row>
    <row r="35" spans="1:5" ht="15">
      <c r="A35" s="266"/>
      <c r="B35" s="293"/>
      <c r="C35" s="252"/>
      <c r="D35" s="254"/>
      <c r="E35" s="254"/>
    </row>
    <row r="36" spans="1:5" ht="15">
      <c r="A36" s="266"/>
      <c r="B36" s="293"/>
      <c r="C36" s="252"/>
      <c r="D36" s="254"/>
      <c r="E36" s="254"/>
    </row>
    <row r="37" spans="1:5" ht="15">
      <c r="A37" s="266"/>
      <c r="B37" s="293"/>
      <c r="C37" s="252"/>
      <c r="D37" s="254"/>
      <c r="E37" s="254"/>
    </row>
    <row r="38" spans="1:5" ht="15">
      <c r="A38" s="266"/>
      <c r="B38" s="293"/>
      <c r="C38" s="252"/>
      <c r="D38" s="254"/>
      <c r="E38" s="254"/>
    </row>
    <row r="39" spans="1:5" ht="15">
      <c r="A39" s="266"/>
      <c r="B39" s="293"/>
      <c r="C39" s="252"/>
      <c r="D39" s="254"/>
      <c r="E39" s="254"/>
    </row>
    <row r="40" spans="1:5" ht="15">
      <c r="A40" s="266"/>
      <c r="B40" s="293"/>
      <c r="C40" s="252"/>
      <c r="D40" s="254"/>
      <c r="E40" s="254"/>
    </row>
    <row r="41" spans="1:5" ht="15">
      <c r="A41" s="266"/>
      <c r="B41" s="293"/>
      <c r="C41" s="252"/>
      <c r="D41" s="254"/>
      <c r="E41" s="254"/>
    </row>
    <row r="42" spans="1:5" ht="15">
      <c r="A42" s="266"/>
      <c r="B42" s="293"/>
      <c r="C42" s="252"/>
      <c r="D42" s="254"/>
      <c r="E42" s="254"/>
    </row>
    <row r="43" spans="1:5" ht="15">
      <c r="A43" s="266"/>
      <c r="B43" s="293"/>
      <c r="C43" s="252"/>
      <c r="D43" s="254"/>
      <c r="E43" s="254"/>
    </row>
    <row r="44" spans="1:5" ht="15">
      <c r="A44" s="266"/>
      <c r="B44" s="293"/>
      <c r="C44" s="252"/>
      <c r="D44" s="254"/>
      <c r="E44" s="254"/>
    </row>
    <row r="45" spans="1:5" ht="15">
      <c r="A45" s="267" t="s">
        <v>549</v>
      </c>
      <c r="B45" s="246"/>
      <c r="C45" s="252"/>
      <c r="D45" s="252"/>
      <c r="E45" s="252"/>
    </row>
    <row r="46" spans="1:5" ht="15">
      <c r="A46" s="267" t="s">
        <v>552</v>
      </c>
      <c r="B46" s="246"/>
      <c r="C46" s="296">
        <f>IF(C47*0.1&lt;C45,"Exceed 10% Rule","")</f>
      </c>
      <c r="D46" s="296">
        <f>IF(D47*0.1&lt;D45,"Exceed 10% Rule","")</f>
      </c>
      <c r="E46" s="296">
        <f>IF(E47*0.1&lt;E45,"Exceed 10% Rule","")</f>
      </c>
    </row>
    <row r="47" spans="1:5" ht="15">
      <c r="A47" s="258" t="s">
        <v>298</v>
      </c>
      <c r="B47" s="285"/>
      <c r="C47" s="317">
        <f>SUM(C22:C45)</f>
        <v>0</v>
      </c>
      <c r="D47" s="318">
        <f>SUM(D22:D45)</f>
        <v>0</v>
      </c>
      <c r="E47" s="318">
        <f>SUM(E22:E45)</f>
        <v>0</v>
      </c>
    </row>
    <row r="48" spans="1:5" ht="15">
      <c r="A48" s="135" t="s">
        <v>409</v>
      </c>
      <c r="B48" s="285"/>
      <c r="C48" s="102">
        <f>C20-C47</f>
        <v>0</v>
      </c>
      <c r="D48" s="214">
        <f>D20-D47</f>
        <v>0</v>
      </c>
      <c r="E48" s="214">
        <f>E20-E47</f>
        <v>0</v>
      </c>
    </row>
    <row r="49" spans="1:5" ht="15">
      <c r="A49" s="123" t="str">
        <f>CONCATENATE("",E1-2,"/",E1-1," Budget Authority Amount:")</f>
        <v>2010/2011 Budget Authority Amount:</v>
      </c>
      <c r="B49" s="269"/>
      <c r="C49" s="269">
        <f>inputOth!B83</f>
        <v>0</v>
      </c>
      <c r="D49" s="269">
        <f>inputPrYr!D45</f>
        <v>0</v>
      </c>
      <c r="E49" s="381">
        <f>IF(E48&lt;0,"See Tab E","")</f>
      </c>
    </row>
    <row r="50" spans="1:5" ht="15">
      <c r="A50" s="123"/>
      <c r="B50" s="271"/>
      <c r="C50" s="271">
        <f>IF(C47&gt;C49,"See Tab A","")</f>
      </c>
      <c r="D50" s="271">
        <f>IF(D47&gt;D49,"See Tab C","")</f>
      </c>
      <c r="E50" s="184"/>
    </row>
    <row r="51" spans="1:5" ht="15">
      <c r="A51" s="123"/>
      <c r="B51" s="271"/>
      <c r="C51" s="271">
        <f>IF(C48&lt;0,"See Tab B","")</f>
      </c>
      <c r="D51" s="271">
        <f>IF(D48&lt;0,"See Tab D","")</f>
      </c>
      <c r="E51" s="184"/>
    </row>
    <row r="52" spans="1:5" ht="15">
      <c r="A52" s="87"/>
      <c r="B52" s="87"/>
      <c r="C52" s="87"/>
      <c r="D52" s="87"/>
      <c r="E52" s="87"/>
    </row>
    <row r="53" spans="1:5" ht="15">
      <c r="A53" s="157"/>
      <c r="B53" s="157" t="s">
        <v>301</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10/2/09</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1" sqref="L1"/>
    </sheetView>
  </sheetViews>
  <sheetFormatPr defaultColWidth="8.89843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8">
        <f>inputPrYr!$C$2</f>
        <v>0</v>
      </c>
      <c r="B1" s="321"/>
      <c r="C1" s="88"/>
      <c r="D1" s="88"/>
      <c r="E1" s="88"/>
      <c r="F1" s="322" t="s">
        <v>455</v>
      </c>
      <c r="G1" s="88"/>
      <c r="H1" s="88"/>
      <c r="I1" s="88"/>
      <c r="J1" s="88"/>
      <c r="K1" s="88">
        <f>inputPrYr!$C$5</f>
        <v>2012</v>
      </c>
    </row>
    <row r="2" spans="1:11" ht="15">
      <c r="A2" s="88"/>
      <c r="B2" s="88"/>
      <c r="C2" s="88"/>
      <c r="D2" s="88"/>
      <c r="E2" s="88"/>
      <c r="F2" s="323" t="str">
        <f>CONCATENATE("(Only the actual budget year for ",K1-2," is to be shown)")</f>
        <v>(Only the actual budget year for 2010 is to be shown)</v>
      </c>
      <c r="G2" s="88"/>
      <c r="H2" s="88"/>
      <c r="I2" s="88"/>
      <c r="J2" s="88"/>
      <c r="K2" s="88"/>
    </row>
    <row r="3" spans="1:11" ht="15">
      <c r="A3" s="88" t="s">
        <v>487</v>
      </c>
      <c r="B3" s="88"/>
      <c r="C3" s="88"/>
      <c r="D3" s="88"/>
      <c r="E3" s="88"/>
      <c r="F3" s="321"/>
      <c r="G3" s="88"/>
      <c r="H3" s="88"/>
      <c r="I3" s="88"/>
      <c r="J3" s="88"/>
      <c r="K3" s="88"/>
    </row>
    <row r="4" spans="1:11" ht="15">
      <c r="A4" s="88" t="s">
        <v>463</v>
      </c>
      <c r="B4" s="88"/>
      <c r="C4" s="88" t="s">
        <v>464</v>
      </c>
      <c r="D4" s="88"/>
      <c r="E4" s="88" t="s">
        <v>465</v>
      </c>
      <c r="F4" s="321"/>
      <c r="G4" s="88" t="s">
        <v>466</v>
      </c>
      <c r="H4" s="88"/>
      <c r="I4" s="88" t="s">
        <v>467</v>
      </c>
      <c r="J4" s="88"/>
      <c r="K4" s="88"/>
    </row>
    <row r="5" spans="1:11" ht="15">
      <c r="A5" s="514">
        <f>inputPrYr!$B48</f>
        <v>0</v>
      </c>
      <c r="B5" s="515"/>
      <c r="C5" s="514">
        <f>inputPrYr!$B49</f>
        <v>0</v>
      </c>
      <c r="D5" s="515"/>
      <c r="E5" s="514">
        <f>inputPrYr!$B50</f>
        <v>0</v>
      </c>
      <c r="F5" s="515"/>
      <c r="G5" s="514">
        <f>inputPrYr!$B51</f>
        <v>0</v>
      </c>
      <c r="H5" s="515"/>
      <c r="I5" s="514">
        <f>inputPrYr!$B52</f>
        <v>0</v>
      </c>
      <c r="J5" s="515"/>
      <c r="K5" s="111"/>
    </row>
    <row r="6" spans="1:11" ht="15">
      <c r="A6" s="325" t="s">
        <v>451</v>
      </c>
      <c r="B6" s="326"/>
      <c r="C6" s="327" t="s">
        <v>451</v>
      </c>
      <c r="D6" s="328"/>
      <c r="E6" s="327" t="s">
        <v>451</v>
      </c>
      <c r="F6" s="329"/>
      <c r="G6" s="327" t="s">
        <v>451</v>
      </c>
      <c r="H6" s="324"/>
      <c r="I6" s="327" t="s">
        <v>451</v>
      </c>
      <c r="J6" s="88"/>
      <c r="K6" s="330" t="s">
        <v>623</v>
      </c>
    </row>
    <row r="7" spans="1:11" ht="15">
      <c r="A7" s="331" t="s">
        <v>560</v>
      </c>
      <c r="B7" s="332"/>
      <c r="C7" s="333" t="s">
        <v>560</v>
      </c>
      <c r="D7" s="332"/>
      <c r="E7" s="333" t="s">
        <v>560</v>
      </c>
      <c r="F7" s="332"/>
      <c r="G7" s="333" t="s">
        <v>560</v>
      </c>
      <c r="H7" s="332"/>
      <c r="I7" s="333" t="s">
        <v>560</v>
      </c>
      <c r="J7" s="332"/>
      <c r="K7" s="334">
        <f>SUM(B7+D7+F7+H7+J7)</f>
        <v>0</v>
      </c>
    </row>
    <row r="8" spans="1:11" ht="15">
      <c r="A8" s="335" t="s">
        <v>410</v>
      </c>
      <c r="B8" s="336"/>
      <c r="C8" s="335" t="s">
        <v>410</v>
      </c>
      <c r="D8" s="337"/>
      <c r="E8" s="335" t="s">
        <v>410</v>
      </c>
      <c r="F8" s="321"/>
      <c r="G8" s="335" t="s">
        <v>410</v>
      </c>
      <c r="H8" s="88"/>
      <c r="I8" s="335" t="s">
        <v>410</v>
      </c>
      <c r="J8" s="88"/>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40"/>
      <c r="G11" s="339"/>
      <c r="H11" s="340"/>
      <c r="I11" s="341"/>
      <c r="J11" s="332"/>
      <c r="K11" s="321"/>
    </row>
    <row r="12" spans="1:11" ht="15">
      <c r="A12" s="338"/>
      <c r="B12" s="342"/>
      <c r="C12" s="338"/>
      <c r="D12" s="343"/>
      <c r="E12" s="344"/>
      <c r="F12" s="343"/>
      <c r="G12" s="344"/>
      <c r="H12" s="343"/>
      <c r="I12" s="344"/>
      <c r="J12" s="332"/>
      <c r="K12" s="321"/>
    </row>
    <row r="13" spans="1:11" ht="15">
      <c r="A13" s="345"/>
      <c r="B13" s="346"/>
      <c r="C13" s="347"/>
      <c r="D13" s="346"/>
      <c r="E13" s="347"/>
      <c r="F13" s="346"/>
      <c r="G13" s="347"/>
      <c r="H13" s="346"/>
      <c r="I13" s="341"/>
      <c r="J13" s="332"/>
      <c r="K13" s="321"/>
    </row>
    <row r="14" spans="1:11" ht="15">
      <c r="A14" s="338"/>
      <c r="B14" s="332"/>
      <c r="C14" s="344"/>
      <c r="D14" s="343"/>
      <c r="E14" s="344"/>
      <c r="F14" s="343"/>
      <c r="G14" s="344"/>
      <c r="H14" s="343"/>
      <c r="I14" s="344"/>
      <c r="J14" s="332"/>
      <c r="K14" s="321"/>
    </row>
    <row r="15" spans="1:11" ht="15">
      <c r="A15" s="338"/>
      <c r="B15" s="332"/>
      <c r="C15" s="344"/>
      <c r="D15" s="343"/>
      <c r="E15" s="344"/>
      <c r="F15" s="343"/>
      <c r="G15" s="344"/>
      <c r="H15" s="343"/>
      <c r="I15" s="344"/>
      <c r="J15" s="332"/>
      <c r="K15" s="321"/>
    </row>
    <row r="16" spans="1:11" ht="15">
      <c r="A16" s="338"/>
      <c r="B16" s="346"/>
      <c r="C16" s="338"/>
      <c r="D16" s="346"/>
      <c r="E16" s="338"/>
      <c r="F16" s="332"/>
      <c r="G16" s="344"/>
      <c r="H16" s="346"/>
      <c r="I16" s="338"/>
      <c r="J16" s="343"/>
      <c r="K16" s="321"/>
    </row>
    <row r="17" spans="1:11" ht="15">
      <c r="A17" s="335" t="s">
        <v>291</v>
      </c>
      <c r="B17" s="334">
        <f>SUM(B9:B16)</f>
        <v>0</v>
      </c>
      <c r="C17" s="335" t="s">
        <v>291</v>
      </c>
      <c r="D17" s="348">
        <f>SUM(D9:D16)</f>
        <v>0</v>
      </c>
      <c r="E17" s="335" t="s">
        <v>291</v>
      </c>
      <c r="F17" s="349">
        <f>SUM(F9:F16)</f>
        <v>0</v>
      </c>
      <c r="G17" s="335" t="s">
        <v>291</v>
      </c>
      <c r="H17" s="348">
        <f>SUM(H9:H16)</f>
        <v>0</v>
      </c>
      <c r="I17" s="335" t="s">
        <v>291</v>
      </c>
      <c r="J17" s="348">
        <f>SUM(J9:J16)</f>
        <v>0</v>
      </c>
      <c r="K17" s="334">
        <f>SUM(B17+D17+F17+H17+J17)</f>
        <v>0</v>
      </c>
    </row>
    <row r="18" spans="1:11" ht="15">
      <c r="A18" s="335" t="s">
        <v>292</v>
      </c>
      <c r="B18" s="334">
        <f>SUM(B7+B17)</f>
        <v>0</v>
      </c>
      <c r="C18" s="335" t="s">
        <v>292</v>
      </c>
      <c r="D18" s="334">
        <f>SUM(D7+D17)</f>
        <v>0</v>
      </c>
      <c r="E18" s="335" t="s">
        <v>292</v>
      </c>
      <c r="F18" s="334">
        <f>SUM(F7+F17)</f>
        <v>0</v>
      </c>
      <c r="G18" s="335" t="s">
        <v>292</v>
      </c>
      <c r="H18" s="334">
        <f>SUM(H7+H17)</f>
        <v>0</v>
      </c>
      <c r="I18" s="335" t="s">
        <v>292</v>
      </c>
      <c r="J18" s="334">
        <f>SUM(J7+J17)</f>
        <v>0</v>
      </c>
      <c r="K18" s="334">
        <f>SUM(B18+D18+F18+H18+J18)</f>
        <v>0</v>
      </c>
    </row>
    <row r="19" spans="1:11" ht="15">
      <c r="A19" s="335" t="s">
        <v>294</v>
      </c>
      <c r="B19" s="336"/>
      <c r="C19" s="335" t="s">
        <v>294</v>
      </c>
      <c r="D19" s="337"/>
      <c r="E19" s="335" t="s">
        <v>294</v>
      </c>
      <c r="F19" s="321"/>
      <c r="G19" s="335" t="s">
        <v>294</v>
      </c>
      <c r="H19" s="88"/>
      <c r="I19" s="335" t="s">
        <v>294</v>
      </c>
      <c r="J19" s="88"/>
      <c r="K19" s="321"/>
    </row>
    <row r="20" spans="1:11" ht="15">
      <c r="A20" s="338"/>
      <c r="B20" s="332"/>
      <c r="C20" s="344"/>
      <c r="D20" s="332"/>
      <c r="E20" s="344"/>
      <c r="F20" s="332"/>
      <c r="G20" s="344"/>
      <c r="H20" s="332"/>
      <c r="I20" s="344"/>
      <c r="J20" s="332"/>
      <c r="K20" s="321"/>
    </row>
    <row r="21" spans="1:11" ht="15">
      <c r="A21" s="338"/>
      <c r="B21" s="332"/>
      <c r="C21" s="344"/>
      <c r="D21" s="343"/>
      <c r="E21" s="344"/>
      <c r="F21" s="343"/>
      <c r="G21" s="344"/>
      <c r="H21" s="343"/>
      <c r="I21" s="344"/>
      <c r="J21" s="350"/>
      <c r="K21" s="321"/>
    </row>
    <row r="22" spans="1:11" ht="15">
      <c r="A22" s="338"/>
      <c r="B22" s="351"/>
      <c r="C22" s="347"/>
      <c r="D22" s="346"/>
      <c r="E22" s="347"/>
      <c r="F22" s="346"/>
      <c r="G22" s="347"/>
      <c r="H22" s="346"/>
      <c r="I22" s="341"/>
      <c r="J22" s="332"/>
      <c r="K22" s="321"/>
    </row>
    <row r="23" spans="1:11" ht="15">
      <c r="A23" s="338"/>
      <c r="B23" s="332"/>
      <c r="C23" s="344"/>
      <c r="D23" s="343"/>
      <c r="E23" s="344"/>
      <c r="F23" s="343"/>
      <c r="G23" s="344"/>
      <c r="H23" s="343"/>
      <c r="I23" s="344"/>
      <c r="J23" s="332"/>
      <c r="K23" s="321"/>
    </row>
    <row r="24" spans="1:11" ht="15">
      <c r="A24" s="338"/>
      <c r="B24" s="351"/>
      <c r="C24" s="347"/>
      <c r="D24" s="346"/>
      <c r="E24" s="347"/>
      <c r="F24" s="346"/>
      <c r="G24" s="347"/>
      <c r="H24" s="346"/>
      <c r="I24" s="341"/>
      <c r="J24" s="332"/>
      <c r="K24" s="321"/>
    </row>
    <row r="25" spans="1:11" ht="15">
      <c r="A25" s="338"/>
      <c r="B25" s="332"/>
      <c r="C25" s="344"/>
      <c r="D25" s="343"/>
      <c r="E25" s="344"/>
      <c r="F25" s="343"/>
      <c r="G25" s="344"/>
      <c r="H25" s="343"/>
      <c r="I25" s="344"/>
      <c r="J25" s="332"/>
      <c r="K25" s="321"/>
    </row>
    <row r="26" spans="1:11" ht="15">
      <c r="A26" s="338"/>
      <c r="B26" s="332"/>
      <c r="C26" s="344"/>
      <c r="D26" s="343"/>
      <c r="E26" s="344"/>
      <c r="F26" s="343"/>
      <c r="G26" s="344"/>
      <c r="H26" s="343"/>
      <c r="I26" s="344"/>
      <c r="J26" s="332"/>
      <c r="K26" s="321"/>
    </row>
    <row r="27" spans="1:11" ht="15">
      <c r="A27" s="338"/>
      <c r="B27" s="350"/>
      <c r="C27" s="338"/>
      <c r="D27" s="342"/>
      <c r="E27" s="338"/>
      <c r="F27" s="343"/>
      <c r="G27" s="344"/>
      <c r="H27" s="343"/>
      <c r="I27" s="344"/>
      <c r="J27" s="332"/>
      <c r="K27" s="321"/>
    </row>
    <row r="28" spans="1:11" ht="15">
      <c r="A28" s="335" t="s">
        <v>298</v>
      </c>
      <c r="B28" s="334">
        <f>SUM(B20:B27)</f>
        <v>0</v>
      </c>
      <c r="C28" s="335" t="s">
        <v>298</v>
      </c>
      <c r="D28" s="348">
        <f>SUM(D20:D27)</f>
        <v>0</v>
      </c>
      <c r="E28" s="335" t="s">
        <v>298</v>
      </c>
      <c r="F28" s="349">
        <f>SUM(F20:F27)</f>
        <v>0</v>
      </c>
      <c r="G28" s="335" t="s">
        <v>298</v>
      </c>
      <c r="H28" s="349">
        <f>SUM(H20:H27)</f>
        <v>0</v>
      </c>
      <c r="I28" s="335" t="s">
        <v>298</v>
      </c>
      <c r="J28" s="348">
        <f>SUM(J20:J27)</f>
        <v>0</v>
      </c>
      <c r="K28" s="334">
        <f>SUM(B28+D28+F28+H28+J28)</f>
        <v>0</v>
      </c>
    </row>
    <row r="29" spans="1:12" ht="15">
      <c r="A29" s="335" t="s">
        <v>450</v>
      </c>
      <c r="B29" s="334">
        <f>SUM(B18-B28)</f>
        <v>0</v>
      </c>
      <c r="C29" s="335" t="s">
        <v>450</v>
      </c>
      <c r="D29" s="334">
        <f>SUM(D18-D28)</f>
        <v>0</v>
      </c>
      <c r="E29" s="335" t="s">
        <v>450</v>
      </c>
      <c r="F29" s="334">
        <f>SUM(F18-F28)</f>
        <v>0</v>
      </c>
      <c r="G29" s="335" t="s">
        <v>450</v>
      </c>
      <c r="H29" s="334">
        <f>SUM(H18-H28)</f>
        <v>0</v>
      </c>
      <c r="I29" s="335" t="s">
        <v>450</v>
      </c>
      <c r="J29" s="334">
        <f>SUM(J18-J28)</f>
        <v>0</v>
      </c>
      <c r="K29" s="352">
        <f>SUM(B29+D29+F29+H29+J29)</f>
        <v>0</v>
      </c>
      <c r="L29" s="353" t="s">
        <v>526</v>
      </c>
    </row>
    <row r="30" spans="1:12" ht="15">
      <c r="A30" s="335"/>
      <c r="B30" s="380">
        <f>IF(B29&lt;0,"See Tab B","")</f>
      </c>
      <c r="C30" s="335"/>
      <c r="D30" s="380">
        <f>IF(D29&lt;0,"See Tab B","")</f>
      </c>
      <c r="E30" s="335"/>
      <c r="F30" s="380">
        <f>IF(F29&lt;0,"See Tab B","")</f>
      </c>
      <c r="G30" s="88"/>
      <c r="H30" s="380">
        <f>IF(H29&lt;0,"See Tab B","")</f>
      </c>
      <c r="I30" s="88"/>
      <c r="J30" s="380">
        <f>IF(J29&lt;0,"See Tab B","")</f>
      </c>
      <c r="K30" s="352">
        <f>SUM(K7+K17-K28)</f>
        <v>0</v>
      </c>
      <c r="L30" s="353" t="s">
        <v>526</v>
      </c>
    </row>
    <row r="31" spans="1:11" ht="15">
      <c r="A31" s="88"/>
      <c r="B31" s="354"/>
      <c r="C31" s="88"/>
      <c r="D31" s="321"/>
      <c r="E31" s="88"/>
      <c r="F31" s="88"/>
      <c r="G31" s="19" t="s">
        <v>527</v>
      </c>
      <c r="H31" s="19"/>
      <c r="I31" s="19"/>
      <c r="J31" s="19"/>
      <c r="K31" s="88"/>
    </row>
    <row r="32" spans="1:11" ht="15">
      <c r="A32" s="88"/>
      <c r="B32" s="354"/>
      <c r="C32" s="88"/>
      <c r="D32" s="88"/>
      <c r="E32" s="88"/>
      <c r="F32" s="88"/>
      <c r="G32" s="88"/>
      <c r="H32" s="88"/>
      <c r="I32" s="88"/>
      <c r="J32" s="88"/>
      <c r="K32" s="88"/>
    </row>
    <row r="33" spans="1:11" ht="15">
      <c r="A33" s="88"/>
      <c r="B33" s="354"/>
      <c r="C33" s="88"/>
      <c r="D33" s="88"/>
      <c r="E33" s="272" t="s">
        <v>301</v>
      </c>
      <c r="F33" s="279"/>
      <c r="G33" s="88"/>
      <c r="H33" s="88"/>
      <c r="I33" s="88"/>
      <c r="J33" s="88"/>
      <c r="K33" s="88"/>
    </row>
    <row r="34" ht="15">
      <c r="B34" s="355"/>
    </row>
    <row r="35" ht="15">
      <c r="B35" s="355"/>
    </row>
    <row r="36" ht="15">
      <c r="B36" s="355"/>
    </row>
    <row r="37" ht="15">
      <c r="B37" s="355"/>
    </row>
    <row r="38" ht="15">
      <c r="B38" s="355"/>
    </row>
    <row r="39" ht="15">
      <c r="B39" s="355"/>
    </row>
    <row r="40" ht="15">
      <c r="B40" s="355"/>
    </row>
    <row r="41" ht="15">
      <c r="B41" s="355"/>
    </row>
  </sheetData>
  <sheetProtection sheet="1" objects="1" scenarios="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oddFooter>&amp;Lrevised 10/02/09</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1" sqref="L1"/>
    </sheetView>
  </sheetViews>
  <sheetFormatPr defaultColWidth="8.89843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8">
        <f>inputPrYr!$C$2</f>
        <v>0</v>
      </c>
      <c r="B1" s="321"/>
      <c r="C1" s="88"/>
      <c r="D1" s="88"/>
      <c r="E1" s="88"/>
      <c r="F1" s="322" t="s">
        <v>456</v>
      </c>
      <c r="G1" s="88"/>
      <c r="H1" s="88"/>
      <c r="I1" s="88"/>
      <c r="J1" s="88"/>
      <c r="K1" s="88">
        <f>inputPrYr!$C$5</f>
        <v>2012</v>
      </c>
    </row>
    <row r="2" spans="1:11" ht="15">
      <c r="A2" s="88"/>
      <c r="B2" s="88"/>
      <c r="C2" s="88"/>
      <c r="D2" s="88"/>
      <c r="E2" s="88"/>
      <c r="F2" s="321" t="str">
        <f>CONCATENATE("(Only the actual budget year for ",K1-2," is to be shown)")</f>
        <v>(Only the actual budget year for 2010 is to be shown)</v>
      </c>
      <c r="G2" s="88"/>
      <c r="H2" s="88"/>
      <c r="I2" s="88"/>
      <c r="J2" s="88"/>
      <c r="K2" s="88"/>
    </row>
    <row r="3" spans="1:11" ht="15">
      <c r="A3" s="88" t="s">
        <v>488</v>
      </c>
      <c r="B3" s="88"/>
      <c r="C3" s="88"/>
      <c r="D3" s="88"/>
      <c r="E3" s="88"/>
      <c r="F3" s="321"/>
      <c r="G3" s="88"/>
      <c r="H3" s="88"/>
      <c r="I3" s="88"/>
      <c r="J3" s="88"/>
      <c r="K3" s="88"/>
    </row>
    <row r="4" spans="1:11" ht="15">
      <c r="A4" s="88" t="s">
        <v>463</v>
      </c>
      <c r="B4" s="88"/>
      <c r="C4" s="88" t="s">
        <v>464</v>
      </c>
      <c r="D4" s="88"/>
      <c r="E4" s="88" t="s">
        <v>465</v>
      </c>
      <c r="F4" s="321"/>
      <c r="G4" s="88" t="s">
        <v>466</v>
      </c>
      <c r="H4" s="88"/>
      <c r="I4" s="88" t="s">
        <v>467</v>
      </c>
      <c r="J4" s="88"/>
      <c r="K4" s="88"/>
    </row>
    <row r="5" spans="1:11" ht="15">
      <c r="A5" s="514">
        <f>inputPrYr!$B54</f>
        <v>0</v>
      </c>
      <c r="B5" s="515"/>
      <c r="C5" s="514">
        <f>inputPrYr!$B55</f>
        <v>0</v>
      </c>
      <c r="D5" s="515"/>
      <c r="E5" s="514">
        <f>inputPrYr!$B56</f>
        <v>0</v>
      </c>
      <c r="F5" s="515"/>
      <c r="G5" s="514">
        <f>inputPrYr!$B57</f>
        <v>0</v>
      </c>
      <c r="H5" s="515"/>
      <c r="I5" s="514">
        <f>inputPrYr!$B58</f>
        <v>0</v>
      </c>
      <c r="J5" s="515"/>
      <c r="K5" s="111"/>
    </row>
    <row r="6" spans="1:11" ht="15">
      <c r="A6" s="325" t="s">
        <v>451</v>
      </c>
      <c r="B6" s="326"/>
      <c r="C6" s="327" t="s">
        <v>451</v>
      </c>
      <c r="D6" s="328"/>
      <c r="E6" s="327" t="s">
        <v>451</v>
      </c>
      <c r="F6" s="329"/>
      <c r="G6" s="327" t="s">
        <v>451</v>
      </c>
      <c r="H6" s="324"/>
      <c r="I6" s="327" t="s">
        <v>451</v>
      </c>
      <c r="J6" s="88"/>
      <c r="K6" s="330" t="s">
        <v>623</v>
      </c>
    </row>
    <row r="7" spans="1:11" ht="15">
      <c r="A7" s="331" t="s">
        <v>450</v>
      </c>
      <c r="B7" s="332"/>
      <c r="C7" s="333" t="s">
        <v>450</v>
      </c>
      <c r="D7" s="332"/>
      <c r="E7" s="333" t="s">
        <v>450</v>
      </c>
      <c r="F7" s="332"/>
      <c r="G7" s="333" t="s">
        <v>450</v>
      </c>
      <c r="H7" s="332"/>
      <c r="I7" s="333" t="s">
        <v>450</v>
      </c>
      <c r="J7" s="332"/>
      <c r="K7" s="334">
        <f>SUM(B7+D7+F7+H7+J7)</f>
        <v>0</v>
      </c>
    </row>
    <row r="8" spans="1:11" ht="15">
      <c r="A8" s="335" t="s">
        <v>410</v>
      </c>
      <c r="B8" s="336"/>
      <c r="C8" s="335" t="s">
        <v>410</v>
      </c>
      <c r="D8" s="337"/>
      <c r="E8" s="335" t="s">
        <v>410</v>
      </c>
      <c r="F8" s="321"/>
      <c r="G8" s="335" t="s">
        <v>410</v>
      </c>
      <c r="H8" s="88"/>
      <c r="I8" s="335" t="s">
        <v>410</v>
      </c>
      <c r="J8" s="88"/>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40"/>
      <c r="G11" s="339"/>
      <c r="H11" s="340"/>
      <c r="I11" s="341"/>
      <c r="J11" s="332"/>
      <c r="K11" s="321"/>
    </row>
    <row r="12" spans="1:11" ht="15">
      <c r="A12" s="338"/>
      <c r="B12" s="342"/>
      <c r="C12" s="338"/>
      <c r="D12" s="343"/>
      <c r="E12" s="344"/>
      <c r="F12" s="343"/>
      <c r="G12" s="344"/>
      <c r="H12" s="343"/>
      <c r="I12" s="344"/>
      <c r="J12" s="332"/>
      <c r="K12" s="321"/>
    </row>
    <row r="13" spans="1:11" ht="15">
      <c r="A13" s="345"/>
      <c r="B13" s="346"/>
      <c r="C13" s="347"/>
      <c r="D13" s="346"/>
      <c r="E13" s="347"/>
      <c r="F13" s="346"/>
      <c r="G13" s="347"/>
      <c r="H13" s="346"/>
      <c r="I13" s="341"/>
      <c r="J13" s="332"/>
      <c r="K13" s="321"/>
    </row>
    <row r="14" spans="1:11" ht="15">
      <c r="A14" s="338"/>
      <c r="B14" s="332"/>
      <c r="C14" s="344"/>
      <c r="D14" s="343"/>
      <c r="E14" s="344"/>
      <c r="F14" s="343"/>
      <c r="G14" s="344"/>
      <c r="H14" s="343"/>
      <c r="I14" s="344"/>
      <c r="J14" s="332"/>
      <c r="K14" s="321"/>
    </row>
    <row r="15" spans="1:11" ht="15">
      <c r="A15" s="338"/>
      <c r="B15" s="332"/>
      <c r="C15" s="344"/>
      <c r="D15" s="343"/>
      <c r="E15" s="344"/>
      <c r="F15" s="343"/>
      <c r="G15" s="344"/>
      <c r="H15" s="343"/>
      <c r="I15" s="344"/>
      <c r="J15" s="332"/>
      <c r="K15" s="321"/>
    </row>
    <row r="16" spans="1:11" ht="15">
      <c r="A16" s="338"/>
      <c r="B16" s="346"/>
      <c r="C16" s="338"/>
      <c r="D16" s="346"/>
      <c r="E16" s="338"/>
      <c r="F16" s="332"/>
      <c r="G16" s="344"/>
      <c r="H16" s="346"/>
      <c r="I16" s="338"/>
      <c r="J16" s="343"/>
      <c r="K16" s="321"/>
    </row>
    <row r="17" spans="1:11" ht="15">
      <c r="A17" s="335" t="s">
        <v>291</v>
      </c>
      <c r="B17" s="334">
        <f>SUM(B9:B16)</f>
        <v>0</v>
      </c>
      <c r="C17" s="335" t="s">
        <v>291</v>
      </c>
      <c r="D17" s="348">
        <f>SUM(D9:D16)</f>
        <v>0</v>
      </c>
      <c r="E17" s="335" t="s">
        <v>291</v>
      </c>
      <c r="F17" s="349">
        <f>SUM(F9:F16)</f>
        <v>0</v>
      </c>
      <c r="G17" s="335" t="s">
        <v>291</v>
      </c>
      <c r="H17" s="348">
        <f>SUM(H9:H16)</f>
        <v>0</v>
      </c>
      <c r="I17" s="335" t="s">
        <v>291</v>
      </c>
      <c r="J17" s="348">
        <f>SUM(J9:J16)</f>
        <v>0</v>
      </c>
      <c r="K17" s="334">
        <f>SUM(B17+D17+F17+H17+J17)</f>
        <v>0</v>
      </c>
    </row>
    <row r="18" spans="1:11" ht="15">
      <c r="A18" s="335" t="s">
        <v>292</v>
      </c>
      <c r="B18" s="334">
        <f>SUM(B7+B17)</f>
        <v>0</v>
      </c>
      <c r="C18" s="335" t="s">
        <v>292</v>
      </c>
      <c r="D18" s="334">
        <f>SUM(D7+D17)</f>
        <v>0</v>
      </c>
      <c r="E18" s="335" t="s">
        <v>292</v>
      </c>
      <c r="F18" s="334">
        <f>SUM(F7+F17)</f>
        <v>0</v>
      </c>
      <c r="G18" s="335" t="s">
        <v>292</v>
      </c>
      <c r="H18" s="334">
        <f>SUM(H7+H17)</f>
        <v>0</v>
      </c>
      <c r="I18" s="335" t="s">
        <v>292</v>
      </c>
      <c r="J18" s="334">
        <f>SUM(J7+J17)</f>
        <v>0</v>
      </c>
      <c r="K18" s="334">
        <f>SUM(B18+D18+F18+H18+J18)</f>
        <v>0</v>
      </c>
    </row>
    <row r="19" spans="1:11" ht="15">
      <c r="A19" s="335" t="s">
        <v>294</v>
      </c>
      <c r="B19" s="336"/>
      <c r="C19" s="335" t="s">
        <v>294</v>
      </c>
      <c r="D19" s="337"/>
      <c r="E19" s="335" t="s">
        <v>294</v>
      </c>
      <c r="F19" s="321"/>
      <c r="G19" s="335" t="s">
        <v>294</v>
      </c>
      <c r="H19" s="88"/>
      <c r="I19" s="335" t="s">
        <v>294</v>
      </c>
      <c r="J19" s="88"/>
      <c r="K19" s="321"/>
    </row>
    <row r="20" spans="1:11" ht="15">
      <c r="A20" s="338"/>
      <c r="B20" s="332"/>
      <c r="C20" s="344"/>
      <c r="D20" s="332"/>
      <c r="E20" s="344"/>
      <c r="F20" s="332"/>
      <c r="G20" s="344"/>
      <c r="H20" s="332"/>
      <c r="I20" s="344"/>
      <c r="J20" s="332"/>
      <c r="K20" s="321"/>
    </row>
    <row r="21" spans="1:11" ht="15">
      <c r="A21" s="338"/>
      <c r="B21" s="332"/>
      <c r="C21" s="344"/>
      <c r="D21" s="343"/>
      <c r="E21" s="344"/>
      <c r="F21" s="343"/>
      <c r="G21" s="344"/>
      <c r="H21" s="343"/>
      <c r="I21" s="344"/>
      <c r="J21" s="350"/>
      <c r="K21" s="321"/>
    </row>
    <row r="22" spans="1:11" ht="15">
      <c r="A22" s="338"/>
      <c r="B22" s="351"/>
      <c r="C22" s="347"/>
      <c r="D22" s="346"/>
      <c r="E22" s="347"/>
      <c r="F22" s="346"/>
      <c r="G22" s="347"/>
      <c r="H22" s="346"/>
      <c r="I22" s="341"/>
      <c r="J22" s="332"/>
      <c r="K22" s="321"/>
    </row>
    <row r="23" spans="1:11" ht="15">
      <c r="A23" s="338"/>
      <c r="B23" s="332"/>
      <c r="C23" s="344"/>
      <c r="D23" s="343"/>
      <c r="E23" s="344"/>
      <c r="F23" s="343"/>
      <c r="G23" s="344"/>
      <c r="H23" s="343"/>
      <c r="I23" s="344"/>
      <c r="J23" s="332"/>
      <c r="K23" s="321"/>
    </row>
    <row r="24" spans="1:11" ht="15">
      <c r="A24" s="338"/>
      <c r="B24" s="351"/>
      <c r="C24" s="347"/>
      <c r="D24" s="346"/>
      <c r="E24" s="347"/>
      <c r="F24" s="346"/>
      <c r="G24" s="347"/>
      <c r="H24" s="346"/>
      <c r="I24" s="341"/>
      <c r="J24" s="332"/>
      <c r="K24" s="321"/>
    </row>
    <row r="25" spans="1:11" ht="15">
      <c r="A25" s="338"/>
      <c r="B25" s="332"/>
      <c r="C25" s="344"/>
      <c r="D25" s="343"/>
      <c r="E25" s="344"/>
      <c r="F25" s="343"/>
      <c r="G25" s="344"/>
      <c r="H25" s="343"/>
      <c r="I25" s="344"/>
      <c r="J25" s="332"/>
      <c r="K25" s="321"/>
    </row>
    <row r="26" spans="1:11" ht="15">
      <c r="A26" s="338"/>
      <c r="B26" s="332"/>
      <c r="C26" s="344"/>
      <c r="D26" s="343"/>
      <c r="E26" s="344"/>
      <c r="F26" s="343"/>
      <c r="G26" s="344"/>
      <c r="H26" s="343"/>
      <c r="I26" s="344"/>
      <c r="J26" s="332"/>
      <c r="K26" s="321"/>
    </row>
    <row r="27" spans="1:11" ht="15">
      <c r="A27" s="338"/>
      <c r="B27" s="350"/>
      <c r="C27" s="338"/>
      <c r="D27" s="342"/>
      <c r="E27" s="338"/>
      <c r="F27" s="343"/>
      <c r="G27" s="344"/>
      <c r="H27" s="343"/>
      <c r="I27" s="344"/>
      <c r="J27" s="332"/>
      <c r="K27" s="321"/>
    </row>
    <row r="28" spans="1:11" ht="15">
      <c r="A28" s="335" t="s">
        <v>298</v>
      </c>
      <c r="B28" s="334">
        <f>SUM(B20:B27)</f>
        <v>0</v>
      </c>
      <c r="C28" s="335" t="s">
        <v>298</v>
      </c>
      <c r="D28" s="348">
        <f>SUM(D20:D27)</f>
        <v>0</v>
      </c>
      <c r="E28" s="335" t="s">
        <v>298</v>
      </c>
      <c r="F28" s="349">
        <f>SUM(F20:F27)</f>
        <v>0</v>
      </c>
      <c r="G28" s="335" t="s">
        <v>298</v>
      </c>
      <c r="H28" s="349">
        <f>SUM(H20:H27)</f>
        <v>0</v>
      </c>
      <c r="I28" s="335" t="s">
        <v>298</v>
      </c>
      <c r="J28" s="348">
        <f>SUM(J20:J27)</f>
        <v>0</v>
      </c>
      <c r="K28" s="334">
        <f>SUM(B28+D28+F28+H28+J28)</f>
        <v>0</v>
      </c>
    </row>
    <row r="29" spans="1:12" ht="15">
      <c r="A29" s="335" t="s">
        <v>450</v>
      </c>
      <c r="B29" s="334">
        <f>SUM(B18-B28)</f>
        <v>0</v>
      </c>
      <c r="C29" s="335" t="s">
        <v>450</v>
      </c>
      <c r="D29" s="334">
        <f>SUM(D18-D28)</f>
        <v>0</v>
      </c>
      <c r="E29" s="335" t="s">
        <v>450</v>
      </c>
      <c r="F29" s="334">
        <f>SUM(F18-F28)</f>
        <v>0</v>
      </c>
      <c r="G29" s="335" t="s">
        <v>450</v>
      </c>
      <c r="H29" s="334">
        <f>SUM(H18-H28)</f>
        <v>0</v>
      </c>
      <c r="I29" s="335" t="s">
        <v>450</v>
      </c>
      <c r="J29" s="334">
        <f>SUM(J18-J28)</f>
        <v>0</v>
      </c>
      <c r="K29" s="352">
        <f>SUM(B29+D29+F29+H29+J29)</f>
        <v>0</v>
      </c>
      <c r="L29" s="353" t="s">
        <v>526</v>
      </c>
    </row>
    <row r="30" spans="1:12" ht="15">
      <c r="A30" s="335"/>
      <c r="B30" s="380">
        <f>IF(B29&lt;0,"See Tab B","")</f>
      </c>
      <c r="C30" s="335"/>
      <c r="D30" s="380">
        <f>IF(D29&lt;0,"See Tab B","")</f>
      </c>
      <c r="E30" s="335"/>
      <c r="F30" s="380">
        <f>IF(F29&lt;0,"See Tab B","")</f>
      </c>
      <c r="G30" s="88"/>
      <c r="H30" s="380">
        <f>IF(H29&lt;0,"See Tab B","")</f>
      </c>
      <c r="I30" s="88"/>
      <c r="J30" s="380">
        <f>IF(J29&lt;0,"See Tab B","")</f>
      </c>
      <c r="K30" s="352">
        <f>SUM(K7+K17-K28)</f>
        <v>0</v>
      </c>
      <c r="L30" s="353" t="s">
        <v>526</v>
      </c>
    </row>
    <row r="31" spans="1:11" ht="15">
      <c r="A31" s="88"/>
      <c r="B31" s="354"/>
      <c r="C31" s="88"/>
      <c r="D31" s="321"/>
      <c r="E31" s="88"/>
      <c r="F31" s="88"/>
      <c r="G31" s="19" t="s">
        <v>527</v>
      </c>
      <c r="H31" s="19"/>
      <c r="I31" s="19"/>
      <c r="J31" s="19"/>
      <c r="K31" s="88"/>
    </row>
    <row r="32" spans="1:11" ht="15">
      <c r="A32" s="88"/>
      <c r="B32" s="354"/>
      <c r="C32" s="88"/>
      <c r="D32" s="88"/>
      <c r="E32" s="88"/>
      <c r="F32" s="88"/>
      <c r="G32" s="88"/>
      <c r="H32" s="88"/>
      <c r="I32" s="88"/>
      <c r="J32" s="88"/>
      <c r="K32" s="88"/>
    </row>
    <row r="33" spans="1:11" ht="15">
      <c r="A33" s="88"/>
      <c r="B33" s="354"/>
      <c r="C33" s="88"/>
      <c r="D33" s="88"/>
      <c r="E33" s="272" t="s">
        <v>301</v>
      </c>
      <c r="F33" s="279"/>
      <c r="G33" s="88"/>
      <c r="H33" s="88"/>
      <c r="I33" s="88"/>
      <c r="J33" s="88"/>
      <c r="K33" s="88"/>
    </row>
    <row r="34" ht="15">
      <c r="B34" s="355"/>
    </row>
    <row r="35" ht="15">
      <c r="B35" s="355"/>
    </row>
    <row r="36" ht="15">
      <c r="B36" s="355"/>
    </row>
    <row r="37" ht="15">
      <c r="B37" s="355"/>
    </row>
    <row r="38" ht="15">
      <c r="B38" s="355"/>
    </row>
    <row r="39" ht="15">
      <c r="B39" s="355"/>
    </row>
    <row r="40" ht="15">
      <c r="B40" s="355"/>
    </row>
    <row r="41" ht="15">
      <c r="B41" s="35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E45" sqref="E45"/>
    </sheetView>
  </sheetViews>
  <sheetFormatPr defaultColWidth="8.8984375" defaultRowHeight="15"/>
  <cols>
    <col min="1" max="1" width="15.69921875" style="85" customWidth="1"/>
    <col min="2" max="2" width="20.69921875" style="85" customWidth="1"/>
    <col min="3" max="3" width="9.69921875" style="85" customWidth="1"/>
    <col min="4" max="4" width="15.09765625" style="85" customWidth="1"/>
    <col min="5" max="5" width="15.69921875" style="85" customWidth="1"/>
    <col min="6" max="16384" width="8.8984375" style="85" customWidth="1"/>
  </cols>
  <sheetData>
    <row r="1" spans="1:5" ht="15">
      <c r="A1" s="86" t="str">
        <f>inputPrYr!$D$2</f>
        <v>CITY OF BURR OAK</v>
      </c>
      <c r="B1" s="87"/>
      <c r="C1" s="87"/>
      <c r="D1" s="87"/>
      <c r="E1" s="88">
        <f>inputPrYr!C5</f>
        <v>2012</v>
      </c>
    </row>
    <row r="2" spans="1:5" ht="15">
      <c r="A2" s="87"/>
      <c r="B2" s="87"/>
      <c r="C2" s="87"/>
      <c r="D2" s="87"/>
      <c r="E2" s="87"/>
    </row>
    <row r="3" spans="1:5" ht="15">
      <c r="A3" s="426" t="s">
        <v>517</v>
      </c>
      <c r="B3" s="427"/>
      <c r="C3" s="427"/>
      <c r="D3" s="427"/>
      <c r="E3" s="427"/>
    </row>
    <row r="4" spans="1:5" ht="15">
      <c r="A4" s="35"/>
      <c r="B4" s="35"/>
      <c r="C4" s="35"/>
      <c r="D4" s="35"/>
      <c r="E4" s="35"/>
    </row>
    <row r="5" spans="1:5" ht="15">
      <c r="A5" s="38" t="str">
        <f>CONCATENATE("From the County Clerks ",E1," Budget Information:")</f>
        <v>From the County Clerks 2012 Budget Information:</v>
      </c>
      <c r="B5" s="39"/>
      <c r="C5" s="39"/>
      <c r="D5" s="22"/>
      <c r="E5" s="51"/>
    </row>
    <row r="6" spans="1:5" ht="15">
      <c r="A6" s="89" t="str">
        <f>CONCATENATE("Total Assessed Valuation for ",E1-1,"")</f>
        <v>Total Assessed Valuation for 2011</v>
      </c>
      <c r="B6" s="78"/>
      <c r="C6" s="78"/>
      <c r="D6" s="78"/>
      <c r="E6" s="50">
        <v>434526</v>
      </c>
    </row>
    <row r="7" spans="1:5" ht="15">
      <c r="A7" s="89" t="str">
        <f>CONCATENATE("New Improvements for ",E1-1,"")</f>
        <v>New Improvements for 2011</v>
      </c>
      <c r="B7" s="78"/>
      <c r="C7" s="78"/>
      <c r="D7" s="78"/>
      <c r="E7" s="90">
        <v>0</v>
      </c>
    </row>
    <row r="8" spans="1:5" ht="15">
      <c r="A8" s="89" t="str">
        <f>CONCATENATE("Personal Property  excluding oil, gas, and mobile homes - ",E1-1,"")</f>
        <v>Personal Property  excluding oil, gas, and mobile homes - 2011</v>
      </c>
      <c r="B8" s="78"/>
      <c r="C8" s="78"/>
      <c r="D8" s="78"/>
      <c r="E8" s="90">
        <v>27906</v>
      </c>
    </row>
    <row r="9" spans="1:5" ht="15">
      <c r="A9" s="91" t="s">
        <v>435</v>
      </c>
      <c r="B9" s="78"/>
      <c r="C9" s="78"/>
      <c r="D9" s="78"/>
      <c r="E9" s="70"/>
    </row>
    <row r="10" spans="1:5" ht="15">
      <c r="A10" s="89" t="s">
        <v>401</v>
      </c>
      <c r="B10" s="78"/>
      <c r="C10" s="78"/>
      <c r="D10" s="78"/>
      <c r="E10" s="90"/>
    </row>
    <row r="11" spans="1:5" ht="15">
      <c r="A11" s="89" t="s">
        <v>402</v>
      </c>
      <c r="B11" s="78"/>
      <c r="C11" s="78"/>
      <c r="D11" s="78"/>
      <c r="E11" s="90"/>
    </row>
    <row r="12" spans="1:5" ht="15">
      <c r="A12" s="89" t="s">
        <v>403</v>
      </c>
      <c r="B12" s="78"/>
      <c r="C12" s="78"/>
      <c r="D12" s="78"/>
      <c r="E12" s="90"/>
    </row>
    <row r="13" spans="1:5" ht="15">
      <c r="A13" s="89" t="str">
        <f>CONCATENATE("Property that has changed in use for ",E1-1,"")</f>
        <v>Property that has changed in use for 2011</v>
      </c>
      <c r="B13" s="78"/>
      <c r="C13" s="78"/>
      <c r="D13" s="78"/>
      <c r="E13" s="90"/>
    </row>
    <row r="14" spans="1:5" ht="15">
      <c r="A14" s="89" t="str">
        <f>CONCATENATE("Personal Property excluding oil, gas, and mobile homes - ",E1-2,"")</f>
        <v>Personal Property excluding oil, gas, and mobile homes - 2010</v>
      </c>
      <c r="B14" s="78"/>
      <c r="C14" s="78"/>
      <c r="D14" s="78"/>
      <c r="E14" s="90">
        <v>22104</v>
      </c>
    </row>
    <row r="15" spans="1:5" ht="15">
      <c r="A15" s="89" t="str">
        <f>CONCATENATE("Gross earnings (intangible) tax estimate for ",E1,"")</f>
        <v>Gross earnings (intangible) tax estimate for 2012</v>
      </c>
      <c r="B15" s="78"/>
      <c r="C15" s="78"/>
      <c r="D15" s="79"/>
      <c r="E15" s="50">
        <v>2260</v>
      </c>
    </row>
    <row r="16" spans="1:5" ht="15">
      <c r="A16" s="89" t="s">
        <v>436</v>
      </c>
      <c r="B16" s="78"/>
      <c r="C16" s="78"/>
      <c r="D16" s="78"/>
      <c r="E16" s="49"/>
    </row>
    <row r="17" spans="1:5" ht="15">
      <c r="A17" s="63"/>
      <c r="B17" s="61"/>
      <c r="C17" s="61"/>
      <c r="D17" s="61"/>
      <c r="E17" s="65"/>
    </row>
    <row r="18" spans="1:5" ht="15">
      <c r="A18" s="63" t="str">
        <f>CONCATENATE("Actual Tax Rates for the ",E1-1," Budget:")</f>
        <v>Actual Tax Rates for the 2011 Budget:</v>
      </c>
      <c r="B18" s="61"/>
      <c r="C18" s="61"/>
      <c r="D18" s="61"/>
      <c r="E18" s="59"/>
    </row>
    <row r="19" spans="1:5" ht="15">
      <c r="A19" s="430" t="s">
        <v>271</v>
      </c>
      <c r="B19" s="431"/>
      <c r="C19" s="92"/>
      <c r="D19" s="93" t="s">
        <v>325</v>
      </c>
      <c r="E19" s="59"/>
    </row>
    <row r="20" spans="1:5" ht="15">
      <c r="A20" s="55" t="s">
        <v>622</v>
      </c>
      <c r="B20" s="56"/>
      <c r="C20" s="61"/>
      <c r="D20" s="94">
        <v>31.409</v>
      </c>
      <c r="E20" s="65"/>
    </row>
    <row r="21" spans="1:5" ht="15">
      <c r="A21" s="89" t="s">
        <v>437</v>
      </c>
      <c r="B21" s="78"/>
      <c r="C21" s="61"/>
      <c r="D21" s="95"/>
      <c r="E21" s="65"/>
    </row>
    <row r="22" spans="1:5" ht="15">
      <c r="A22" s="89" t="str">
        <f>inputPrYr!B20</f>
        <v>Library</v>
      </c>
      <c r="B22" s="78"/>
      <c r="C22" s="61"/>
      <c r="D22" s="95"/>
      <c r="E22" s="65"/>
    </row>
    <row r="23" spans="1:5" ht="15">
      <c r="A23" s="89" t="str">
        <f>inputPrYr!B21</f>
        <v>Employee Benefits</v>
      </c>
      <c r="B23" s="78"/>
      <c r="C23" s="61"/>
      <c r="D23" s="95"/>
      <c r="E23" s="65"/>
    </row>
    <row r="24" spans="1:5" ht="15">
      <c r="A24" s="89">
        <f>inputPrYr!B22</f>
        <v>0</v>
      </c>
      <c r="B24" s="78"/>
      <c r="C24" s="61"/>
      <c r="D24" s="95"/>
      <c r="E24" s="65"/>
    </row>
    <row r="25" spans="1:5" ht="15">
      <c r="A25" s="89">
        <f>inputPrYr!B23</f>
        <v>0</v>
      </c>
      <c r="B25" s="96"/>
      <c r="C25" s="61"/>
      <c r="D25" s="97"/>
      <c r="E25" s="65"/>
    </row>
    <row r="26" spans="1:5" ht="15">
      <c r="A26" s="89">
        <f>inputPrYr!B24</f>
        <v>0</v>
      </c>
      <c r="B26" s="96"/>
      <c r="C26" s="61"/>
      <c r="D26" s="97"/>
      <c r="E26" s="65"/>
    </row>
    <row r="27" spans="1:5" ht="15">
      <c r="A27" s="89">
        <f>inputPrYr!B25</f>
        <v>0</v>
      </c>
      <c r="B27" s="96"/>
      <c r="C27" s="61"/>
      <c r="D27" s="97"/>
      <c r="E27" s="65"/>
    </row>
    <row r="28" spans="1:5" ht="15">
      <c r="A28" s="89">
        <f>inputPrYr!B26</f>
        <v>0</v>
      </c>
      <c r="B28" s="96"/>
      <c r="C28" s="61"/>
      <c r="D28" s="97"/>
      <c r="E28" s="65"/>
    </row>
    <row r="29" spans="1:5" ht="15">
      <c r="A29" s="89">
        <f>inputPrYr!B27</f>
        <v>0</v>
      </c>
      <c r="B29" s="96"/>
      <c r="C29" s="61"/>
      <c r="D29" s="97"/>
      <c r="E29" s="65"/>
    </row>
    <row r="30" spans="1:5" ht="15">
      <c r="A30" s="89">
        <f>inputPrYr!B28</f>
        <v>0</v>
      </c>
      <c r="B30" s="96"/>
      <c r="C30" s="61"/>
      <c r="D30" s="97"/>
      <c r="E30" s="65"/>
    </row>
    <row r="31" spans="1:5" ht="15">
      <c r="A31" s="89">
        <f>inputPrYr!B29</f>
        <v>0</v>
      </c>
      <c r="B31" s="78"/>
      <c r="C31" s="61"/>
      <c r="D31" s="97"/>
      <c r="E31" s="65"/>
    </row>
    <row r="32" spans="1:5" ht="15">
      <c r="A32" s="92"/>
      <c r="B32" s="56" t="s">
        <v>623</v>
      </c>
      <c r="C32" s="98"/>
      <c r="D32" s="73">
        <f>SUM(D20:D31)</f>
        <v>31.409</v>
      </c>
      <c r="E32" s="92"/>
    </row>
    <row r="33" spans="1:5" ht="15">
      <c r="A33" s="92"/>
      <c r="B33" s="92"/>
      <c r="C33" s="92"/>
      <c r="D33" s="92"/>
      <c r="E33" s="92"/>
    </row>
    <row r="34" spans="1:5" ht="15">
      <c r="A34" s="56" t="str">
        <f>CONCATENATE("Final Assessed Valuation from the November 1, ",E1-2," Abstract")</f>
        <v>Final Assessed Valuation from the November 1, 2010 Abstract</v>
      </c>
      <c r="B34" s="99"/>
      <c r="C34" s="99"/>
      <c r="D34" s="99"/>
      <c r="E34" s="49">
        <v>427080</v>
      </c>
    </row>
    <row r="35" spans="1:5" ht="15">
      <c r="A35" s="92"/>
      <c r="B35" s="92"/>
      <c r="C35" s="92"/>
      <c r="D35" s="92"/>
      <c r="E35" s="92"/>
    </row>
    <row r="36" spans="1:5" ht="15">
      <c r="A36" s="68" t="str">
        <f>CONCATENATE("From the County Treasurer's Budget Information - ",E1," Budget Year Estimates:")</f>
        <v>From the County Treasurer's Budget Information - 2012 Budget Year Estimates:</v>
      </c>
      <c r="B36" s="37"/>
      <c r="C36" s="37"/>
      <c r="D36" s="100"/>
      <c r="E36" s="51"/>
    </row>
    <row r="37" spans="1:5" ht="15">
      <c r="A37" s="55" t="s">
        <v>624</v>
      </c>
      <c r="B37" s="56"/>
      <c r="C37" s="56"/>
      <c r="D37" s="101"/>
      <c r="E37" s="50">
        <v>5457</v>
      </c>
    </row>
    <row r="38" spans="1:5" ht="15">
      <c r="A38" s="89" t="s">
        <v>625</v>
      </c>
      <c r="B38" s="78"/>
      <c r="C38" s="78"/>
      <c r="D38" s="102"/>
      <c r="E38" s="50">
        <v>91</v>
      </c>
    </row>
    <row r="39" spans="1:5" ht="15">
      <c r="A39" s="89" t="s">
        <v>438</v>
      </c>
      <c r="B39" s="78"/>
      <c r="C39" s="78"/>
      <c r="D39" s="102"/>
      <c r="E39" s="50">
        <v>168</v>
      </c>
    </row>
    <row r="40" spans="1:5" ht="15">
      <c r="A40" s="89" t="s">
        <v>439</v>
      </c>
      <c r="B40" s="78"/>
      <c r="C40" s="78"/>
      <c r="D40" s="102"/>
      <c r="E40" s="50"/>
    </row>
    <row r="41" spans="1:5" ht="15">
      <c r="A41" s="89" t="s">
        <v>440</v>
      </c>
      <c r="B41" s="78"/>
      <c r="C41" s="78"/>
      <c r="D41" s="102"/>
      <c r="E41" s="50"/>
    </row>
    <row r="42" spans="1:5" ht="15">
      <c r="A42" s="55" t="s">
        <v>441</v>
      </c>
      <c r="B42" s="56"/>
      <c r="C42" s="56"/>
      <c r="D42" s="101"/>
      <c r="E42" s="50"/>
    </row>
    <row r="43" spans="1:5" ht="15">
      <c r="A43" s="22" t="s">
        <v>442</v>
      </c>
      <c r="B43" s="22"/>
      <c r="C43" s="22"/>
      <c r="D43" s="22"/>
      <c r="E43" s="22"/>
    </row>
    <row r="44" spans="1:5" ht="15">
      <c r="A44" s="24" t="s">
        <v>279</v>
      </c>
      <c r="B44" s="33"/>
      <c r="C44" s="33"/>
      <c r="D44" s="22"/>
      <c r="E44" s="22"/>
    </row>
    <row r="45" spans="1:5" ht="15">
      <c r="A45" s="63" t="str">
        <f>CONCATENATE("Actual Delinquency for ",E1-2," Tax (round to three decimal places)")</f>
        <v>Actual Delinquency for 2010 Tax (round to three decimal places)</v>
      </c>
      <c r="B45" s="61"/>
      <c r="C45" s="22"/>
      <c r="D45" s="22"/>
      <c r="E45" s="103"/>
    </row>
    <row r="46" spans="1:5" ht="15">
      <c r="A46" s="63" t="s">
        <v>490</v>
      </c>
      <c r="B46" s="63"/>
      <c r="C46" s="61"/>
      <c r="D46" s="61"/>
      <c r="E46" s="104"/>
    </row>
    <row r="47" spans="1:5" ht="15">
      <c r="A47" s="105" t="s">
        <v>489</v>
      </c>
      <c r="B47" s="105"/>
      <c r="C47" s="106"/>
      <c r="D47" s="106"/>
      <c r="E47" s="107"/>
    </row>
    <row r="48" spans="1:5" ht="15">
      <c r="A48" s="22"/>
      <c r="B48" s="22"/>
      <c r="C48" s="22"/>
      <c r="D48" s="22"/>
      <c r="E48" s="22"/>
    </row>
    <row r="49" spans="1:5" ht="15">
      <c r="A49" s="108" t="s">
        <v>536</v>
      </c>
      <c r="B49" s="109"/>
      <c r="C49" s="110"/>
      <c r="D49" s="110"/>
      <c r="E49" s="110"/>
    </row>
    <row r="50" spans="1:5" ht="15">
      <c r="A50" s="111" t="str">
        <f>CONCATENATE("",E1," State Distribution for Kansas Gas Tax")</f>
        <v>2012 State Distribution for Kansas Gas Tax</v>
      </c>
      <c r="B50" s="112"/>
      <c r="C50" s="112"/>
      <c r="D50" s="113"/>
      <c r="E50" s="49">
        <v>5600</v>
      </c>
    </row>
    <row r="51" spans="1:5" ht="15">
      <c r="A51" s="114" t="str">
        <f>CONCATENATE("",E1," County Transfers for Gas***")</f>
        <v>2012 County Transfers for Gas***</v>
      </c>
      <c r="B51" s="115"/>
      <c r="C51" s="115"/>
      <c r="D51" s="116"/>
      <c r="E51" s="49"/>
    </row>
    <row r="52" spans="1:5" ht="15">
      <c r="A52" s="114" t="str">
        <f>CONCATENATE("Adjusted ",E1-1," State Distribution for Kansas Gas Tax")</f>
        <v>Adjusted 2011 State Distribution for Kansas Gas Tax</v>
      </c>
      <c r="B52" s="115"/>
      <c r="C52" s="115"/>
      <c r="D52" s="116"/>
      <c r="E52" s="49">
        <v>5600</v>
      </c>
    </row>
    <row r="53" spans="1:5" ht="15">
      <c r="A53" s="114" t="str">
        <f>CONCATENATE("Adjusted ",E1-1," County Transfers for Gas***")</f>
        <v>Adjusted 2011 County Transfers for Gas***</v>
      </c>
      <c r="B53" s="115"/>
      <c r="C53" s="115"/>
      <c r="D53" s="116"/>
      <c r="E53" s="49"/>
    </row>
    <row r="54" spans="1:5" ht="15">
      <c r="A54" s="432" t="s">
        <v>511</v>
      </c>
      <c r="B54" s="433"/>
      <c r="C54" s="433"/>
      <c r="D54" s="433"/>
      <c r="E54" s="433"/>
    </row>
    <row r="55" spans="1:5" ht="15">
      <c r="A55" s="117" t="s">
        <v>512</v>
      </c>
      <c r="B55" s="117"/>
      <c r="C55" s="117"/>
      <c r="D55" s="117"/>
      <c r="E55" s="117"/>
    </row>
    <row r="56" spans="1:5" ht="15">
      <c r="A56" s="87"/>
      <c r="B56" s="87"/>
      <c r="C56" s="87"/>
      <c r="D56" s="87"/>
      <c r="E56" s="87"/>
    </row>
    <row r="57" spans="1:5" ht="15">
      <c r="A57" s="434" t="str">
        <f>CONCATENATE("From the ",E1-2," Budget Certificate Page")</f>
        <v>From the 2010 Budget Certificate Page</v>
      </c>
      <c r="B57" s="435"/>
      <c r="C57" s="87"/>
      <c r="D57" s="87"/>
      <c r="E57" s="87"/>
    </row>
    <row r="58" spans="1:5" ht="15">
      <c r="A58" s="118"/>
      <c r="B58" s="118" t="str">
        <f>CONCATENATE("",E1-2," Expenditure Amounts")</f>
        <v>2010 Expenditure Amounts</v>
      </c>
      <c r="C58" s="428" t="str">
        <f>CONCATENATE("Note: If the ",E1-2," budget was amended, then the")</f>
        <v>Note: If the 2010 budget was amended, then the</v>
      </c>
      <c r="D58" s="429"/>
      <c r="E58" s="429"/>
    </row>
    <row r="59" spans="1:5" ht="15">
      <c r="A59" s="119" t="s">
        <v>544</v>
      </c>
      <c r="B59" s="119" t="s">
        <v>545</v>
      </c>
      <c r="C59" s="120" t="s">
        <v>546</v>
      </c>
      <c r="D59" s="121"/>
      <c r="E59" s="121"/>
    </row>
    <row r="60" spans="1:5" ht="15">
      <c r="A60" s="122" t="str">
        <f>inputPrYr!B17</f>
        <v>General</v>
      </c>
      <c r="B60" s="49">
        <v>44298</v>
      </c>
      <c r="C60" s="120" t="s">
        <v>547</v>
      </c>
      <c r="D60" s="121"/>
      <c r="E60" s="121"/>
    </row>
    <row r="61" spans="1:5" ht="15">
      <c r="A61" s="122" t="str">
        <f>inputPrYr!B18</f>
        <v>Debt Service</v>
      </c>
      <c r="B61" s="49"/>
      <c r="C61" s="120"/>
      <c r="D61" s="121"/>
      <c r="E61" s="121"/>
    </row>
    <row r="62" spans="1:5" ht="15">
      <c r="A62" s="122" t="str">
        <f>inputPrYr!B20</f>
        <v>Library</v>
      </c>
      <c r="B62" s="49"/>
      <c r="C62" s="87"/>
      <c r="D62" s="87"/>
      <c r="E62" s="87"/>
    </row>
    <row r="63" spans="1:5" ht="15">
      <c r="A63" s="122" t="str">
        <f>inputPrYr!B21</f>
        <v>Employee Benefits</v>
      </c>
      <c r="B63" s="49"/>
      <c r="C63" s="87"/>
      <c r="D63" s="87"/>
      <c r="E63" s="87"/>
    </row>
    <row r="64" spans="1:5" ht="15">
      <c r="A64" s="122">
        <f>inputPrYr!B22</f>
        <v>0</v>
      </c>
      <c r="B64" s="49"/>
      <c r="C64" s="87"/>
      <c r="D64" s="87"/>
      <c r="E64" s="87"/>
    </row>
    <row r="65" spans="1:5" ht="15">
      <c r="A65" s="122">
        <f>inputPrYr!B23</f>
        <v>0</v>
      </c>
      <c r="B65" s="49"/>
      <c r="C65" s="87"/>
      <c r="D65" s="87"/>
      <c r="E65" s="87"/>
    </row>
    <row r="66" spans="1:5" ht="15">
      <c r="A66" s="122">
        <f>inputPrYr!B24</f>
        <v>0</v>
      </c>
      <c r="B66" s="49"/>
      <c r="C66" s="87"/>
      <c r="D66" s="87"/>
      <c r="E66" s="87"/>
    </row>
    <row r="67" spans="1:5" ht="15">
      <c r="A67" s="122">
        <f>inputPrYr!B25</f>
        <v>0</v>
      </c>
      <c r="B67" s="49"/>
      <c r="C67" s="87"/>
      <c r="D67" s="87"/>
      <c r="E67" s="87"/>
    </row>
    <row r="68" spans="1:5" ht="15">
      <c r="A68" s="122">
        <f>inputPrYr!B26</f>
        <v>0</v>
      </c>
      <c r="B68" s="49"/>
      <c r="C68" s="87"/>
      <c r="D68" s="87"/>
      <c r="E68" s="87"/>
    </row>
    <row r="69" spans="1:5" ht="15">
      <c r="A69" s="122">
        <f>inputPrYr!B27</f>
        <v>0</v>
      </c>
      <c r="B69" s="49"/>
      <c r="C69" s="87"/>
      <c r="D69" s="87"/>
      <c r="E69" s="87"/>
    </row>
    <row r="70" spans="1:5" ht="15">
      <c r="A70" s="122">
        <f>inputPrYr!B28</f>
        <v>0</v>
      </c>
      <c r="B70" s="49"/>
      <c r="C70" s="87"/>
      <c r="D70" s="87"/>
      <c r="E70" s="87"/>
    </row>
    <row r="71" spans="1:5" ht="15">
      <c r="A71" s="122">
        <f>inputPrYr!B29</f>
        <v>0</v>
      </c>
      <c r="B71" s="49"/>
      <c r="C71" s="87"/>
      <c r="D71" s="87"/>
      <c r="E71" s="87"/>
    </row>
    <row r="72" spans="1:5" ht="15">
      <c r="A72" s="122" t="str">
        <f>inputPrYr!B33</f>
        <v>Special Highway</v>
      </c>
      <c r="B72" s="49">
        <v>6500</v>
      </c>
      <c r="C72" s="87"/>
      <c r="D72" s="87"/>
      <c r="E72" s="87"/>
    </row>
    <row r="73" spans="1:5" ht="15">
      <c r="A73" s="122" t="str">
        <f>inputPrYr!B34</f>
        <v>Water</v>
      </c>
      <c r="B73" s="49">
        <v>31000</v>
      </c>
      <c r="C73" s="87"/>
      <c r="D73" s="87"/>
      <c r="E73" s="87"/>
    </row>
    <row r="74" spans="1:5" ht="15">
      <c r="A74" s="122" t="str">
        <f>inputPrYr!B35</f>
        <v>Sewer</v>
      </c>
      <c r="B74" s="49">
        <v>13600</v>
      </c>
      <c r="C74" s="87"/>
      <c r="D74" s="87"/>
      <c r="E74" s="87"/>
    </row>
    <row r="75" spans="1:5" ht="15">
      <c r="A75" s="122" t="str">
        <f>inputPrYr!B36</f>
        <v>Gen-Cap Out-Equip Res Fund</v>
      </c>
      <c r="B75" s="49">
        <v>17991</v>
      </c>
      <c r="C75" s="87"/>
      <c r="D75" s="87"/>
      <c r="E75" s="87"/>
    </row>
    <row r="76" spans="1:5" ht="15">
      <c r="A76" s="122" t="str">
        <f>inputPrYr!B37</f>
        <v>Water-Cap Out Equip Res Fund</v>
      </c>
      <c r="B76" s="49"/>
      <c r="C76" s="87"/>
      <c r="D76" s="87"/>
      <c r="E76" s="87"/>
    </row>
    <row r="77" spans="1:5" ht="15">
      <c r="A77" s="122" t="str">
        <f>inputPrYr!B38</f>
        <v>Sewer-Cap Out Equip Res Fund</v>
      </c>
      <c r="B77" s="49"/>
      <c r="C77" s="87"/>
      <c r="D77" s="87"/>
      <c r="E77" s="87"/>
    </row>
    <row r="78" spans="1:5" ht="15">
      <c r="A78" s="122" t="str">
        <f>inputPrYr!B39</f>
        <v>Sp Bldg Cap Out-Res Fund</v>
      </c>
      <c r="B78" s="49">
        <v>10617</v>
      </c>
      <c r="C78" s="87"/>
      <c r="D78" s="87"/>
      <c r="E78" s="87"/>
    </row>
    <row r="79" spans="1:5" ht="15">
      <c r="A79" s="122">
        <f>inputPrYr!B40</f>
        <v>0</v>
      </c>
      <c r="B79" s="49"/>
      <c r="C79" s="87"/>
      <c r="D79" s="87"/>
      <c r="E79" s="87"/>
    </row>
    <row r="80" spans="1:5" ht="15">
      <c r="A80" s="122">
        <f>inputPrYr!B42</f>
        <v>0</v>
      </c>
      <c r="B80" s="49"/>
      <c r="C80" s="87"/>
      <c r="D80" s="87"/>
      <c r="E80" s="87"/>
    </row>
    <row r="81" spans="1:5" ht="15">
      <c r="A81" s="122">
        <f>inputPrYr!B43</f>
        <v>0</v>
      </c>
      <c r="B81" s="49"/>
      <c r="C81" s="87"/>
      <c r="D81" s="87"/>
      <c r="E81" s="87"/>
    </row>
    <row r="82" spans="1:5" ht="15">
      <c r="A82" s="122">
        <f>inputPrYr!B44</f>
        <v>0</v>
      </c>
      <c r="B82" s="49"/>
      <c r="C82" s="87"/>
      <c r="D82" s="87"/>
      <c r="E82" s="87"/>
    </row>
    <row r="83" spans="1:5" ht="15">
      <c r="A83" s="122">
        <f>inputPrYr!B45</f>
        <v>0</v>
      </c>
      <c r="B83" s="49"/>
      <c r="C83" s="87"/>
      <c r="D83" s="87"/>
      <c r="E83" s="87"/>
    </row>
  </sheetData>
  <sheetProtection sheet="1" objects="1" scenarios="1"/>
  <mergeCells count="5">
    <mergeCell ref="C58:E58"/>
    <mergeCell ref="A19:B19"/>
    <mergeCell ref="A54:E54"/>
    <mergeCell ref="A3:E3"/>
    <mergeCell ref="A57:B57"/>
  </mergeCells>
  <printOptions/>
  <pageMargins left="0.75" right="0.75" top="1" bottom="1" header="0.5" footer="0.5"/>
  <pageSetup blackAndWhite="1" fitToHeight="1" fitToWidth="1" horizontalDpi="300" verticalDpi="300" orientation="portrait" scale="49"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69"/>
  <sheetViews>
    <sheetView zoomScalePageLayoutView="0" workbookViewId="0" topLeftCell="A1">
      <selection activeCell="A1" sqref="A1"/>
    </sheetView>
  </sheetViews>
  <sheetFormatPr defaultColWidth="8.8984375" defaultRowHeight="15"/>
  <cols>
    <col min="1" max="1" width="70.59765625" style="379" customWidth="1"/>
    <col min="2" max="16384" width="8.8984375" style="379" customWidth="1"/>
  </cols>
  <sheetData>
    <row r="1" ht="17.25">
      <c r="A1" s="382" t="s">
        <v>661</v>
      </c>
    </row>
    <row r="2" ht="15">
      <c r="A2" s="383"/>
    </row>
    <row r="3" ht="46.5">
      <c r="A3" s="384" t="s">
        <v>662</v>
      </c>
    </row>
    <row r="4" ht="15">
      <c r="A4" s="385"/>
    </row>
    <row r="5" ht="15">
      <c r="A5" s="383"/>
    </row>
    <row r="6" ht="30.75">
      <c r="A6" s="384" t="s">
        <v>663</v>
      </c>
    </row>
    <row r="7" ht="15">
      <c r="A7" s="383"/>
    </row>
    <row r="8" ht="15">
      <c r="A8" s="385"/>
    </row>
    <row r="9" ht="30.75">
      <c r="A9" s="384" t="s">
        <v>664</v>
      </c>
    </row>
    <row r="10" ht="15">
      <c r="A10" s="383"/>
    </row>
    <row r="11" ht="15">
      <c r="A11" s="385"/>
    </row>
    <row r="12" ht="46.5">
      <c r="A12" s="384" t="s">
        <v>665</v>
      </c>
    </row>
    <row r="13" ht="15">
      <c r="A13" s="383"/>
    </row>
    <row r="14" ht="15">
      <c r="A14" s="383"/>
    </row>
    <row r="15" ht="46.5">
      <c r="A15" s="384" t="s">
        <v>666</v>
      </c>
    </row>
    <row r="16" ht="15">
      <c r="A16" s="383"/>
    </row>
    <row r="17" ht="15">
      <c r="A17" s="383"/>
    </row>
    <row r="18" ht="46.5">
      <c r="A18" s="384" t="s">
        <v>667</v>
      </c>
    </row>
    <row r="19" ht="15">
      <c r="A19" s="383"/>
    </row>
    <row r="20" ht="15">
      <c r="A20" s="383"/>
    </row>
    <row r="21" ht="30.75">
      <c r="A21" s="384" t="s">
        <v>668</v>
      </c>
    </row>
    <row r="22" ht="15">
      <c r="A22" s="383"/>
    </row>
    <row r="23" ht="15">
      <c r="A23" s="383"/>
    </row>
    <row r="24" ht="46.5">
      <c r="A24" s="384" t="s">
        <v>669</v>
      </c>
    </row>
    <row r="25" ht="15">
      <c r="A25" s="385"/>
    </row>
    <row r="26" ht="15">
      <c r="A26" s="385"/>
    </row>
    <row r="27" ht="46.5">
      <c r="A27" s="384" t="s">
        <v>670</v>
      </c>
    </row>
    <row r="28" ht="15">
      <c r="A28" s="383"/>
    </row>
    <row r="29" ht="15">
      <c r="A29" s="383"/>
    </row>
    <row r="30" ht="30.75">
      <c r="A30" s="384" t="s">
        <v>671</v>
      </c>
    </row>
    <row r="31" ht="15">
      <c r="A31" s="383"/>
    </row>
    <row r="32" ht="15">
      <c r="A32" s="383"/>
    </row>
    <row r="33" ht="30.75">
      <c r="A33" s="384" t="s">
        <v>672</v>
      </c>
    </row>
    <row r="34" ht="15">
      <c r="A34" s="385"/>
    </row>
    <row r="35" ht="15">
      <c r="A35" s="385"/>
    </row>
    <row r="36" ht="30.75">
      <c r="A36" s="384" t="s">
        <v>673</v>
      </c>
    </row>
    <row r="37" ht="15">
      <c r="A37" s="385"/>
    </row>
    <row r="38" ht="15">
      <c r="A38" s="383"/>
    </row>
    <row r="39" ht="62.25">
      <c r="A39" s="384" t="s">
        <v>674</v>
      </c>
    </row>
    <row r="40" ht="15">
      <c r="A40" s="383"/>
    </row>
    <row r="41" ht="15">
      <c r="A41" s="383"/>
    </row>
    <row r="42" ht="46.5">
      <c r="A42" s="384" t="s">
        <v>675</v>
      </c>
    </row>
    <row r="43" ht="15">
      <c r="A43" s="385"/>
    </row>
    <row r="44" ht="15">
      <c r="A44" s="383"/>
    </row>
    <row r="45" ht="30.75">
      <c r="A45" s="384" t="s">
        <v>676</v>
      </c>
    </row>
    <row r="46" ht="15">
      <c r="A46" s="383"/>
    </row>
    <row r="47" ht="15">
      <c r="A47" s="383"/>
    </row>
    <row r="48" ht="30.75">
      <c r="A48" s="384" t="s">
        <v>677</v>
      </c>
    </row>
    <row r="49" ht="15">
      <c r="A49" s="383"/>
    </row>
    <row r="50" ht="15">
      <c r="A50" s="383"/>
    </row>
    <row r="51" ht="30.75">
      <c r="A51" s="384" t="s">
        <v>678</v>
      </c>
    </row>
    <row r="52" ht="15">
      <c r="A52" s="383"/>
    </row>
    <row r="53" ht="15">
      <c r="A53" s="383"/>
    </row>
    <row r="54" ht="62.25">
      <c r="A54" s="384" t="s">
        <v>679</v>
      </c>
    </row>
    <row r="55" ht="15">
      <c r="A55" s="385"/>
    </row>
    <row r="56" ht="15">
      <c r="A56" s="385"/>
    </row>
    <row r="57" ht="46.5">
      <c r="A57" s="384" t="s">
        <v>680</v>
      </c>
    </row>
    <row r="58" ht="15">
      <c r="A58" s="383"/>
    </row>
    <row r="59" ht="15">
      <c r="A59" s="383"/>
    </row>
    <row r="60" ht="30.75">
      <c r="A60" s="384" t="s">
        <v>681</v>
      </c>
    </row>
    <row r="61" ht="15">
      <c r="A61" s="383"/>
    </row>
    <row r="62" ht="15">
      <c r="A62" s="383"/>
    </row>
    <row r="63" ht="46.5">
      <c r="A63" s="384" t="s">
        <v>682</v>
      </c>
    </row>
    <row r="64" ht="15">
      <c r="A64" s="385"/>
    </row>
    <row r="65" ht="15">
      <c r="A65" s="385"/>
    </row>
    <row r="66" ht="46.5">
      <c r="A66" s="384" t="s">
        <v>683</v>
      </c>
    </row>
    <row r="67" ht="15">
      <c r="A67" s="383"/>
    </row>
    <row r="68" ht="15">
      <c r="A68" s="383"/>
    </row>
    <row r="69" ht="46.5">
      <c r="A69" s="384" t="s">
        <v>684</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63"/>
  <sheetViews>
    <sheetView zoomScale="75" zoomScaleNormal="75" zoomScalePageLayoutView="0" workbookViewId="0" topLeftCell="A1">
      <selection activeCell="Q33" sqref="Q33"/>
    </sheetView>
  </sheetViews>
  <sheetFormatPr defaultColWidth="8.8984375" defaultRowHeight="15"/>
  <cols>
    <col min="1" max="1" width="20.69921875" style="8" customWidth="1"/>
    <col min="2" max="2" width="15.69921875" style="8" customWidth="1"/>
    <col min="3" max="3" width="10.69921875" style="8" customWidth="1"/>
    <col min="4" max="4" width="15.69921875" style="8" customWidth="1"/>
    <col min="5" max="5" width="10.69921875" style="8" customWidth="1"/>
    <col min="6" max="6" width="15.69921875" style="8" customWidth="1"/>
    <col min="7" max="7" width="12.69921875" style="8" customWidth="1"/>
    <col min="8" max="8" width="10.69921875" style="8" customWidth="1"/>
    <col min="9" max="16384" width="8.8984375" style="8" customWidth="1"/>
  </cols>
  <sheetData>
    <row r="1" spans="1:8" ht="15">
      <c r="A1" s="88"/>
      <c r="B1" s="88"/>
      <c r="C1" s="88"/>
      <c r="D1" s="88"/>
      <c r="E1" s="88"/>
      <c r="F1" s="88"/>
      <c r="G1" s="88"/>
      <c r="H1" s="88">
        <f>inputPrYr!$C$5</f>
        <v>2012</v>
      </c>
    </row>
    <row r="2" spans="1:9" ht="15">
      <c r="A2" s="449" t="s">
        <v>350</v>
      </c>
      <c r="B2" s="449"/>
      <c r="C2" s="449"/>
      <c r="D2" s="449"/>
      <c r="E2" s="449"/>
      <c r="F2" s="449"/>
      <c r="G2" s="449"/>
      <c r="H2" s="449"/>
      <c r="I2" s="356"/>
    </row>
    <row r="3" spans="1:8" ht="15">
      <c r="A3" s="22"/>
      <c r="B3" s="22"/>
      <c r="C3" s="22"/>
      <c r="D3" s="22"/>
      <c r="E3" s="22"/>
      <c r="F3" s="22"/>
      <c r="G3" s="22"/>
      <c r="H3" s="22"/>
    </row>
    <row r="4" spans="1:8" ht="15">
      <c r="A4" s="441" t="s">
        <v>304</v>
      </c>
      <c r="B4" s="441"/>
      <c r="C4" s="441"/>
      <c r="D4" s="441"/>
      <c r="E4" s="441"/>
      <c r="F4" s="441"/>
      <c r="G4" s="441"/>
      <c r="H4" s="441"/>
    </row>
    <row r="5" spans="1:8" ht="15">
      <c r="A5" s="441" t="str">
        <f>inputPrYr!D2</f>
        <v>CITY OF BURR OAK</v>
      </c>
      <c r="B5" s="441"/>
      <c r="C5" s="441"/>
      <c r="D5" s="441"/>
      <c r="E5" s="441"/>
      <c r="F5" s="441"/>
      <c r="G5" s="441"/>
      <c r="H5" s="441"/>
    </row>
    <row r="6" spans="1:8" ht="15">
      <c r="A6" s="518" t="str">
        <f>CONCATENATE("will meet on  ",inputBudSum!B5," at ",inputBudSum!B7,"  at  ",inputBudSum!B9,"  for the purpose of")</f>
        <v>will meet on  August 2, 2011 at 8:00 p.m.  at  Burr Oak Community Center  for the purpose of</v>
      </c>
      <c r="B6" s="518"/>
      <c r="C6" s="518"/>
      <c r="D6" s="518"/>
      <c r="E6" s="518"/>
      <c r="F6" s="518"/>
      <c r="G6" s="518"/>
      <c r="H6" s="518"/>
    </row>
    <row r="7" spans="1:8" ht="15">
      <c r="A7" s="441" t="s">
        <v>242</v>
      </c>
      <c r="B7" s="441"/>
      <c r="C7" s="441"/>
      <c r="D7" s="441"/>
      <c r="E7" s="441"/>
      <c r="F7" s="441"/>
      <c r="G7" s="441"/>
      <c r="H7" s="441"/>
    </row>
    <row r="8" spans="1:8" ht="15">
      <c r="A8" s="441" t="str">
        <f>CONCATENATE("Detailed budget information is available at ",inputBudSum!B12," and will be available at this hearing.")</f>
        <v>Detailed budget information is available at 628 N. Main Street, Burr Oak, Kansas and will be available at this hearing.</v>
      </c>
      <c r="B8" s="441"/>
      <c r="C8" s="441"/>
      <c r="D8" s="441"/>
      <c r="E8" s="441"/>
      <c r="F8" s="441"/>
      <c r="G8" s="441"/>
      <c r="H8" s="441"/>
    </row>
    <row r="9" spans="1:8" ht="15">
      <c r="A9" s="44"/>
      <c r="B9" s="44"/>
      <c r="C9" s="44"/>
      <c r="D9" s="44"/>
      <c r="E9" s="44"/>
      <c r="F9" s="44"/>
      <c r="G9" s="44"/>
      <c r="H9" s="44"/>
    </row>
    <row r="10" spans="1:8" ht="15">
      <c r="A10" s="32" t="s">
        <v>351</v>
      </c>
      <c r="B10" s="33"/>
      <c r="C10" s="33"/>
      <c r="D10" s="33"/>
      <c r="E10" s="33"/>
      <c r="F10" s="33"/>
      <c r="G10" s="33"/>
      <c r="H10" s="33"/>
    </row>
    <row r="11" spans="1:8" ht="15">
      <c r="A11" s="34" t="str">
        <f>CONCATENATE("Proposed Budget ",H1," Expenditures and Amount of  ",H1-1," Ad Valorem Tax establish the maximum limits of the ",H1," budget.")</f>
        <v>Proposed Budget 2012 Expenditures and Amount of  2011 Ad Valorem Tax establish the maximum limits of the 2012 budget.</v>
      </c>
      <c r="B11" s="33"/>
      <c r="C11" s="33"/>
      <c r="D11" s="33"/>
      <c r="E11" s="33"/>
      <c r="F11" s="33"/>
      <c r="G11" s="33"/>
      <c r="H11" s="33"/>
    </row>
    <row r="12" spans="1:8" ht="15">
      <c r="A12" s="34" t="s">
        <v>414</v>
      </c>
      <c r="B12" s="33"/>
      <c r="C12" s="33"/>
      <c r="D12" s="33"/>
      <c r="E12" s="33"/>
      <c r="F12" s="33"/>
      <c r="G12" s="33"/>
      <c r="H12" s="33"/>
    </row>
    <row r="13" spans="1:8" ht="15">
      <c r="A13" s="22"/>
      <c r="B13" s="304"/>
      <c r="C13" s="304"/>
      <c r="D13" s="304"/>
      <c r="E13" s="304"/>
      <c r="F13" s="304"/>
      <c r="G13" s="304"/>
      <c r="H13" s="304"/>
    </row>
    <row r="14" spans="1:8" ht="15">
      <c r="A14" s="22"/>
      <c r="B14" s="357" t="str">
        <f>CONCATENATE("Prior Year Actual for ",H1-2,"")</f>
        <v>Prior Year Actual for 2010</v>
      </c>
      <c r="C14" s="126"/>
      <c r="D14" s="357" t="str">
        <f>CONCATENATE("Current Year Estimate for ",H1-1,"")</f>
        <v>Current Year Estimate for 2011</v>
      </c>
      <c r="E14" s="126"/>
      <c r="F14" s="124" t="str">
        <f>CONCATENATE("Proposed Budget for ",H1,"")</f>
        <v>Proposed Budget for 2012</v>
      </c>
      <c r="G14" s="125"/>
      <c r="H14" s="126"/>
    </row>
    <row r="15" spans="1:8" ht="21" customHeight="1">
      <c r="A15" s="22"/>
      <c r="B15" s="276"/>
      <c r="C15" s="129" t="s">
        <v>306</v>
      </c>
      <c r="D15" s="129"/>
      <c r="E15" s="129" t="s">
        <v>306</v>
      </c>
      <c r="F15" s="129"/>
      <c r="G15" s="129" t="str">
        <f>CONCATENATE("Amount of ",H1-1,"")</f>
        <v>Amount of 2011</v>
      </c>
      <c r="H15" s="129" t="s">
        <v>486</v>
      </c>
    </row>
    <row r="16" spans="1:8" ht="15">
      <c r="A16" s="47" t="s">
        <v>307</v>
      </c>
      <c r="B16" s="133" t="s">
        <v>308</v>
      </c>
      <c r="C16" s="133" t="s">
        <v>309</v>
      </c>
      <c r="D16" s="133" t="s">
        <v>308</v>
      </c>
      <c r="E16" s="133" t="s">
        <v>309</v>
      </c>
      <c r="F16" s="133" t="s">
        <v>310</v>
      </c>
      <c r="G16" s="134" t="s">
        <v>286</v>
      </c>
      <c r="H16" s="133" t="s">
        <v>309</v>
      </c>
    </row>
    <row r="17" spans="1:8" ht="15">
      <c r="A17" s="70" t="str">
        <f>inputPrYr!B17</f>
        <v>General</v>
      </c>
      <c r="B17" s="70">
        <f>IF(general!$C$110&lt;&gt;0,general!$C$110,"  ")</f>
        <v>42001</v>
      </c>
      <c r="C17" s="60">
        <f>IF(inputPrYr!D61&gt;0,inputPrYr!D61,"  ")</f>
        <v>30.485</v>
      </c>
      <c r="D17" s="70">
        <f>IF(general!$E$110&lt;&gt;0,general!$E$110,"  ")</f>
        <v>41500</v>
      </c>
      <c r="E17" s="60">
        <f>IF(inputOth!D20&gt;0,inputOth!D20,"  ")</f>
        <v>31.409</v>
      </c>
      <c r="F17" s="70">
        <f>IF(general!$G$110&lt;&gt;0,general!$G$110,"  ")</f>
        <v>46057</v>
      </c>
      <c r="G17" s="70">
        <f>IF(general!$G$116&lt;&gt;0,general!$G$116,"  ")</f>
        <v>13596</v>
      </c>
      <c r="H17" s="60">
        <f>IF(general!G116&gt;0,ROUND(G17/$F$49*1000,3),"  ")</f>
        <v>31.289</v>
      </c>
    </row>
    <row r="18" spans="1:8" ht="15">
      <c r="A18" s="70" t="str">
        <f>IF(inputPrYr!$B18&gt;"  ",(inputPrYr!$B18),"  ")</f>
        <v>Debt Service</v>
      </c>
      <c r="B18" s="70" t="str">
        <f>IF(DebtService!$C$53&lt;&gt;0,DebtService!$C$53,"  ")</f>
        <v>  </v>
      </c>
      <c r="C18" s="60" t="str">
        <f>IF(inputPrYr!D62&gt;0,inputPrYr!D62,"  ")</f>
        <v>  </v>
      </c>
      <c r="D18" s="70" t="str">
        <f>IF(DebtService!$E$53&lt;&gt;0,DebtService!$E$53,"  ")</f>
        <v>  </v>
      </c>
      <c r="E18" s="60" t="str">
        <f>IF(inputOth!D21&gt;0,inputOth!D21,"  ")</f>
        <v>  </v>
      </c>
      <c r="F18" s="70" t="str">
        <f>IF(DebtService!$G$53&lt;&gt;0,DebtService!$G$53,"  ")</f>
        <v>  </v>
      </c>
      <c r="G18" s="70" t="str">
        <f>IF(DebtService!$G$59&lt;&gt;0,DebtService!$G$59,"  ")</f>
        <v>  </v>
      </c>
      <c r="H18" s="60" t="str">
        <f>IF(DebtService!G59&gt;0,ROUND(G18/$F$49*1000,3),"  ")</f>
        <v>  </v>
      </c>
    </row>
    <row r="19" spans="1:8" ht="15">
      <c r="A19" s="70" t="str">
        <f>IF(inputPrYr!$B20&gt;"  ",(inputPrYr!$B20),"  ")</f>
        <v>Library</v>
      </c>
      <c r="B19" s="70">
        <f>IF('levy page9'!$C$32&gt;0,'levy page9'!$C$32,"  ")</f>
        <v>416</v>
      </c>
      <c r="C19" s="60" t="str">
        <f>IF(inputPrYr!D63&gt;0,inputPrYr!D63,"  ")</f>
        <v>  </v>
      </c>
      <c r="D19" s="70" t="str">
        <f>IF('levy page9'!$E$32&gt;0,'levy page9'!$E$32,"  ")</f>
        <v>  </v>
      </c>
      <c r="E19" s="60" t="str">
        <f>IF(inputOth!D22&gt;0,inputOth!D22,"  ")</f>
        <v>  </v>
      </c>
      <c r="F19" s="70" t="str">
        <f>IF('levy page9'!$G$32&gt;0,'levy page9'!$G$32,"  ")</f>
        <v>  </v>
      </c>
      <c r="G19" s="70" t="str">
        <f>IF('levy page9'!$G$38&lt;&gt;0,'levy page9'!$G$38,"  ")</f>
        <v>  </v>
      </c>
      <c r="H19" s="60" t="str">
        <f>IF('levy page9'!G38&lt;&gt;0,ROUND(G19/$F$49*1000,3),"  ")</f>
        <v>  </v>
      </c>
    </row>
    <row r="20" spans="1:8" ht="15">
      <c r="A20" s="70" t="str">
        <f>IF(inputPrYr!$B21&gt;"  ",(inputPrYr!$B21),"  ")</f>
        <v>Employee Benefits</v>
      </c>
      <c r="B20" s="70">
        <f>IF('levy page9'!$C$68&gt;0,'levy page9'!$C$68,"  ")</f>
        <v>3505</v>
      </c>
      <c r="C20" s="60" t="str">
        <f>IF(inputPrYr!D64&gt;0,inputPrYr!D64,"  ")</f>
        <v>  </v>
      </c>
      <c r="D20" s="70" t="str">
        <f>IF('levy page9'!$E$68&gt;0,'levy page9'!$E$68,"  ")</f>
        <v>  </v>
      </c>
      <c r="E20" s="60" t="str">
        <f>IF(inputOth!D23&gt;0,inputOth!D23,"  ")</f>
        <v>  </v>
      </c>
      <c r="F20" s="70" t="str">
        <f>IF('levy page9'!$G$68&gt;0,'levy page9'!$G$68,"  ")</f>
        <v>  </v>
      </c>
      <c r="G20" s="70" t="str">
        <f>IF('levy page9'!$G$74&lt;&gt;0,'levy page9'!$G$74,"  ")</f>
        <v>  </v>
      </c>
      <c r="H20" s="60" t="str">
        <f>IF('levy page9'!G74&lt;&gt;0,ROUND(G20/$F$49*1000,3),"  ")</f>
        <v>  </v>
      </c>
    </row>
    <row r="21" spans="1:8" ht="15">
      <c r="A21" s="70" t="str">
        <f>IF(inputPrYr!$B22&gt;"  ",(inputPrYr!$B22),"  ")</f>
        <v>  </v>
      </c>
      <c r="B21" s="70" t="str">
        <f>IF('levy page10'!$C$32&gt;0,'levy page10'!$C$32,"  ")</f>
        <v>  </v>
      </c>
      <c r="C21" s="60" t="str">
        <f>IF(inputPrYr!D65&gt;0,inputPrYr!D65,"  ")</f>
        <v>  </v>
      </c>
      <c r="D21" s="70" t="str">
        <f>IF('levy page10'!$E$32&gt;0,'levy page10'!$E$32,"  ")</f>
        <v>  </v>
      </c>
      <c r="E21" s="60" t="str">
        <f>IF(inputOth!D24&gt;0,inputOth!D24,"  ")</f>
        <v>  </v>
      </c>
      <c r="F21" s="70" t="str">
        <f>IF('levy page10'!$G$32&gt;0,'levy page10'!$G$32,"  ")</f>
        <v>  </v>
      </c>
      <c r="G21" s="70" t="str">
        <f>IF('levy page10'!$G$38&lt;&gt;0,'levy page10'!$G$38,"  ")</f>
        <v>  </v>
      </c>
      <c r="H21" s="60" t="str">
        <f>IF('levy page10'!G38&lt;&gt;0,ROUND(G21/$F$49*1000,3),"  ")</f>
        <v>  </v>
      </c>
    </row>
    <row r="22" spans="1:8" ht="15">
      <c r="A22" s="70" t="str">
        <f>IF(inputPrYr!$B23&gt;"  ",(inputPrYr!$B23),"  ")</f>
        <v>  </v>
      </c>
      <c r="B22" s="70" t="str">
        <f>IF('levy page10'!$C$68&gt;0,'levy page10'!$C$68,"  ")</f>
        <v>  </v>
      </c>
      <c r="C22" s="60" t="str">
        <f>IF(inputPrYr!D66&gt;0,inputPrYr!D66,"  ")</f>
        <v>  </v>
      </c>
      <c r="D22" s="70" t="str">
        <f>IF('levy page10'!$E$68&gt;0,'levy page10'!$E$68,"  ")</f>
        <v>  </v>
      </c>
      <c r="E22" s="60" t="str">
        <f>IF(inputOth!D25&gt;0,inputOth!D25,"  ")</f>
        <v>  </v>
      </c>
      <c r="F22" s="70" t="str">
        <f>IF('levy page10'!$G$68&gt;0,'levy page10'!$G$68,"  ")</f>
        <v>  </v>
      </c>
      <c r="G22" s="70" t="str">
        <f>IF('levy page10'!$G$74&lt;&gt;0,'levy page10'!$G$74,"  ")</f>
        <v>  </v>
      </c>
      <c r="H22" s="60" t="str">
        <f>IF('levy page10'!G74&lt;&gt;0,ROUND(G22/$F$49*1000,3),"  ")</f>
        <v>  </v>
      </c>
    </row>
    <row r="23" spans="1:8" ht="15">
      <c r="A23" s="70" t="str">
        <f>IF(inputPrYr!$B24&gt;"  ",(inputPrYr!$B24),"  ")</f>
        <v>  </v>
      </c>
      <c r="B23" s="70" t="str">
        <f>IF('levy page11'!$C$32&gt;0,'levy page11'!$C$32,"  ")</f>
        <v>  </v>
      </c>
      <c r="C23" s="60" t="str">
        <f>IF(inputPrYr!D67&gt;0,inputPrYr!D67,"  ")</f>
        <v>  </v>
      </c>
      <c r="D23" s="70" t="str">
        <f>IF('levy page11'!$E$32&gt;0,'levy page11'!$E$32,"  ")</f>
        <v>  </v>
      </c>
      <c r="E23" s="60" t="str">
        <f>IF(inputOth!D26&gt;0,inputOth!D26,"  ")</f>
        <v>  </v>
      </c>
      <c r="F23" s="70" t="str">
        <f>IF('levy page11'!$G$32&gt;0,'levy page11'!$G$32,"  ")</f>
        <v>  </v>
      </c>
      <c r="G23" s="70" t="str">
        <f>IF('levy page11'!$G$38&lt;&gt;0,'levy page11'!$G$38,"  ")</f>
        <v>  </v>
      </c>
      <c r="H23" s="60" t="str">
        <f>IF('levy page11'!G38&lt;&gt;0,ROUND(G23/$F$49*1000,3),"  ")</f>
        <v>  </v>
      </c>
    </row>
    <row r="24" spans="1:8" ht="15">
      <c r="A24" s="70" t="str">
        <f>IF(inputPrYr!$B25&gt;"  ",(inputPrYr!$B25),"  ")</f>
        <v>  </v>
      </c>
      <c r="B24" s="70" t="str">
        <f>IF('levy page11'!$C$68&gt;0,'levy page11'!$C$68,"  ")</f>
        <v>  </v>
      </c>
      <c r="C24" s="60" t="str">
        <f>IF(inputPrYr!D68&gt;0,inputPrYr!D68,"  ")</f>
        <v>  </v>
      </c>
      <c r="D24" s="70" t="str">
        <f>IF('levy page11'!$E$68&gt;0,'levy page11'!$E$68,"  ")</f>
        <v>  </v>
      </c>
      <c r="E24" s="60" t="str">
        <f>IF(inputOth!D27&gt;0,inputOth!D27,"  ")</f>
        <v>  </v>
      </c>
      <c r="F24" s="70" t="str">
        <f>IF('levy page11'!$G$68&gt;0,'levy page11'!$G$68,"  ")</f>
        <v>  </v>
      </c>
      <c r="G24" s="70" t="str">
        <f>IF('levy page11'!$G$74&lt;&gt;0,'levy page11'!$G$74,"  ")</f>
        <v>  </v>
      </c>
      <c r="H24" s="60" t="str">
        <f>IF('levy page11'!G74&lt;&gt;0,ROUND(G24/$F$49*1000,3),"  ")</f>
        <v>  </v>
      </c>
    </row>
    <row r="25" spans="1:8" ht="15">
      <c r="A25" s="70" t="str">
        <f>IF(inputPrYr!$B26&gt;"  ",(inputPrYr!$B26),"  ")</f>
        <v>  </v>
      </c>
      <c r="B25" s="70" t="str">
        <f>IF('levy page12'!$C$32&gt;0,'levy page12'!$C$32,"  ")</f>
        <v>  </v>
      </c>
      <c r="C25" s="60" t="str">
        <f>IF(inputPrYr!D69&gt;0,inputPrYr!D69,"  ")</f>
        <v>  </v>
      </c>
      <c r="D25" s="70" t="str">
        <f>IF('levy page12'!$E$32&gt;0,'levy page12'!$E$32,"  ")</f>
        <v>  </v>
      </c>
      <c r="E25" s="60" t="str">
        <f>IF(inputOth!D28&gt;0,inputOth!D28,"  ")</f>
        <v>  </v>
      </c>
      <c r="F25" s="70" t="str">
        <f>IF('levy page12'!$G$32&gt;0,'levy page12'!$G$32,"  ")</f>
        <v>  </v>
      </c>
      <c r="G25" s="70" t="str">
        <f>IF('levy page12'!$G$38&lt;&gt;0,'levy page12'!$G$38,"  ")</f>
        <v>  </v>
      </c>
      <c r="H25" s="60" t="str">
        <f>IF('levy page12'!G38&lt;&gt;0,ROUND(G25/$F$49*1000,3),"  ")</f>
        <v>  </v>
      </c>
    </row>
    <row r="26" spans="1:8" ht="15">
      <c r="A26" s="70" t="str">
        <f>IF(inputPrYr!$B27&gt;"  ",(inputPrYr!$B27),"  ")</f>
        <v>  </v>
      </c>
      <c r="B26" s="70" t="str">
        <f>IF('levy page12'!$C$68&gt;0,'levy page12'!$C$68,"  ")</f>
        <v>  </v>
      </c>
      <c r="C26" s="60" t="str">
        <f>IF(inputPrYr!D70&gt;0,inputPrYr!D70,"  ")</f>
        <v>  </v>
      </c>
      <c r="D26" s="70" t="str">
        <f>IF('levy page12'!$E$68&gt;0,'levy page12'!$E$68,"  ")</f>
        <v>  </v>
      </c>
      <c r="E26" s="60" t="str">
        <f>IF(inputOth!D29&gt;0,inputOth!D29,"  ")</f>
        <v>  </v>
      </c>
      <c r="F26" s="70" t="str">
        <f>IF('levy page12'!$G$68&gt;0,'levy page12'!$G$68,"  ")</f>
        <v>  </v>
      </c>
      <c r="G26" s="70" t="str">
        <f>IF('levy page12'!$G$74&lt;&gt;0,'levy page12'!$G$74,"  ")</f>
        <v>  </v>
      </c>
      <c r="H26" s="60" t="str">
        <f>IF('levy page12'!G74&lt;&gt;0,ROUND(G26/$F$49*1000,3),"  ")</f>
        <v>  </v>
      </c>
    </row>
    <row r="27" spans="1:8" ht="15">
      <c r="A27" s="70" t="str">
        <f>IF(inputPrYr!$B28&gt;"  ",(inputPrYr!$B28),"  ")</f>
        <v>  </v>
      </c>
      <c r="B27" s="70" t="str">
        <f>IF('levy page13'!$C$32&gt;0,'levy page13'!$C$32,"  ")</f>
        <v>  </v>
      </c>
      <c r="C27" s="60" t="str">
        <f>IF(inputPrYr!D71&gt;0,inputPrYr!D71,"  ")</f>
        <v>  </v>
      </c>
      <c r="D27" s="70" t="str">
        <f>IF('levy page13'!$E$32&gt;0,'levy page13'!$E$32,"  ")</f>
        <v>  </v>
      </c>
      <c r="E27" s="60" t="str">
        <f>IF(inputOth!D30&gt;0,inputOth!D30,"  ")</f>
        <v>  </v>
      </c>
      <c r="F27" s="70" t="str">
        <f>IF('levy page13'!$G$32&gt;0,'levy page13'!$G$32,"  ")</f>
        <v>  </v>
      </c>
      <c r="G27" s="70" t="str">
        <f>IF('levy page13'!$G$38&lt;&gt;0,'levy page13'!$G$38,"  ")</f>
        <v>  </v>
      </c>
      <c r="H27" s="60" t="str">
        <f>IF('levy page13'!G38&lt;&gt;0,ROUND(G27/$F$49*1000,3),"  ")</f>
        <v>  </v>
      </c>
    </row>
    <row r="28" spans="1:8" ht="15">
      <c r="A28" s="70" t="str">
        <f>IF(inputPrYr!$B29&gt;"  ",(inputPrYr!$B29),"  ")</f>
        <v>  </v>
      </c>
      <c r="B28" s="70" t="str">
        <f>IF('levy page13'!$C$68&gt;0,'levy page13'!$C$68,"  ")</f>
        <v>  </v>
      </c>
      <c r="C28" s="60" t="str">
        <f>IF(inputPrYr!D72&gt;0,inputPrYr!D72,"  ")</f>
        <v>  </v>
      </c>
      <c r="D28" s="70" t="str">
        <f>IF('levy page13'!$E$68&gt;0,'levy page13'!$E$68,"  ")</f>
        <v>  </v>
      </c>
      <c r="E28" s="60" t="str">
        <f>IF(inputOth!D31&gt;0,inputOth!D31,"  ")</f>
        <v>  </v>
      </c>
      <c r="F28" s="70" t="str">
        <f>IF('levy page13'!$G$68&gt;0,'levy page13'!$G$68,"  ")</f>
        <v>  </v>
      </c>
      <c r="G28" s="70" t="str">
        <f>IF('levy page13'!$G$74&lt;&gt;0,'levy page13'!$G$74,"  ")</f>
        <v>  </v>
      </c>
      <c r="H28" s="60" t="str">
        <f>IF('levy page13'!G74&lt;&gt;0,ROUND(G28/$F$49*1000,3),"  ")</f>
        <v>  </v>
      </c>
    </row>
    <row r="29" spans="1:8" ht="15">
      <c r="A29" s="70" t="str">
        <f>IF(inputPrYr!$B33&gt;"  ",(inputPrYr!$B33),"  ")</f>
        <v>Special Highway</v>
      </c>
      <c r="B29" s="70">
        <f>IF('Sp Hiway'!$C$28&gt;0,'Sp Hiway'!$C$28,"  ")</f>
        <v>13266</v>
      </c>
      <c r="C29" s="48"/>
      <c r="D29" s="70">
        <f>IF('Sp Hiway'!$D$28&gt;0,'Sp Hiway'!$D$28,"  ")</f>
        <v>7281</v>
      </c>
      <c r="E29" s="48"/>
      <c r="F29" s="70">
        <f>IF('Sp Hiway'!$E$28&gt;0,'Sp Hiway'!$E$28,"  ")</f>
        <v>7933</v>
      </c>
      <c r="G29" s="48"/>
      <c r="H29" s="48"/>
    </row>
    <row r="30" spans="1:8" ht="15">
      <c r="A30" s="70" t="str">
        <f>IF(inputPrYr!$B34&gt;"  ",(inputPrYr!$B34),"  ")</f>
        <v>Water</v>
      </c>
      <c r="B30" s="70">
        <f>IF('Sp Hiway'!$C$59&gt;0,'Sp Hiway'!$C$59,"  ")</f>
        <v>27295</v>
      </c>
      <c r="C30" s="48"/>
      <c r="D30" s="70">
        <f>IF('Sp Hiway'!$D$59&gt;0,'Sp Hiway'!$D$59,"  ")</f>
        <v>26200</v>
      </c>
      <c r="E30" s="48"/>
      <c r="F30" s="70">
        <f>IF('Sp Hiway'!$E$59&gt;0,'Sp Hiway'!$E$59,"  ")</f>
        <v>32408</v>
      </c>
      <c r="G30" s="48"/>
      <c r="H30" s="48"/>
    </row>
    <row r="31" spans="1:8" ht="15">
      <c r="A31" s="70" t="str">
        <f>IF(inputPrYr!$B35&gt;"  ",(inputPrYr!$B35),"  ")</f>
        <v>Sewer</v>
      </c>
      <c r="B31" s="70">
        <f>IF(nolevypage15!$C$28&gt;0,nolevypage15!$C$28,"  ")</f>
        <v>14598</v>
      </c>
      <c r="C31" s="48"/>
      <c r="D31" s="70">
        <f>IF(nolevypage15!$D$28&gt;0,nolevypage15!$D$28,"  ")</f>
        <v>12700</v>
      </c>
      <c r="E31" s="48"/>
      <c r="F31" s="70">
        <f>IF(nolevypage15!$E$28&gt;0,nolevypage15!$E$28,"  ")</f>
        <v>17900</v>
      </c>
      <c r="G31" s="48"/>
      <c r="H31" s="48"/>
    </row>
    <row r="32" spans="1:8" ht="15">
      <c r="A32" s="70" t="str">
        <f>IF(inputPrYr!$B36&gt;"  ",(inputPrYr!$B36),"  ")</f>
        <v>Gen-Cap Out-Equip Res Fund</v>
      </c>
      <c r="B32" s="70" t="str">
        <f>IF(nolevypage15!$C$59&gt;0,nolevypage15!$C$59,"  ")</f>
        <v>  </v>
      </c>
      <c r="C32" s="48"/>
      <c r="D32" s="70">
        <f>IF(nolevypage15!$D$59&gt;0,nolevypage15!$D$59,"  ")</f>
        <v>5950</v>
      </c>
      <c r="E32" s="48"/>
      <c r="F32" s="70">
        <f>IF(nolevypage15!$E$59&gt;0,nolevypage15!$E$59,"  ")</f>
        <v>12486</v>
      </c>
      <c r="G32" s="48"/>
      <c r="H32" s="48"/>
    </row>
    <row r="33" spans="1:8" ht="15">
      <c r="A33" s="70" t="str">
        <f>IF(inputPrYr!$B37&gt;"  ",(inputPrYr!$B37),"  ")</f>
        <v>Water-Cap Out Equip Res Fund</v>
      </c>
      <c r="B33" s="70" t="str">
        <f>IF(nolevypage16!$C$28&gt;0,nolevypage16!$C$28,"  ")</f>
        <v>  </v>
      </c>
      <c r="C33" s="48"/>
      <c r="D33" s="70">
        <f>IF(nolevypage16!$D$28&gt;0,nolevypage16!$D$28,"  ")</f>
        <v>8300</v>
      </c>
      <c r="E33" s="48"/>
      <c r="F33" s="70">
        <f>IF(nolevypage16!$E$28&gt;0,nolevypage16!$E$28,"  ")</f>
        <v>11000</v>
      </c>
      <c r="G33" s="48"/>
      <c r="H33" s="48"/>
    </row>
    <row r="34" spans="1:8" ht="15">
      <c r="A34" s="70" t="str">
        <f>IF(inputPrYr!$B38&gt;"  ",(inputPrYr!$B38),"  ")</f>
        <v>Sewer-Cap Out Equip Res Fund</v>
      </c>
      <c r="B34" s="70" t="str">
        <f>IF(nolevypage16!$C$59&gt;0,nolevypage16!$C$59,"  ")</f>
        <v>  </v>
      </c>
      <c r="C34" s="48"/>
      <c r="D34" s="70">
        <f>IF(nolevypage16!$D$59&gt;0,nolevypage16!$D$59,"  ")</f>
        <v>4050</v>
      </c>
      <c r="E34" s="48"/>
      <c r="F34" s="70">
        <f>IF(nolevypage16!$E$59&gt;0,nolevypage16!$E$59,"  ")</f>
        <v>8950</v>
      </c>
      <c r="G34" s="48"/>
      <c r="H34" s="48"/>
    </row>
    <row r="35" spans="1:8" ht="15">
      <c r="A35" s="70" t="str">
        <f>IF(inputPrYr!$B39&gt;"  ",(inputPrYr!$B39),"  ")</f>
        <v>Sp Bldg Cap Out-Res Fund</v>
      </c>
      <c r="B35" s="70" t="str">
        <f>IF(nolevypage17!$C$28&gt;0,nolevypage17!$C$28,"  ")</f>
        <v>  </v>
      </c>
      <c r="C35" s="48"/>
      <c r="D35" s="70" t="str">
        <f>IF(nolevypage17!$D$28&gt;0,nolevypage17!$D$28,"  ")</f>
        <v>  </v>
      </c>
      <c r="E35" s="48"/>
      <c r="F35" s="70">
        <f>IF(nolevypage17!$E$28&gt;0,nolevypage17!$E$28,"  ")</f>
        <v>10430</v>
      </c>
      <c r="G35" s="48"/>
      <c r="H35" s="48"/>
    </row>
    <row r="36" spans="1:8" ht="15">
      <c r="A36" s="70" t="str">
        <f>IF(inputPrYr!$B40&gt;"  ",(inputPrYr!$B40),"  ")</f>
        <v>  </v>
      </c>
      <c r="B36" s="70" t="str">
        <f>IF(nolevypage17!$C$60&gt;0,nolevypage17!$C$60,"  ")</f>
        <v>  </v>
      </c>
      <c r="C36" s="48"/>
      <c r="D36" s="70" t="str">
        <f>IF(nolevypage17!$D$60&gt;0,nolevypage17!$D$60,"  ")</f>
        <v>  </v>
      </c>
      <c r="E36" s="48"/>
      <c r="F36" s="70" t="str">
        <f>IF(nolevypage17!$E$60&gt;0,nolevypage17!$E$60,"  ")</f>
        <v>  </v>
      </c>
      <c r="G36" s="48"/>
      <c r="H36" s="48"/>
    </row>
    <row r="37" spans="1:8" ht="15">
      <c r="A37" s="70" t="str">
        <f>IF(inputPrYr!$B42&gt;"  ",(inputPrYr!$B42),"  ")</f>
        <v>  </v>
      </c>
      <c r="B37" s="70" t="str">
        <f>IF(SinNoLevy18!$C$47&gt;0,SinNoLevy18!$C$47,"  ")</f>
        <v>  </v>
      </c>
      <c r="C37" s="48"/>
      <c r="D37" s="70" t="str">
        <f>IF(SinNoLevy18!$D$47&gt;0,SinNoLevy18!$D$47,"  ")</f>
        <v>  </v>
      </c>
      <c r="E37" s="48"/>
      <c r="F37" s="70" t="str">
        <f>IF(SinNoLevy18!$E$47&gt;0,SinNoLevy18!$E$47,"  ")</f>
        <v>  </v>
      </c>
      <c r="G37" s="48"/>
      <c r="H37" s="48"/>
    </row>
    <row r="38" spans="1:8" ht="15">
      <c r="A38" s="70" t="str">
        <f>IF(inputPrYr!$B43&gt;"  ",(inputPrYr!$B43),"  ")</f>
        <v>  </v>
      </c>
      <c r="B38" s="70" t="str">
        <f>IF(SinNoLevy19!$C$47&gt;0,SinNoLevy19!$C$47,"  ")</f>
        <v>  </v>
      </c>
      <c r="C38" s="48"/>
      <c r="D38" s="70" t="str">
        <f>IF(SinNoLevy19!$D$47&gt;0,SinNoLevy19!$D$47,"  ")</f>
        <v>  </v>
      </c>
      <c r="E38" s="48"/>
      <c r="F38" s="70" t="str">
        <f>IF(SinNoLevy19!$E$47&gt;0,SinNoLevy19!$E$47,"  ")</f>
        <v>  </v>
      </c>
      <c r="G38" s="48"/>
      <c r="H38" s="48"/>
    </row>
    <row r="39" spans="1:8" ht="15">
      <c r="A39" s="70" t="str">
        <f>IF(inputPrYr!$B44&gt;"  ",(inputPrYr!$B44),"  ")</f>
        <v>  </v>
      </c>
      <c r="B39" s="70" t="str">
        <f>IF(SinNoLevy20!$C$47&gt;0,SinNoLevy20!$C$47,"  ")</f>
        <v>  </v>
      </c>
      <c r="C39" s="48"/>
      <c r="D39" s="70" t="str">
        <f>IF(SinNoLevy20!$D$47&gt;0,SinNoLevy20!$D$47,"  ")</f>
        <v>  </v>
      </c>
      <c r="E39" s="48"/>
      <c r="F39" s="70" t="str">
        <f>IF(SinNoLevy20!$E$47&gt;0,SinNoLevy20!$E$47,"  ")</f>
        <v>  </v>
      </c>
      <c r="G39" s="48"/>
      <c r="H39" s="48"/>
    </row>
    <row r="40" spans="1:8" ht="15">
      <c r="A40" s="70" t="str">
        <f>IF(inputPrYr!$B45&gt;"  ",(inputPrYr!$B45),"  ")</f>
        <v>  </v>
      </c>
      <c r="B40" s="70" t="str">
        <f>IF(SinNoLevy21!$C$47&gt;0,SinNoLevy21!$C$47,"  ")</f>
        <v>  </v>
      </c>
      <c r="C40" s="48"/>
      <c r="D40" s="70" t="str">
        <f>IF(SinNoLevy21!$D$47&gt;0,SinNoLevy21!$D$47,"  ")</f>
        <v>  </v>
      </c>
      <c r="E40" s="48"/>
      <c r="F40" s="70" t="str">
        <f>IF(SinNoLevy21!$E$47&gt;0,SinNoLevy21!$E$47,"  ")</f>
        <v>  </v>
      </c>
      <c r="G40" s="48"/>
      <c r="H40" s="48"/>
    </row>
    <row r="41" spans="1:8" ht="15">
      <c r="A41" s="70" t="str">
        <f>IF(inputPrYr!$B48&gt;" ",(NonBudA!$A3),"  ")</f>
        <v>  </v>
      </c>
      <c r="B41" s="70" t="str">
        <f>IF(NonBudA!$K$28&gt;0,NonBudA!$K$28,"  ")</f>
        <v>  </v>
      </c>
      <c r="C41" s="48"/>
      <c r="D41" s="70"/>
      <c r="E41" s="48"/>
      <c r="F41" s="70"/>
      <c r="G41" s="48"/>
      <c r="H41" s="48"/>
    </row>
    <row r="42" spans="1:8" ht="15">
      <c r="A42" s="70" t="str">
        <f>IF(inputPrYr!$B54&gt;" ",(NonBudB!$A3),"  ")</f>
        <v>  </v>
      </c>
      <c r="B42" s="70" t="str">
        <f>IF(NonBudB!$K$28&gt;0,NonBudB!$K$28,"  ")</f>
        <v>  </v>
      </c>
      <c r="C42" s="48"/>
      <c r="D42" s="70"/>
      <c r="E42" s="48"/>
      <c r="F42" s="70"/>
      <c r="G42" s="48"/>
      <c r="H42" s="48"/>
    </row>
    <row r="43" spans="1:8" ht="15">
      <c r="A43" s="70"/>
      <c r="B43" s="70"/>
      <c r="C43" s="48"/>
      <c r="D43" s="70"/>
      <c r="E43" s="48"/>
      <c r="F43" s="70"/>
      <c r="G43" s="48"/>
      <c r="H43" s="48"/>
    </row>
    <row r="44" spans="1:8" ht="15">
      <c r="A44" s="47" t="s">
        <v>273</v>
      </c>
      <c r="B44" s="70">
        <f>SUM(B17:B43)</f>
        <v>101081</v>
      </c>
      <c r="C44" s="60">
        <f>SUM(C17:C28)</f>
        <v>30.485</v>
      </c>
      <c r="D44" s="70">
        <f>SUM(D17:D43)</f>
        <v>105981</v>
      </c>
      <c r="E44" s="60">
        <f>SUM(E17:E28)</f>
        <v>31.409</v>
      </c>
      <c r="F44" s="70">
        <f>SUM(F17:F43)</f>
        <v>147164</v>
      </c>
      <c r="G44" s="70">
        <f>SUM(G17:G43)</f>
        <v>13596</v>
      </c>
      <c r="H44" s="60">
        <f>SUM(H17:H28)</f>
        <v>31.289</v>
      </c>
    </row>
    <row r="45" spans="1:8" ht="15">
      <c r="A45" s="29" t="s">
        <v>311</v>
      </c>
      <c r="B45" s="358">
        <f>transfers!C26</f>
        <v>0</v>
      </c>
      <c r="C45" s="162"/>
      <c r="D45" s="358">
        <f>transfers!D28</f>
        <v>0</v>
      </c>
      <c r="E45" s="162"/>
      <c r="F45" s="358">
        <f>transfers!E28</f>
        <v>0</v>
      </c>
      <c r="G45" s="22"/>
      <c r="H45" s="22"/>
    </row>
    <row r="46" spans="1:8" ht="15.75" thickBot="1">
      <c r="A46" s="29" t="s">
        <v>312</v>
      </c>
      <c r="B46" s="359">
        <f>B44-B45</f>
        <v>101081</v>
      </c>
      <c r="C46" s="22"/>
      <c r="D46" s="359">
        <f>D44-D45</f>
        <v>105981</v>
      </c>
      <c r="E46" s="182"/>
      <c r="F46" s="359">
        <f>F44-F45</f>
        <v>147164</v>
      </c>
      <c r="G46" s="22"/>
      <c r="H46" s="22"/>
    </row>
    <row r="47" spans="1:8" ht="15.75" thickTop="1">
      <c r="A47" s="29" t="s">
        <v>313</v>
      </c>
      <c r="B47" s="358">
        <f>inputPrYr!E75</f>
        <v>13400</v>
      </c>
      <c r="C47" s="61"/>
      <c r="D47" s="358">
        <f>inputPrYr!E30</f>
        <v>13414</v>
      </c>
      <c r="E47" s="61"/>
      <c r="F47" s="360" t="s">
        <v>274</v>
      </c>
      <c r="G47" s="22"/>
      <c r="H47" s="22"/>
    </row>
    <row r="48" spans="1:8" ht="15">
      <c r="A48" s="29" t="s">
        <v>314</v>
      </c>
      <c r="B48" s="137"/>
      <c r="C48" s="22"/>
      <c r="D48" s="137"/>
      <c r="E48" s="22"/>
      <c r="F48" s="137"/>
      <c r="G48" s="22"/>
      <c r="H48" s="22"/>
    </row>
    <row r="49" spans="1:8" ht="15">
      <c r="A49" s="29" t="s">
        <v>315</v>
      </c>
      <c r="B49" s="358">
        <f>inputPrYr!E76</f>
        <v>439558</v>
      </c>
      <c r="C49" s="22"/>
      <c r="D49" s="358">
        <f>inputOth!E34</f>
        <v>427080</v>
      </c>
      <c r="E49" s="22"/>
      <c r="F49" s="358">
        <f>inputOth!E6</f>
        <v>434526</v>
      </c>
      <c r="G49" s="22"/>
      <c r="H49" s="22"/>
    </row>
    <row r="50" spans="1:8" ht="15">
      <c r="A50" s="22"/>
      <c r="B50" s="22"/>
      <c r="C50" s="22"/>
      <c r="D50" s="22"/>
      <c r="E50" s="22"/>
      <c r="F50" s="22"/>
      <c r="G50" s="22"/>
      <c r="H50" s="22"/>
    </row>
    <row r="51" spans="1:8" ht="15">
      <c r="A51" s="29" t="s">
        <v>316</v>
      </c>
      <c r="B51" s="22"/>
      <c r="C51" s="22"/>
      <c r="D51" s="22"/>
      <c r="E51" s="22"/>
      <c r="F51" s="22"/>
      <c r="G51" s="22"/>
      <c r="H51" s="22"/>
    </row>
    <row r="52" spans="1:8" ht="15">
      <c r="A52" s="29" t="s">
        <v>317</v>
      </c>
      <c r="B52" s="361">
        <f>H1-3</f>
        <v>2009</v>
      </c>
      <c r="C52" s="22"/>
      <c r="D52" s="361">
        <f>H1-2</f>
        <v>2010</v>
      </c>
      <c r="E52" s="22"/>
      <c r="F52" s="361">
        <f>H1-1</f>
        <v>2011</v>
      </c>
      <c r="G52" s="22"/>
      <c r="H52" s="22"/>
    </row>
    <row r="53" spans="1:8" ht="15">
      <c r="A53" s="29" t="s">
        <v>318</v>
      </c>
      <c r="B53" s="362">
        <f>inputPrYr!D79</f>
        <v>0</v>
      </c>
      <c r="C53" s="22"/>
      <c r="D53" s="362">
        <f>inputPrYr!E79</f>
        <v>0</v>
      </c>
      <c r="E53" s="22"/>
      <c r="F53" s="362">
        <f>debt!F20</f>
        <v>0</v>
      </c>
      <c r="G53" s="22"/>
      <c r="H53" s="22"/>
    </row>
    <row r="54" spans="1:8" ht="15">
      <c r="A54" s="29" t="s">
        <v>319</v>
      </c>
      <c r="B54" s="363">
        <f>inputPrYr!D80</f>
        <v>0</v>
      </c>
      <c r="C54" s="22"/>
      <c r="D54" s="363">
        <f>inputPrYr!E80</f>
        <v>0</v>
      </c>
      <c r="E54" s="22"/>
      <c r="F54" s="363">
        <f>debt!F32</f>
        <v>0</v>
      </c>
      <c r="G54" s="22"/>
      <c r="H54" s="22"/>
    </row>
    <row r="55" spans="1:8" ht="15">
      <c r="A55" s="22" t="s">
        <v>338</v>
      </c>
      <c r="B55" s="363">
        <f>inputPrYr!D81</f>
        <v>0</v>
      </c>
      <c r="C55" s="22"/>
      <c r="D55" s="363">
        <f>inputPrYr!E81</f>
        <v>0</v>
      </c>
      <c r="E55" s="22"/>
      <c r="F55" s="363">
        <f>debt!F42</f>
        <v>0</v>
      </c>
      <c r="G55" s="22"/>
      <c r="H55" s="22"/>
    </row>
    <row r="56" spans="1:8" ht="15">
      <c r="A56" s="29" t="s">
        <v>415</v>
      </c>
      <c r="B56" s="363">
        <f>inputPrYr!D82</f>
        <v>0</v>
      </c>
      <c r="C56" s="22"/>
      <c r="D56" s="363">
        <f>inputPrYr!E82</f>
        <v>0</v>
      </c>
      <c r="E56" s="22"/>
      <c r="F56" s="363">
        <f>lpform!F28</f>
        <v>0</v>
      </c>
      <c r="G56" s="22"/>
      <c r="H56" s="22"/>
    </row>
    <row r="57" spans="1:8" ht="15.75" thickBot="1">
      <c r="A57" s="29" t="s">
        <v>320</v>
      </c>
      <c r="B57" s="364">
        <f>SUM(B53:B56)</f>
        <v>0</v>
      </c>
      <c r="C57" s="22"/>
      <c r="D57" s="364">
        <f>SUM(D53:D56)</f>
        <v>0</v>
      </c>
      <c r="E57" s="22"/>
      <c r="F57" s="364">
        <f>SUM(F53:F56)</f>
        <v>0</v>
      </c>
      <c r="G57" s="22"/>
      <c r="H57" s="22"/>
    </row>
    <row r="58" spans="1:8" ht="15.75" thickTop="1">
      <c r="A58" s="29" t="s">
        <v>321</v>
      </c>
      <c r="B58" s="22"/>
      <c r="C58" s="22"/>
      <c r="D58" s="22"/>
      <c r="E58" s="22"/>
      <c r="F58" s="22"/>
      <c r="G58" s="22"/>
      <c r="H58" s="22"/>
    </row>
    <row r="59" spans="1:8" ht="15">
      <c r="A59" s="22"/>
      <c r="B59" s="22"/>
      <c r="C59" s="22"/>
      <c r="D59" s="22"/>
      <c r="E59" s="22"/>
      <c r="F59" s="22"/>
      <c r="G59" s="22"/>
      <c r="H59" s="22"/>
    </row>
    <row r="60" spans="1:8" ht="15">
      <c r="A60" s="127"/>
      <c r="B60" s="127"/>
      <c r="C60" s="22"/>
      <c r="D60" s="22"/>
      <c r="E60" s="22"/>
      <c r="F60" s="22"/>
      <c r="G60" s="22"/>
      <c r="H60" s="22"/>
    </row>
    <row r="61" spans="1:8" ht="15">
      <c r="A61" s="157" t="s">
        <v>485</v>
      </c>
      <c r="B61" s="516" t="s">
        <v>423</v>
      </c>
      <c r="C61" s="517"/>
      <c r="D61" s="22"/>
      <c r="E61" s="22"/>
      <c r="F61" s="22"/>
      <c r="G61" s="22"/>
      <c r="H61" s="22"/>
    </row>
    <row r="62" spans="1:8" ht="15">
      <c r="A62" s="22"/>
      <c r="B62" s="22"/>
      <c r="C62" s="22"/>
      <c r="D62" s="22"/>
      <c r="E62" s="22"/>
      <c r="F62" s="22"/>
      <c r="G62" s="22"/>
      <c r="H62" s="22"/>
    </row>
    <row r="63" spans="1:8" ht="15">
      <c r="A63" s="22"/>
      <c r="B63" s="22"/>
      <c r="C63" s="123" t="s">
        <v>293</v>
      </c>
      <c r="D63" s="279">
        <v>13</v>
      </c>
      <c r="E63" s="22"/>
      <c r="F63" s="22"/>
      <c r="G63" s="22"/>
      <c r="H63" s="22"/>
    </row>
  </sheetData>
  <sheetProtection sheet="1"/>
  <mergeCells count="7">
    <mergeCell ref="A2:H2"/>
    <mergeCell ref="A5:H5"/>
    <mergeCell ref="A7:H7"/>
    <mergeCell ref="B61:C61"/>
    <mergeCell ref="A8:H8"/>
    <mergeCell ref="A4:H4"/>
    <mergeCell ref="A6:H6"/>
  </mergeCells>
  <printOptions/>
  <pageMargins left="0.5" right="0.5" top="1" bottom="0.5" header="0.5" footer="0.5"/>
  <pageSetup blackAndWhite="1" fitToHeight="1" fitToWidth="1" horizontalDpi="300" verticalDpi="300" orientation="portrait" scale="67" r:id="rId1"/>
  <headerFooter alignWithMargins="0">
    <oddHeader>&amp;RState of Kansas
City
</oddHeader>
    <oddFooter>&amp;Lrevised 12/08/09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C1">
      <selection activeCell="C39" sqref="C39"/>
    </sheetView>
  </sheetViews>
  <sheetFormatPr defaultColWidth="8.8984375" defaultRowHeight="15"/>
  <cols>
    <col min="1" max="1" width="10.69921875" style="85" customWidth="1"/>
    <col min="2" max="2" width="15.59765625" style="85" customWidth="1"/>
    <col min="3" max="4" width="12.69921875" style="85" customWidth="1"/>
    <col min="5" max="5" width="11.69921875" style="85" customWidth="1"/>
    <col min="6" max="16384" width="8.8984375" style="85" customWidth="1"/>
  </cols>
  <sheetData>
    <row r="1" spans="1:6" ht="15">
      <c r="A1" s="162" t="str">
        <f>inputPrYr!D2</f>
        <v>CITY OF BURR OAK</v>
      </c>
      <c r="B1" s="22"/>
      <c r="C1" s="22"/>
      <c r="D1" s="22"/>
      <c r="E1" s="22"/>
      <c r="F1" s="22">
        <f>inputPrYr!C5</f>
        <v>2012</v>
      </c>
    </row>
    <row r="2" spans="1:6" ht="15">
      <c r="A2" s="22"/>
      <c r="B2" s="22"/>
      <c r="C2" s="22"/>
      <c r="D2" s="22"/>
      <c r="E2" s="22"/>
      <c r="F2" s="22"/>
    </row>
    <row r="3" spans="1:6" ht="15">
      <c r="A3" s="22"/>
      <c r="B3" s="450" t="str">
        <f>CONCATENATE("",F1," Neighborhood Revitalization Rebate")</f>
        <v>2012 Neighborhood Revitalization Rebate</v>
      </c>
      <c r="C3" s="519"/>
      <c r="D3" s="519"/>
      <c r="E3" s="519"/>
      <c r="F3" s="22"/>
    </row>
    <row r="4" spans="1:6" ht="15">
      <c r="A4" s="22"/>
      <c r="B4" s="22"/>
      <c r="C4" s="22"/>
      <c r="D4" s="22"/>
      <c r="E4" s="22"/>
      <c r="F4" s="80"/>
    </row>
    <row r="5" spans="1:6" ht="51.75" customHeight="1">
      <c r="A5" s="22"/>
      <c r="B5" s="365" t="str">
        <f>CONCATENATE("Budgeted Funds          for ",F1,"")</f>
        <v>Budgeted Funds          for 2012</v>
      </c>
      <c r="C5" s="365" t="str">
        <f>CONCATENATE("",F1-1," Ad Valorem before Rebate**")</f>
        <v>2011 Ad Valorem before Rebate**</v>
      </c>
      <c r="D5" s="366" t="str">
        <f>CONCATENATE("",F1-1," Mil Rate before Rebate")</f>
        <v>2011 Mil Rate before Rebate</v>
      </c>
      <c r="E5" s="367" t="str">
        <f>CONCATENATE("Estimate ",F1," NR Rebate")</f>
        <v>Estimate 2012 NR Rebate</v>
      </c>
      <c r="F5" s="80"/>
    </row>
    <row r="6" spans="1:6" ht="18" customHeight="1">
      <c r="A6" s="22"/>
      <c r="B6" s="47" t="s">
        <v>622</v>
      </c>
      <c r="C6" s="368"/>
      <c r="D6" s="369">
        <f>IF(C6&gt;0,C6/$D$23,"")</f>
      </c>
      <c r="E6" s="198">
        <f aca="true" t="shared" si="0" ref="E6:E17">IF(C6&gt;0,ROUND(D6*$D$27,0),"")</f>
      </c>
      <c r="F6" s="80"/>
    </row>
    <row r="7" spans="1:6" ht="15">
      <c r="A7" s="22"/>
      <c r="B7" s="47" t="str">
        <f>inputPrYr!B18</f>
        <v>Debt Service</v>
      </c>
      <c r="C7" s="368"/>
      <c r="D7" s="369">
        <f aca="true" t="shared" si="1" ref="D7:D17">IF(C7&gt;0,C7/$D$23,"")</f>
      </c>
      <c r="E7" s="198">
        <f t="shared" si="0"/>
      </c>
      <c r="F7" s="80"/>
    </row>
    <row r="8" spans="1:6" ht="15">
      <c r="A8" s="22"/>
      <c r="B8" s="70" t="str">
        <f>IF((inputPrYr!$B20&gt;"  "),(inputPrYr!$B20),"  ")</f>
        <v>Library</v>
      </c>
      <c r="C8" s="368"/>
      <c r="D8" s="369">
        <f t="shared" si="1"/>
      </c>
      <c r="E8" s="198">
        <f t="shared" si="0"/>
      </c>
      <c r="F8" s="80"/>
    </row>
    <row r="9" spans="1:6" ht="15">
      <c r="A9" s="22"/>
      <c r="B9" s="70" t="str">
        <f>IF((inputPrYr!$B21&gt;"  "),(inputPrYr!$B21),"  ")</f>
        <v>Employee Benefits</v>
      </c>
      <c r="C9" s="368"/>
      <c r="D9" s="369">
        <f t="shared" si="1"/>
      </c>
      <c r="E9" s="198">
        <f t="shared" si="0"/>
      </c>
      <c r="F9" s="80"/>
    </row>
    <row r="10" spans="1:6" ht="15">
      <c r="A10" s="22"/>
      <c r="B10" s="70" t="str">
        <f>IF((inputPrYr!$B22&gt;"  "),(inputPrYr!$B22),"  ")</f>
        <v>  </v>
      </c>
      <c r="C10" s="368"/>
      <c r="D10" s="369">
        <f t="shared" si="1"/>
      </c>
      <c r="E10" s="198">
        <f t="shared" si="0"/>
      </c>
      <c r="F10" s="80"/>
    </row>
    <row r="11" spans="1:6" ht="15">
      <c r="A11" s="22"/>
      <c r="B11" s="70" t="str">
        <f>IF((inputPrYr!$B23&gt;"  "),(inputPrYr!$B23),"  ")</f>
        <v>  </v>
      </c>
      <c r="C11" s="368"/>
      <c r="D11" s="369">
        <f t="shared" si="1"/>
      </c>
      <c r="E11" s="198">
        <f t="shared" si="0"/>
      </c>
      <c r="F11" s="80"/>
    </row>
    <row r="12" spans="1:6" ht="15">
      <c r="A12" s="22"/>
      <c r="B12" s="70" t="str">
        <f>IF((inputPrYr!$B24&gt;"  "),(inputPrYr!$B24),"  ")</f>
        <v>  </v>
      </c>
      <c r="C12" s="370"/>
      <c r="D12" s="369">
        <f t="shared" si="1"/>
      </c>
      <c r="E12" s="198">
        <f t="shared" si="0"/>
      </c>
      <c r="F12" s="80"/>
    </row>
    <row r="13" spans="1:6" ht="15">
      <c r="A13" s="22"/>
      <c r="B13" s="70" t="str">
        <f>IF((inputPrYr!$B25&gt;"  "),(inputPrYr!$B25),"  ")</f>
        <v>  </v>
      </c>
      <c r="C13" s="370"/>
      <c r="D13" s="369">
        <f t="shared" si="1"/>
      </c>
      <c r="E13" s="198">
        <f t="shared" si="0"/>
      </c>
      <c r="F13" s="80"/>
    </row>
    <row r="14" spans="1:6" ht="15">
      <c r="A14" s="22"/>
      <c r="B14" s="70" t="str">
        <f>IF((inputPrYr!$B26&gt;"  "),(inputPrYr!$B26),"  ")</f>
        <v>  </v>
      </c>
      <c r="C14" s="370"/>
      <c r="D14" s="369">
        <f t="shared" si="1"/>
      </c>
      <c r="E14" s="198">
        <f t="shared" si="0"/>
      </c>
      <c r="F14" s="80"/>
    </row>
    <row r="15" spans="1:6" ht="15">
      <c r="A15" s="22"/>
      <c r="B15" s="70" t="str">
        <f>IF((inputPrYr!$B27&gt;"  "),(inputPrYr!$B27),"  ")</f>
        <v>  </v>
      </c>
      <c r="C15" s="370"/>
      <c r="D15" s="369">
        <f t="shared" si="1"/>
      </c>
      <c r="E15" s="198">
        <f t="shared" si="0"/>
      </c>
      <c r="F15" s="80"/>
    </row>
    <row r="16" spans="1:6" ht="15">
      <c r="A16" s="22"/>
      <c r="B16" s="70" t="str">
        <f>IF((inputPrYr!$B28&gt;"  "),(inputPrYr!$B28),"  ")</f>
        <v>  </v>
      </c>
      <c r="C16" s="370"/>
      <c r="D16" s="369">
        <f t="shared" si="1"/>
      </c>
      <c r="E16" s="198">
        <f t="shared" si="0"/>
      </c>
      <c r="F16" s="80"/>
    </row>
    <row r="17" spans="1:6" ht="15">
      <c r="A17" s="22"/>
      <c r="B17" s="70" t="str">
        <f>IF((inputPrYr!$B29&gt;"  "),(inputPrYr!$B29),"  ")</f>
        <v>  </v>
      </c>
      <c r="C17" s="370"/>
      <c r="D17" s="369">
        <f t="shared" si="1"/>
      </c>
      <c r="E17" s="198">
        <f t="shared" si="0"/>
      </c>
      <c r="F17" s="80"/>
    </row>
    <row r="18" spans="1:6" ht="17.25" customHeight="1" thickBot="1">
      <c r="A18" s="22"/>
      <c r="B18" s="48" t="s">
        <v>280</v>
      </c>
      <c r="C18" s="371">
        <f>SUM(C6:C17)</f>
        <v>0</v>
      </c>
      <c r="D18" s="372">
        <f>SUM(D6:D17)</f>
        <v>0</v>
      </c>
      <c r="E18" s="371">
        <f>SUM(E6:E17)</f>
        <v>0</v>
      </c>
      <c r="F18" s="80"/>
    </row>
    <row r="19" spans="1:6" ht="15.75" thickTop="1">
      <c r="A19" s="22"/>
      <c r="B19" s="22"/>
      <c r="C19" s="22"/>
      <c r="D19" s="22"/>
      <c r="E19" s="22"/>
      <c r="F19" s="80"/>
    </row>
    <row r="20" spans="1:6" ht="15">
      <c r="A20" s="22"/>
      <c r="B20" s="22"/>
      <c r="C20" s="22"/>
      <c r="D20" s="22"/>
      <c r="E20" s="22"/>
      <c r="F20" s="80"/>
    </row>
    <row r="21" spans="1:6" ht="18.75" customHeight="1">
      <c r="A21" s="520" t="str">
        <f>CONCATENATE("",F1-1," July 1 Valuation:")</f>
        <v>2011 July 1 Valuation:</v>
      </c>
      <c r="B21" s="490"/>
      <c r="C21" s="520"/>
      <c r="D21" s="362">
        <f>inputOth!E6</f>
        <v>434526</v>
      </c>
      <c r="E21" s="22"/>
      <c r="F21" s="80"/>
    </row>
    <row r="22" spans="1:6" ht="15">
      <c r="A22" s="22"/>
      <c r="B22" s="22"/>
      <c r="C22" s="22"/>
      <c r="D22" s="22"/>
      <c r="E22" s="22"/>
      <c r="F22" s="80"/>
    </row>
    <row r="23" spans="1:6" ht="15">
      <c r="A23" s="22"/>
      <c r="B23" s="520" t="s">
        <v>657</v>
      </c>
      <c r="C23" s="520"/>
      <c r="D23" s="373">
        <f>IF(D21&gt;0,(D21*0.001),"")</f>
        <v>434.526</v>
      </c>
      <c r="E23" s="22"/>
      <c r="F23" s="80"/>
    </row>
    <row r="24" spans="1:6" ht="15">
      <c r="A24" s="22"/>
      <c r="B24" s="123"/>
      <c r="C24" s="123"/>
      <c r="D24" s="374"/>
      <c r="E24" s="22"/>
      <c r="F24" s="80"/>
    </row>
    <row r="25" spans="1:6" ht="15">
      <c r="A25" s="487" t="s">
        <v>658</v>
      </c>
      <c r="B25" s="445"/>
      <c r="C25" s="445"/>
      <c r="D25" s="375">
        <f>inputOth!E16</f>
        <v>0</v>
      </c>
      <c r="E25" s="87"/>
      <c r="F25" s="87"/>
    </row>
    <row r="26" spans="1:6" ht="15">
      <c r="A26" s="87"/>
      <c r="B26" s="87"/>
      <c r="C26" s="87"/>
      <c r="D26" s="376"/>
      <c r="E26" s="87"/>
      <c r="F26" s="87"/>
    </row>
    <row r="27" spans="1:6" ht="15">
      <c r="A27" s="87"/>
      <c r="B27" s="487" t="s">
        <v>659</v>
      </c>
      <c r="C27" s="490"/>
      <c r="D27" s="377">
        <f>IF(D25&gt;0,(D25*0.001),"")</f>
      </c>
      <c r="E27" s="87"/>
      <c r="F27" s="87"/>
    </row>
    <row r="28" spans="1:6" ht="15">
      <c r="A28" s="87"/>
      <c r="B28" s="87"/>
      <c r="C28" s="87"/>
      <c r="D28" s="87"/>
      <c r="E28" s="87"/>
      <c r="F28" s="87"/>
    </row>
    <row r="29" spans="1:6" ht="15">
      <c r="A29" s="87"/>
      <c r="B29" s="87"/>
      <c r="C29" s="87"/>
      <c r="D29" s="87"/>
      <c r="E29" s="87"/>
      <c r="F29" s="87"/>
    </row>
    <row r="30" spans="1:6" ht="15">
      <c r="A30" s="87"/>
      <c r="B30" s="87"/>
      <c r="C30" s="87"/>
      <c r="D30" s="87"/>
      <c r="E30" s="87"/>
      <c r="F30" s="87"/>
    </row>
    <row r="31" spans="1:6" ht="15">
      <c r="A31" s="422" t="str">
        <f>CONCATENATE("**This information comes from the ",F1," Budget Summary page.  See instructions tab #11 for completing")</f>
        <v>**This information comes from the 2012 Budget Summary page.  See instructions tab #11 for completing</v>
      </c>
      <c r="B31" s="87"/>
      <c r="C31" s="87"/>
      <c r="D31" s="87"/>
      <c r="E31" s="87"/>
      <c r="F31" s="87"/>
    </row>
    <row r="32" spans="1:6" ht="15">
      <c r="A32" s="422" t="s">
        <v>243</v>
      </c>
      <c r="B32" s="87"/>
      <c r="C32" s="87"/>
      <c r="D32" s="87"/>
      <c r="E32" s="87"/>
      <c r="F32" s="87"/>
    </row>
    <row r="33" spans="1:6" ht="15">
      <c r="A33" s="422"/>
      <c r="B33" s="87"/>
      <c r="C33" s="87"/>
      <c r="D33" s="87"/>
      <c r="E33" s="87"/>
      <c r="F33" s="87"/>
    </row>
    <row r="34" spans="1:6" ht="15">
      <c r="A34" s="422"/>
      <c r="B34" s="87"/>
      <c r="C34" s="87"/>
      <c r="D34" s="87"/>
      <c r="E34" s="87"/>
      <c r="F34" s="87"/>
    </row>
    <row r="35" spans="1:6" ht="15">
      <c r="A35" s="422"/>
      <c r="B35" s="87"/>
      <c r="C35" s="87"/>
      <c r="D35" s="87"/>
      <c r="E35" s="87"/>
      <c r="F35" s="87"/>
    </row>
    <row r="36" spans="1:6" ht="15">
      <c r="A36" s="422"/>
      <c r="B36" s="87"/>
      <c r="C36" s="87"/>
      <c r="D36" s="87"/>
      <c r="E36" s="87"/>
      <c r="F36" s="87"/>
    </row>
    <row r="37" spans="1:6" ht="15">
      <c r="A37" s="422"/>
      <c r="B37" s="87"/>
      <c r="C37" s="87"/>
      <c r="D37" s="87"/>
      <c r="E37" s="87"/>
      <c r="F37" s="87"/>
    </row>
    <row r="38" spans="1:6" ht="15">
      <c r="A38" s="87"/>
      <c r="B38" s="87"/>
      <c r="C38" s="87"/>
      <c r="D38" s="87"/>
      <c r="E38" s="87"/>
      <c r="F38" s="87"/>
    </row>
    <row r="39" spans="1:6" ht="15">
      <c r="A39" s="87"/>
      <c r="B39" s="272" t="s">
        <v>301</v>
      </c>
      <c r="C39" s="279"/>
      <c r="D39" s="87"/>
      <c r="E39" s="87"/>
      <c r="F39" s="87"/>
    </row>
    <row r="40" spans="1:6" ht="15">
      <c r="A40" s="80"/>
      <c r="B40" s="22"/>
      <c r="C40" s="22"/>
      <c r="D40" s="52"/>
      <c r="E40" s="80"/>
      <c r="F40" s="80"/>
    </row>
  </sheetData>
  <sheetProtection sheet="1" objects="1" scenarios="1"/>
  <mergeCells count="5">
    <mergeCell ref="A25:C25"/>
    <mergeCell ref="B27:C27"/>
    <mergeCell ref="B3:E3"/>
    <mergeCell ref="A21:C21"/>
    <mergeCell ref="B23:C23"/>
  </mergeCells>
  <printOptions/>
  <pageMargins left="0.75" right="0.75" top="1" bottom="1" header="0.5" footer="0.5"/>
  <pageSetup blackAndWhite="1" fitToHeight="1" fitToWidth="1" horizontalDpi="600" verticalDpi="600" orientation="portrait" scale="91" r:id="rId1"/>
  <headerFooter alignWithMargins="0">
    <oddHeader>&amp;RState of Kansas
City</oddHeader>
    <oddFooter>&amp;Lrevised 12/28/09</oddFooter>
  </headerFooter>
</worksheet>
</file>

<file path=xl/worksheets/sheet33.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G1"/>
    </sheetView>
  </sheetViews>
  <sheetFormatPr defaultColWidth="8.796875" defaultRowHeight="15"/>
  <sheetData>
    <row r="1" spans="1:7" ht="16.5" customHeight="1">
      <c r="A1" s="521" t="s">
        <v>417</v>
      </c>
      <c r="B1" s="521"/>
      <c r="C1" s="521"/>
      <c r="D1" s="521"/>
      <c r="E1" s="521"/>
      <c r="F1" s="521"/>
      <c r="G1" s="521"/>
    </row>
    <row r="2" spans="1:7" ht="16.5" customHeight="1">
      <c r="A2" s="521"/>
      <c r="B2" s="521"/>
      <c r="C2" s="521"/>
      <c r="D2" s="521"/>
      <c r="E2" s="521"/>
      <c r="F2" s="521"/>
      <c r="G2" s="521"/>
    </row>
    <row r="3" spans="1:7" ht="16.5" customHeight="1">
      <c r="A3" s="523"/>
      <c r="B3" s="523"/>
      <c r="C3" s="523"/>
      <c r="D3" s="523"/>
      <c r="E3" s="523"/>
      <c r="F3" s="523"/>
      <c r="G3" s="523"/>
    </row>
    <row r="4" spans="1:7" ht="16.5" customHeight="1">
      <c r="A4" s="522" t="str">
        <f>CONCATENATE("AN ORDINANCE ATTESTING TO AN INCREASE IN TAX REVENUES FOR BUDGET YEAR ",(inputPrYr!C5)," FOR THE  ",(inputPrYr!$D$2),".")</f>
        <v>AN ORDINANCE ATTESTING TO AN INCREASE IN TAX REVENUES FOR BUDGET YEAR 2012 FOR THE  CITY OF BURR OAK.</v>
      </c>
      <c r="B4" s="522"/>
      <c r="C4" s="522"/>
      <c r="D4" s="522"/>
      <c r="E4" s="522"/>
      <c r="F4" s="522"/>
      <c r="G4" s="522"/>
    </row>
    <row r="5" spans="1:7" ht="16.5" customHeight="1">
      <c r="A5" s="522"/>
      <c r="B5" s="522"/>
      <c r="C5" s="522"/>
      <c r="D5" s="522"/>
      <c r="E5" s="522"/>
      <c r="F5" s="522"/>
      <c r="G5" s="522"/>
    </row>
    <row r="6" spans="1:7" ht="16.5" customHeight="1">
      <c r="A6" s="521"/>
      <c r="B6" s="521"/>
      <c r="C6" s="521"/>
      <c r="D6" s="521"/>
      <c r="E6" s="521"/>
      <c r="F6" s="521"/>
      <c r="G6" s="521"/>
    </row>
    <row r="7" spans="1:14" ht="16.5" customHeight="1">
      <c r="A7" s="522" t="str">
        <f>CONCATENATE("WHEREAS ",(inputPrYr!$D$2)," must continue to provide services to protect the health, safety, and welfare of the citizens of this community; and")</f>
        <v>WHEREAS CITY OF BURR OAK must continue to provide services to protect the health, safety, and welfare of the citizens of this community; and</v>
      </c>
      <c r="B7" s="522"/>
      <c r="C7" s="522"/>
      <c r="D7" s="522"/>
      <c r="E7" s="522"/>
      <c r="F7" s="522"/>
      <c r="G7" s="522"/>
      <c r="H7" s="2"/>
      <c r="I7" s="2"/>
      <c r="J7" s="2"/>
      <c r="K7" s="2"/>
      <c r="L7" s="2"/>
      <c r="M7" s="2"/>
      <c r="N7" s="2"/>
    </row>
    <row r="8" spans="1:14" ht="16.5" customHeight="1">
      <c r="A8" s="522"/>
      <c r="B8" s="522"/>
      <c r="C8" s="522"/>
      <c r="D8" s="522"/>
      <c r="E8" s="522"/>
      <c r="F8" s="522"/>
      <c r="G8" s="522"/>
      <c r="H8" s="2"/>
      <c r="I8" s="2"/>
      <c r="J8" s="2"/>
      <c r="K8" s="2"/>
      <c r="L8" s="2"/>
      <c r="M8" s="2"/>
      <c r="N8" s="2"/>
    </row>
    <row r="9" spans="1:7" ht="16.5" customHeight="1">
      <c r="A9" s="4"/>
      <c r="B9" s="4"/>
      <c r="C9" s="4"/>
      <c r="D9" s="4"/>
      <c r="E9" s="4"/>
      <c r="F9" s="4"/>
      <c r="G9" s="4"/>
    </row>
    <row r="10" spans="1:7" ht="16.5" customHeight="1">
      <c r="A10" s="522" t="s">
        <v>418</v>
      </c>
      <c r="B10" s="522"/>
      <c r="C10" s="522"/>
      <c r="D10" s="522"/>
      <c r="E10" s="522"/>
      <c r="F10" s="522"/>
      <c r="G10" s="522"/>
    </row>
    <row r="11" spans="1:7" ht="16.5" customHeight="1">
      <c r="A11" s="522"/>
      <c r="B11" s="522"/>
      <c r="C11" s="522"/>
      <c r="D11" s="522"/>
      <c r="E11" s="522"/>
      <c r="F11" s="522"/>
      <c r="G11" s="522"/>
    </row>
    <row r="12" spans="1:7" ht="16.5" customHeight="1">
      <c r="A12" s="4"/>
      <c r="B12" s="4"/>
      <c r="C12" s="4"/>
      <c r="D12" s="4"/>
      <c r="E12" s="4"/>
      <c r="F12" s="4"/>
      <c r="G12" s="4"/>
    </row>
    <row r="13" spans="1:14" ht="16.5" customHeight="1">
      <c r="A13" s="522" t="str">
        <f>CONCATENATE("NOW THEREFORE, be it ordained by the Governing Body of the ",(inputPrYr!$D$2),":")</f>
        <v>NOW THEREFORE, be it ordained by the Governing Body of the CITY OF BURR OAK:</v>
      </c>
      <c r="B13" s="522"/>
      <c r="C13" s="522"/>
      <c r="D13" s="522"/>
      <c r="E13" s="522"/>
      <c r="F13" s="522"/>
      <c r="G13" s="522"/>
      <c r="H13" s="2"/>
      <c r="I13" s="2"/>
      <c r="J13" s="2"/>
      <c r="K13" s="2"/>
      <c r="L13" s="2"/>
      <c r="M13" s="2"/>
      <c r="N13" s="2"/>
    </row>
    <row r="14" spans="1:14" ht="16.5" customHeight="1">
      <c r="A14" s="522"/>
      <c r="B14" s="522"/>
      <c r="C14" s="522"/>
      <c r="D14" s="522"/>
      <c r="E14" s="522"/>
      <c r="F14" s="522"/>
      <c r="G14" s="522"/>
      <c r="H14" s="2"/>
      <c r="I14" s="2"/>
      <c r="J14" s="2"/>
      <c r="K14" s="2"/>
      <c r="L14" s="2"/>
      <c r="M14" s="2"/>
      <c r="N14" s="2"/>
    </row>
    <row r="15" spans="1:14" ht="16.5" customHeight="1">
      <c r="A15" s="52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BURR OAK  has scheduled a public hearing and has prepared the proposed budget necessary to fund city services from January 1, 2012 until December 31, 2012.</v>
      </c>
      <c r="B15" s="522"/>
      <c r="C15" s="522"/>
      <c r="D15" s="522"/>
      <c r="E15" s="522"/>
      <c r="F15" s="522"/>
      <c r="G15" s="522"/>
      <c r="H15" s="2"/>
      <c r="I15" s="2"/>
      <c r="J15" s="2"/>
      <c r="K15" s="2"/>
      <c r="L15" s="2"/>
      <c r="M15" s="2"/>
      <c r="N15" s="2"/>
    </row>
    <row r="16" spans="1:14" ht="16.5" customHeight="1">
      <c r="A16" s="522"/>
      <c r="B16" s="522"/>
      <c r="C16" s="522"/>
      <c r="D16" s="522"/>
      <c r="E16" s="522"/>
      <c r="F16" s="522"/>
      <c r="G16" s="522"/>
      <c r="H16" s="2"/>
      <c r="I16" s="2"/>
      <c r="J16" s="2"/>
      <c r="K16" s="2"/>
      <c r="L16" s="2"/>
      <c r="M16" s="2"/>
      <c r="N16" s="2"/>
    </row>
    <row r="17" spans="1:14" ht="16.5" customHeight="1">
      <c r="A17" s="522"/>
      <c r="B17" s="522"/>
      <c r="C17" s="522"/>
      <c r="D17" s="522"/>
      <c r="E17" s="522"/>
      <c r="F17" s="522"/>
      <c r="G17" s="522"/>
      <c r="H17" s="3"/>
      <c r="I17" s="3"/>
      <c r="J17" s="3"/>
      <c r="K17" s="3"/>
      <c r="L17" s="3"/>
      <c r="M17" s="3"/>
      <c r="N17" s="3"/>
    </row>
    <row r="18" spans="1:7" ht="16.5" customHeight="1">
      <c r="A18" s="6"/>
      <c r="B18" s="6"/>
      <c r="C18" s="6"/>
      <c r="D18" s="6"/>
      <c r="E18" s="6"/>
      <c r="F18" s="6"/>
      <c r="G18" s="6"/>
    </row>
    <row r="19" spans="1:7" ht="16.5" customHeight="1">
      <c r="A19" s="525" t="s">
        <v>493</v>
      </c>
      <c r="B19" s="525"/>
      <c r="C19" s="525"/>
      <c r="D19" s="525"/>
      <c r="E19" s="525"/>
      <c r="F19" s="525"/>
      <c r="G19" s="525"/>
    </row>
    <row r="20" spans="1:7" ht="16.5" customHeight="1">
      <c r="A20" s="525" t="s">
        <v>494</v>
      </c>
      <c r="B20" s="525"/>
      <c r="C20" s="525"/>
      <c r="D20" s="525"/>
      <c r="E20" s="525"/>
      <c r="F20" s="525"/>
      <c r="G20" s="525"/>
    </row>
    <row r="21" spans="1:7" ht="16.5" customHeight="1">
      <c r="A21" s="525" t="str">
        <f>CONCATENATE("necessary to budget property tax revenues in an amount exceeding the levy in the ",(inputPrYr!C5-1),"")</f>
        <v>necessary to budget property tax revenues in an amount exceeding the levy in the 2011</v>
      </c>
      <c r="B21" s="525"/>
      <c r="C21" s="525"/>
      <c r="D21" s="525"/>
      <c r="E21" s="525"/>
      <c r="F21" s="525"/>
      <c r="G21" s="525"/>
    </row>
    <row r="22" spans="1:7" ht="16.5" customHeight="1">
      <c r="A22" s="5" t="s">
        <v>495</v>
      </c>
      <c r="B22" s="5"/>
      <c r="C22" s="5"/>
      <c r="D22" s="5"/>
      <c r="E22" s="5"/>
      <c r="F22" s="5"/>
      <c r="G22" s="5"/>
    </row>
    <row r="23" spans="1:7" ht="16.5" customHeight="1">
      <c r="A23" s="6"/>
      <c r="B23" s="6"/>
      <c r="C23" s="6"/>
      <c r="D23" s="6"/>
      <c r="E23" s="6"/>
      <c r="F23" s="6"/>
      <c r="G23" s="6"/>
    </row>
    <row r="24" spans="1:7" ht="16.5" customHeight="1">
      <c r="A24" s="522" t="s">
        <v>419</v>
      </c>
      <c r="B24" s="522"/>
      <c r="C24" s="522"/>
      <c r="D24" s="522"/>
      <c r="E24" s="522"/>
      <c r="F24" s="522"/>
      <c r="G24" s="522"/>
    </row>
    <row r="25" spans="1:7" ht="16.5" customHeight="1">
      <c r="A25" s="522"/>
      <c r="B25" s="522"/>
      <c r="C25" s="522"/>
      <c r="D25" s="522"/>
      <c r="E25" s="522"/>
      <c r="F25" s="522"/>
      <c r="G25" s="522"/>
    </row>
    <row r="26" spans="1:7" ht="16.5" customHeight="1">
      <c r="A26" s="6"/>
      <c r="B26" s="6"/>
      <c r="C26" s="6"/>
      <c r="D26" s="6"/>
      <c r="E26" s="6"/>
      <c r="F26" s="6"/>
      <c r="G26" s="6"/>
    </row>
    <row r="27" spans="1:7" ht="16.5" customHeight="1">
      <c r="A27" s="522" t="str">
        <f>CONCATENATE("Passed and approved by the Governing Body on this ______ day of __________, ",(inputPrYr!C5-1),".")</f>
        <v>Passed and approved by the Governing Body on this ______ day of __________, 2011.</v>
      </c>
      <c r="B27" s="522"/>
      <c r="C27" s="522"/>
      <c r="D27" s="522"/>
      <c r="E27" s="522"/>
      <c r="F27" s="522"/>
      <c r="G27" s="522"/>
    </row>
    <row r="28" spans="1:7" ht="16.5" customHeight="1">
      <c r="A28" s="522"/>
      <c r="B28" s="522"/>
      <c r="C28" s="522"/>
      <c r="D28" s="522"/>
      <c r="E28" s="522"/>
      <c r="F28" s="522"/>
      <c r="G28" s="522"/>
    </row>
    <row r="29" spans="1:7" ht="16.5" customHeight="1">
      <c r="A29" s="1"/>
      <c r="B29" s="1"/>
      <c r="C29" s="1"/>
      <c r="D29" s="1"/>
      <c r="E29" s="1"/>
      <c r="F29" s="1"/>
      <c r="G29" s="1"/>
    </row>
    <row r="30" spans="1:7" ht="16.5" customHeight="1">
      <c r="A30" s="524" t="s">
        <v>420</v>
      </c>
      <c r="B30" s="524"/>
      <c r="C30" s="524"/>
      <c r="D30" s="524"/>
      <c r="E30" s="524"/>
      <c r="F30" s="524"/>
      <c r="G30" s="524"/>
    </row>
    <row r="31" spans="1:7" ht="16.5" customHeight="1">
      <c r="A31" s="524" t="s">
        <v>421</v>
      </c>
      <c r="B31" s="524"/>
      <c r="C31" s="524"/>
      <c r="D31" s="524"/>
      <c r="E31" s="524"/>
      <c r="F31" s="524"/>
      <c r="G31" s="524"/>
    </row>
    <row r="32" spans="1:7" ht="16.5" customHeight="1">
      <c r="A32" s="1" t="s">
        <v>422</v>
      </c>
      <c r="B32" s="1"/>
      <c r="C32" s="1"/>
      <c r="D32" s="1"/>
      <c r="E32" s="1"/>
      <c r="F32" s="1"/>
      <c r="G32" s="1"/>
    </row>
    <row r="33" spans="1:7" ht="16.5" customHeight="1">
      <c r="A33" s="1"/>
      <c r="B33" s="1" t="s">
        <v>423</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424</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425</v>
      </c>
      <c r="B40" s="1"/>
      <c r="C40" s="1"/>
      <c r="D40" s="1"/>
      <c r="E40" s="1"/>
      <c r="F40" s="1"/>
      <c r="G40" s="1"/>
    </row>
    <row r="41" spans="1:7" ht="15">
      <c r="A41" s="1"/>
      <c r="B41" s="1"/>
      <c r="C41" s="1"/>
      <c r="D41" s="1"/>
      <c r="E41" s="1"/>
      <c r="F41" s="1"/>
      <c r="G41" s="1"/>
    </row>
  </sheetData>
  <sheetProtection sheet="1" objects="1" scenarios="1"/>
  <mergeCells count="16">
    <mergeCell ref="A30:G30"/>
    <mergeCell ref="A31:G31"/>
    <mergeCell ref="A15:G17"/>
    <mergeCell ref="A24:G25"/>
    <mergeCell ref="A27:G28"/>
    <mergeCell ref="A19:G19"/>
    <mergeCell ref="A20:G20"/>
    <mergeCell ref="A21:G21"/>
    <mergeCell ref="A6:G6"/>
    <mergeCell ref="A7:G8"/>
    <mergeCell ref="A10:G11"/>
    <mergeCell ref="A13:G14"/>
    <mergeCell ref="A1:G1"/>
    <mergeCell ref="A2:G2"/>
    <mergeCell ref="A3:G3"/>
    <mergeCell ref="A4:G5"/>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0">
      <selection activeCell="A28" sqref="A28"/>
    </sheetView>
  </sheetViews>
  <sheetFormatPr defaultColWidth="8.796875" defaultRowHeight="15"/>
  <cols>
    <col min="1" max="1" width="71.296875" style="0" customWidth="1"/>
  </cols>
  <sheetData>
    <row r="3" spans="1:12" ht="15">
      <c r="A3" s="407" t="s">
        <v>704</v>
      </c>
      <c r="B3" s="407"/>
      <c r="C3" s="407"/>
      <c r="D3" s="407"/>
      <c r="E3" s="407"/>
      <c r="F3" s="407"/>
      <c r="G3" s="407"/>
      <c r="H3" s="407"/>
      <c r="I3" s="407"/>
      <c r="J3" s="407"/>
      <c r="K3" s="407"/>
      <c r="L3" s="407"/>
    </row>
    <row r="5" ht="15">
      <c r="A5" s="408" t="s">
        <v>705</v>
      </c>
    </row>
    <row r="6" ht="15">
      <c r="A6" s="408" t="str">
        <f>CONCATENATE(inputPrYr!C5-2," 'total expenditures' exceed your ",inputPrYr!C5-2," 'budget authority.'")</f>
        <v>2010 'total expenditures' exceed your 2010 'budget authority.'</v>
      </c>
    </row>
    <row r="7" ht="15">
      <c r="A7" s="408"/>
    </row>
    <row r="8" ht="15">
      <c r="A8" s="408" t="s">
        <v>0</v>
      </c>
    </row>
    <row r="9" ht="15">
      <c r="A9" s="408" t="s">
        <v>1</v>
      </c>
    </row>
    <row r="10" ht="15">
      <c r="A10" s="408" t="s">
        <v>2</v>
      </c>
    </row>
    <row r="11" ht="15">
      <c r="A11" s="408"/>
    </row>
    <row r="12" ht="15">
      <c r="A12" s="408"/>
    </row>
    <row r="13" ht="15">
      <c r="A13" s="409" t="s">
        <v>3</v>
      </c>
    </row>
    <row r="15" ht="15">
      <c r="A15" s="408" t="s">
        <v>4</v>
      </c>
    </row>
    <row r="16" ht="15">
      <c r="A16" s="408" t="str">
        <f>CONCATENATE("(i.e. an audit has not been completed, or the ",inputPrYr!C5," adopted")</f>
        <v>(i.e. an audit has not been completed, or the 2012 adopted</v>
      </c>
    </row>
    <row r="17" ht="15">
      <c r="A17" s="408" t="s">
        <v>5</v>
      </c>
    </row>
    <row r="18" ht="15">
      <c r="A18" s="408" t="s">
        <v>6</v>
      </c>
    </row>
    <row r="19" ht="15">
      <c r="A19" s="408" t="s">
        <v>7</v>
      </c>
    </row>
    <row r="21" ht="15">
      <c r="A21" s="409" t="s">
        <v>8</v>
      </c>
    </row>
    <row r="22" ht="15">
      <c r="A22" s="409"/>
    </row>
    <row r="23" ht="15">
      <c r="A23" s="408" t="s">
        <v>9</v>
      </c>
    </row>
    <row r="24" ht="15">
      <c r="A24" s="408" t="s">
        <v>10</v>
      </c>
    </row>
    <row r="25" ht="15">
      <c r="A25" s="408" t="str">
        <f>CONCATENATE("particular fund.  If your ",inputPrYr!C5-2," budget was amended, did you")</f>
        <v>particular fund.  If your 2010 budget was amended, did you</v>
      </c>
    </row>
    <row r="26" ht="15">
      <c r="A26" s="408" t="s">
        <v>11</v>
      </c>
    </row>
    <row r="27" ht="15">
      <c r="A27" s="408"/>
    </row>
    <row r="28" ht="15">
      <c r="A28" s="408" t="str">
        <f>CONCATENATE("Next, look to see if any of your ",inputPrYr!C5-2," expenditures can be")</f>
        <v>Next, look to see if any of your 2010 expenditures can be</v>
      </c>
    </row>
    <row r="29" ht="15">
      <c r="A29" s="408" t="s">
        <v>12</v>
      </c>
    </row>
    <row r="30" ht="15">
      <c r="A30" s="408" t="s">
        <v>13</v>
      </c>
    </row>
    <row r="31" ht="15">
      <c r="A31" s="408" t="s">
        <v>14</v>
      </c>
    </row>
    <row r="32" ht="15">
      <c r="A32" s="408"/>
    </row>
    <row r="33" ht="15">
      <c r="A33" s="408" t="str">
        <f>CONCATENATE("Additionally, do your ",inputPrYr!C5-2," receipts contain a reimbursement")</f>
        <v>Additionally, do your 2010 receipts contain a reimbursement</v>
      </c>
    </row>
    <row r="34" ht="15">
      <c r="A34" s="408" t="s">
        <v>15</v>
      </c>
    </row>
    <row r="35" ht="15">
      <c r="A35" s="408" t="s">
        <v>16</v>
      </c>
    </row>
    <row r="36" ht="15">
      <c r="A36" s="408"/>
    </row>
    <row r="37" ht="15">
      <c r="A37" s="408" t="s">
        <v>17</v>
      </c>
    </row>
    <row r="38" ht="15">
      <c r="A38" s="408" t="s">
        <v>18</v>
      </c>
    </row>
    <row r="39" ht="15">
      <c r="A39" s="408" t="s">
        <v>19</v>
      </c>
    </row>
    <row r="40" ht="15">
      <c r="A40" s="408" t="s">
        <v>20</v>
      </c>
    </row>
    <row r="41" ht="15">
      <c r="A41" s="408" t="s">
        <v>21</v>
      </c>
    </row>
    <row r="42" ht="15">
      <c r="A42" s="408" t="s">
        <v>22</v>
      </c>
    </row>
    <row r="43" ht="15">
      <c r="A43" s="408" t="s">
        <v>23</v>
      </c>
    </row>
    <row r="44" ht="15">
      <c r="A44" s="408" t="s">
        <v>24</v>
      </c>
    </row>
    <row r="45" ht="15">
      <c r="A45" s="408"/>
    </row>
    <row r="46" ht="15">
      <c r="A46" s="408" t="s">
        <v>25</v>
      </c>
    </row>
    <row r="47" ht="15">
      <c r="A47" s="408" t="s">
        <v>26</v>
      </c>
    </row>
    <row r="48" ht="15">
      <c r="A48" s="408" t="s">
        <v>27</v>
      </c>
    </row>
    <row r="49" ht="15">
      <c r="A49" s="408"/>
    </row>
    <row r="50" ht="15">
      <c r="A50" s="408" t="s">
        <v>28</v>
      </c>
    </row>
    <row r="51" ht="15">
      <c r="A51" s="408" t="s">
        <v>29</v>
      </c>
    </row>
    <row r="52" ht="15">
      <c r="A52" s="408" t="s">
        <v>30</v>
      </c>
    </row>
    <row r="53" ht="15">
      <c r="A53" s="408"/>
    </row>
    <row r="54" ht="15">
      <c r="A54" s="409" t="s">
        <v>31</v>
      </c>
    </row>
    <row r="55" ht="15">
      <c r="A55" s="408"/>
    </row>
    <row r="56" ht="15">
      <c r="A56" s="408" t="s">
        <v>32</v>
      </c>
    </row>
    <row r="57" ht="15">
      <c r="A57" s="408" t="s">
        <v>33</v>
      </c>
    </row>
    <row r="58" ht="15">
      <c r="A58" s="408" t="s">
        <v>34</v>
      </c>
    </row>
    <row r="59" ht="15">
      <c r="A59" s="408" t="s">
        <v>35</v>
      </c>
    </row>
    <row r="60" ht="15">
      <c r="A60" s="408" t="s">
        <v>36</v>
      </c>
    </row>
    <row r="61" ht="15">
      <c r="A61" s="408" t="s">
        <v>37</v>
      </c>
    </row>
    <row r="62" ht="15">
      <c r="A62" s="408" t="s">
        <v>38</v>
      </c>
    </row>
    <row r="63" ht="15">
      <c r="A63" s="408" t="s">
        <v>39</v>
      </c>
    </row>
    <row r="64" ht="15">
      <c r="A64" s="408" t="s">
        <v>40</v>
      </c>
    </row>
    <row r="65" ht="15">
      <c r="A65" s="408" t="s">
        <v>41</v>
      </c>
    </row>
    <row r="66" ht="15">
      <c r="A66" s="408" t="s">
        <v>42</v>
      </c>
    </row>
    <row r="67" ht="15">
      <c r="A67" s="408" t="s">
        <v>43</v>
      </c>
    </row>
    <row r="68" ht="15">
      <c r="A68" s="408" t="s">
        <v>44</v>
      </c>
    </row>
    <row r="69" ht="15">
      <c r="A69" s="408"/>
    </row>
    <row r="70" ht="15">
      <c r="A70" s="408" t="s">
        <v>45</v>
      </c>
    </row>
    <row r="71" ht="15">
      <c r="A71" s="408" t="s">
        <v>46</v>
      </c>
    </row>
    <row r="72" ht="15">
      <c r="A72" s="408" t="s">
        <v>47</v>
      </c>
    </row>
    <row r="73" ht="15">
      <c r="A73" s="408"/>
    </row>
    <row r="74" ht="15">
      <c r="A74" s="409" t="str">
        <f>CONCATENATE("What if the ",inputPrYr!C5-2," financial records have been closed?")</f>
        <v>What if the 2010 financial records have been closed?</v>
      </c>
    </row>
    <row r="76" ht="15">
      <c r="A76" s="408" t="s">
        <v>48</v>
      </c>
    </row>
    <row r="77" ht="15">
      <c r="A77" s="408" t="str">
        <f>CONCATENATE("(i.e. an audit for ",inputPrYr!C5-2," has been completed, or the ",inputPrYr!C5)</f>
        <v>(i.e. an audit for 2010 has been completed, or the 2012</v>
      </c>
    </row>
    <row r="78" ht="15">
      <c r="A78" s="408" t="s">
        <v>49</v>
      </c>
    </row>
    <row r="79" ht="15">
      <c r="A79" s="408" t="s">
        <v>50</v>
      </c>
    </row>
    <row r="80" ht="15">
      <c r="A80" s="408"/>
    </row>
    <row r="81" ht="15">
      <c r="A81" s="408" t="s">
        <v>51</v>
      </c>
    </row>
    <row r="82" ht="15">
      <c r="A82" s="408" t="s">
        <v>52</v>
      </c>
    </row>
    <row r="83" ht="15">
      <c r="A83" s="408" t="s">
        <v>53</v>
      </c>
    </row>
    <row r="84" ht="15">
      <c r="A84" s="408"/>
    </row>
    <row r="85" ht="15">
      <c r="A85" s="408" t="s">
        <v>54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58">
      <selection activeCell="A60" sqref="A60"/>
    </sheetView>
  </sheetViews>
  <sheetFormatPr defaultColWidth="8.796875" defaultRowHeight="15"/>
  <cols>
    <col min="1" max="1" width="71.296875" style="0" customWidth="1"/>
  </cols>
  <sheetData>
    <row r="3" spans="1:10" ht="15">
      <c r="A3" s="407" t="s">
        <v>55</v>
      </c>
      <c r="B3" s="407"/>
      <c r="C3" s="407"/>
      <c r="D3" s="407"/>
      <c r="E3" s="407"/>
      <c r="F3" s="407"/>
      <c r="G3" s="407"/>
      <c r="H3" s="410"/>
      <c r="I3" s="410"/>
      <c r="J3" s="410"/>
    </row>
    <row r="5" ht="15">
      <c r="A5" s="408" t="s">
        <v>56</v>
      </c>
    </row>
    <row r="6" ht="15">
      <c r="A6" t="str">
        <f>CONCATENATE(inputPrYr!C5-2," expenditures show that you finished the year with a ")</f>
        <v>2010 expenditures show that you finished the year with a </v>
      </c>
    </row>
    <row r="7" ht="15">
      <c r="A7" t="s">
        <v>57</v>
      </c>
    </row>
    <row r="9" ht="15">
      <c r="A9" t="s">
        <v>58</v>
      </c>
    </row>
    <row r="10" ht="15">
      <c r="A10" t="s">
        <v>59</v>
      </c>
    </row>
    <row r="11" ht="15">
      <c r="A11" t="s">
        <v>60</v>
      </c>
    </row>
    <row r="13" ht="15">
      <c r="A13" s="409" t="s">
        <v>61</v>
      </c>
    </row>
    <row r="14" ht="15">
      <c r="A14" s="409"/>
    </row>
    <row r="15" ht="15">
      <c r="A15" s="408" t="s">
        <v>62</v>
      </c>
    </row>
    <row r="16" ht="15">
      <c r="A16" s="408" t="s">
        <v>63</v>
      </c>
    </row>
    <row r="17" ht="15">
      <c r="A17" s="408" t="s">
        <v>64</v>
      </c>
    </row>
    <row r="18" ht="15">
      <c r="A18" s="408"/>
    </row>
    <row r="19" ht="15">
      <c r="A19" s="409" t="s">
        <v>65</v>
      </c>
    </row>
    <row r="20" ht="15">
      <c r="A20" s="409"/>
    </row>
    <row r="21" ht="15">
      <c r="A21" s="408" t="s">
        <v>66</v>
      </c>
    </row>
    <row r="22" ht="15">
      <c r="A22" s="408" t="s">
        <v>67</v>
      </c>
    </row>
    <row r="23" ht="15">
      <c r="A23" s="408" t="s">
        <v>68</v>
      </c>
    </row>
    <row r="24" ht="15">
      <c r="A24" s="408"/>
    </row>
    <row r="25" ht="15">
      <c r="A25" s="409" t="s">
        <v>69</v>
      </c>
    </row>
    <row r="26" ht="15">
      <c r="A26" s="409"/>
    </row>
    <row r="27" ht="15">
      <c r="A27" s="408" t="s">
        <v>70</v>
      </c>
    </row>
    <row r="28" ht="15">
      <c r="A28" s="408" t="s">
        <v>71</v>
      </c>
    </row>
    <row r="29" ht="15">
      <c r="A29" s="408" t="s">
        <v>72</v>
      </c>
    </row>
    <row r="30" ht="15">
      <c r="A30" s="408"/>
    </row>
    <row r="31" ht="15">
      <c r="A31" s="409" t="s">
        <v>73</v>
      </c>
    </row>
    <row r="32" ht="15">
      <c r="A32" s="409"/>
    </row>
    <row r="33" spans="1:8" ht="15">
      <c r="A33" s="408" t="str">
        <f>CONCATENATE("If your financial records for ",inputPrYr!C5-2," are not closed")</f>
        <v>If your financial records for 2010 are not closed</v>
      </c>
      <c r="B33" s="408"/>
      <c r="C33" s="408"/>
      <c r="D33" s="408"/>
      <c r="E33" s="408"/>
      <c r="F33" s="408"/>
      <c r="G33" s="408"/>
      <c r="H33" s="408"/>
    </row>
    <row r="34" spans="1:8" ht="15">
      <c r="A34" s="408" t="str">
        <f>CONCATENATE("(i.e. an audit has not been completed, or the ",inputPrYr!C5," adopted ")</f>
        <v>(i.e. an audit has not been completed, or the 2012 adopted </v>
      </c>
      <c r="B34" s="408"/>
      <c r="C34" s="408"/>
      <c r="D34" s="408"/>
      <c r="E34" s="408"/>
      <c r="F34" s="408"/>
      <c r="G34" s="408"/>
      <c r="H34" s="408"/>
    </row>
    <row r="35" spans="1:8" ht="15">
      <c r="A35" s="408" t="s">
        <v>74</v>
      </c>
      <c r="B35" s="408"/>
      <c r="C35" s="408"/>
      <c r="D35" s="408"/>
      <c r="E35" s="408"/>
      <c r="F35" s="408"/>
      <c r="G35" s="408"/>
      <c r="H35" s="408"/>
    </row>
    <row r="36" spans="1:8" ht="15">
      <c r="A36" s="408" t="s">
        <v>75</v>
      </c>
      <c r="B36" s="408"/>
      <c r="C36" s="408"/>
      <c r="D36" s="408"/>
      <c r="E36" s="408"/>
      <c r="F36" s="408"/>
      <c r="G36" s="408"/>
      <c r="H36" s="408"/>
    </row>
    <row r="37" spans="1:8" ht="15">
      <c r="A37" s="408" t="s">
        <v>76</v>
      </c>
      <c r="B37" s="408"/>
      <c r="C37" s="408"/>
      <c r="D37" s="408"/>
      <c r="E37" s="408"/>
      <c r="F37" s="408"/>
      <c r="G37" s="408"/>
      <c r="H37" s="408"/>
    </row>
    <row r="38" spans="1:8" ht="15">
      <c r="A38" s="408" t="s">
        <v>77</v>
      </c>
      <c r="B38" s="408"/>
      <c r="C38" s="408"/>
      <c r="D38" s="408"/>
      <c r="E38" s="408"/>
      <c r="F38" s="408"/>
      <c r="G38" s="408"/>
      <c r="H38" s="408"/>
    </row>
    <row r="39" spans="1:8" ht="15">
      <c r="A39" s="408" t="s">
        <v>78</v>
      </c>
      <c r="B39" s="408"/>
      <c r="C39" s="408"/>
      <c r="D39" s="408"/>
      <c r="E39" s="408"/>
      <c r="F39" s="408"/>
      <c r="G39" s="408"/>
      <c r="H39" s="408"/>
    </row>
    <row r="40" spans="1:8" ht="15">
      <c r="A40" s="408"/>
      <c r="B40" s="408"/>
      <c r="C40" s="408"/>
      <c r="D40" s="408"/>
      <c r="E40" s="408"/>
      <c r="F40" s="408"/>
      <c r="G40" s="408"/>
      <c r="H40" s="408"/>
    </row>
    <row r="41" spans="1:8" ht="15">
      <c r="A41" s="408" t="s">
        <v>79</v>
      </c>
      <c r="B41" s="408"/>
      <c r="C41" s="408"/>
      <c r="D41" s="408"/>
      <c r="E41" s="408"/>
      <c r="F41" s="408"/>
      <c r="G41" s="408"/>
      <c r="H41" s="408"/>
    </row>
    <row r="42" spans="1:8" ht="15">
      <c r="A42" s="408" t="s">
        <v>80</v>
      </c>
      <c r="B42" s="408"/>
      <c r="C42" s="408"/>
      <c r="D42" s="408"/>
      <c r="E42" s="408"/>
      <c r="F42" s="408"/>
      <c r="G42" s="408"/>
      <c r="H42" s="408"/>
    </row>
    <row r="43" spans="1:8" ht="15">
      <c r="A43" s="408" t="s">
        <v>81</v>
      </c>
      <c r="B43" s="408"/>
      <c r="C43" s="408"/>
      <c r="D43" s="408"/>
      <c r="E43" s="408"/>
      <c r="F43" s="408"/>
      <c r="G43" s="408"/>
      <c r="H43" s="408"/>
    </row>
    <row r="44" spans="1:8" ht="15">
      <c r="A44" s="408" t="s">
        <v>82</v>
      </c>
      <c r="B44" s="408"/>
      <c r="C44" s="408"/>
      <c r="D44" s="408"/>
      <c r="E44" s="408"/>
      <c r="F44" s="408"/>
      <c r="G44" s="408"/>
      <c r="H44" s="408"/>
    </row>
    <row r="45" spans="1:8" ht="15">
      <c r="A45" s="408"/>
      <c r="B45" s="408"/>
      <c r="C45" s="408"/>
      <c r="D45" s="408"/>
      <c r="E45" s="408"/>
      <c r="F45" s="408"/>
      <c r="G45" s="408"/>
      <c r="H45" s="408"/>
    </row>
    <row r="46" spans="1:8" ht="15">
      <c r="A46" s="408" t="s">
        <v>83</v>
      </c>
      <c r="B46" s="408"/>
      <c r="C46" s="408"/>
      <c r="D46" s="408"/>
      <c r="E46" s="408"/>
      <c r="F46" s="408"/>
      <c r="G46" s="408"/>
      <c r="H46" s="408"/>
    </row>
    <row r="47" spans="1:8" ht="15">
      <c r="A47" s="408" t="s">
        <v>84</v>
      </c>
      <c r="B47" s="408"/>
      <c r="C47" s="408"/>
      <c r="D47" s="408"/>
      <c r="E47" s="408"/>
      <c r="F47" s="408"/>
      <c r="G47" s="408"/>
      <c r="H47" s="408"/>
    </row>
    <row r="48" spans="1:8" ht="15">
      <c r="A48" s="408" t="s">
        <v>85</v>
      </c>
      <c r="B48" s="408"/>
      <c r="C48" s="408"/>
      <c r="D48" s="408"/>
      <c r="E48" s="408"/>
      <c r="F48" s="408"/>
      <c r="G48" s="408"/>
      <c r="H48" s="408"/>
    </row>
    <row r="49" spans="1:8" ht="15">
      <c r="A49" s="408" t="s">
        <v>86</v>
      </c>
      <c r="B49" s="408"/>
      <c r="C49" s="408"/>
      <c r="D49" s="408"/>
      <c r="E49" s="408"/>
      <c r="F49" s="408"/>
      <c r="G49" s="408"/>
      <c r="H49" s="408"/>
    </row>
    <row r="50" spans="1:8" ht="15">
      <c r="A50" s="408" t="s">
        <v>87</v>
      </c>
      <c r="B50" s="408"/>
      <c r="C50" s="408"/>
      <c r="D50" s="408"/>
      <c r="E50" s="408"/>
      <c r="F50" s="408"/>
      <c r="G50" s="408"/>
      <c r="H50" s="408"/>
    </row>
    <row r="51" spans="1:8" ht="15">
      <c r="A51" s="408"/>
      <c r="B51" s="408"/>
      <c r="C51" s="408"/>
      <c r="D51" s="408"/>
      <c r="E51" s="408"/>
      <c r="F51" s="408"/>
      <c r="G51" s="408"/>
      <c r="H51" s="408"/>
    </row>
    <row r="52" spans="1:8" ht="15">
      <c r="A52" s="409" t="s">
        <v>88</v>
      </c>
      <c r="B52" s="409"/>
      <c r="C52" s="409"/>
      <c r="D52" s="409"/>
      <c r="E52" s="409"/>
      <c r="F52" s="409"/>
      <c r="G52" s="409"/>
      <c r="H52" s="408"/>
    </row>
    <row r="53" spans="1:8" ht="15">
      <c r="A53" s="409" t="s">
        <v>89</v>
      </c>
      <c r="B53" s="409"/>
      <c r="C53" s="409"/>
      <c r="D53" s="409"/>
      <c r="E53" s="409"/>
      <c r="F53" s="409"/>
      <c r="G53" s="409"/>
      <c r="H53" s="408"/>
    </row>
    <row r="54" spans="1:8" ht="15">
      <c r="A54" s="408"/>
      <c r="B54" s="408"/>
      <c r="C54" s="408"/>
      <c r="D54" s="408"/>
      <c r="E54" s="408"/>
      <c r="F54" s="408"/>
      <c r="G54" s="408"/>
      <c r="H54" s="408"/>
    </row>
    <row r="55" spans="1:8" ht="15">
      <c r="A55" s="408" t="s">
        <v>90</v>
      </c>
      <c r="B55" s="408"/>
      <c r="C55" s="408"/>
      <c r="D55" s="408"/>
      <c r="E55" s="408"/>
      <c r="F55" s="408"/>
      <c r="G55" s="408"/>
      <c r="H55" s="408"/>
    </row>
    <row r="56" spans="1:8" ht="15">
      <c r="A56" s="408" t="s">
        <v>91</v>
      </c>
      <c r="B56" s="408"/>
      <c r="C56" s="408"/>
      <c r="D56" s="408"/>
      <c r="E56" s="408"/>
      <c r="F56" s="408"/>
      <c r="G56" s="408"/>
      <c r="H56" s="408"/>
    </row>
    <row r="57" spans="1:8" ht="15">
      <c r="A57" s="408" t="s">
        <v>92</v>
      </c>
      <c r="B57" s="408"/>
      <c r="C57" s="408"/>
      <c r="D57" s="408"/>
      <c r="E57" s="408"/>
      <c r="F57" s="408"/>
      <c r="G57" s="408"/>
      <c r="H57" s="408"/>
    </row>
    <row r="58" spans="1:8" ht="15">
      <c r="A58" s="408" t="s">
        <v>93</v>
      </c>
      <c r="B58" s="408"/>
      <c r="C58" s="408"/>
      <c r="D58" s="408"/>
      <c r="E58" s="408"/>
      <c r="F58" s="408"/>
      <c r="G58" s="408"/>
      <c r="H58" s="408"/>
    </row>
    <row r="59" spans="1:8" ht="15">
      <c r="A59" s="408"/>
      <c r="B59" s="408"/>
      <c r="C59" s="408"/>
      <c r="D59" s="408"/>
      <c r="E59" s="408"/>
      <c r="F59" s="408"/>
      <c r="G59" s="408"/>
      <c r="H59" s="408"/>
    </row>
    <row r="60" spans="1:8" ht="15">
      <c r="A60" s="408" t="s">
        <v>94</v>
      </c>
      <c r="B60" s="408"/>
      <c r="C60" s="408"/>
      <c r="D60" s="408"/>
      <c r="E60" s="408"/>
      <c r="F60" s="408"/>
      <c r="G60" s="408"/>
      <c r="H60" s="408"/>
    </row>
    <row r="61" spans="1:8" ht="15">
      <c r="A61" s="408" t="s">
        <v>95</v>
      </c>
      <c r="B61" s="408"/>
      <c r="C61" s="408"/>
      <c r="D61" s="408"/>
      <c r="E61" s="408"/>
      <c r="F61" s="408"/>
      <c r="G61" s="408"/>
      <c r="H61" s="408"/>
    </row>
    <row r="62" spans="1:8" ht="15">
      <c r="A62" s="408" t="s">
        <v>96</v>
      </c>
      <c r="B62" s="408"/>
      <c r="C62" s="408"/>
      <c r="D62" s="408"/>
      <c r="E62" s="408"/>
      <c r="F62" s="408"/>
      <c r="G62" s="408"/>
      <c r="H62" s="408"/>
    </row>
    <row r="63" spans="1:8" ht="15">
      <c r="A63" s="408" t="s">
        <v>97</v>
      </c>
      <c r="B63" s="408"/>
      <c r="C63" s="408"/>
      <c r="D63" s="408"/>
      <c r="E63" s="408"/>
      <c r="F63" s="408"/>
      <c r="G63" s="408"/>
      <c r="H63" s="408"/>
    </row>
    <row r="64" spans="1:8" ht="15">
      <c r="A64" s="408" t="s">
        <v>98</v>
      </c>
      <c r="B64" s="408"/>
      <c r="C64" s="408"/>
      <c r="D64" s="408"/>
      <c r="E64" s="408"/>
      <c r="F64" s="408"/>
      <c r="G64" s="408"/>
      <c r="H64" s="408"/>
    </row>
    <row r="65" spans="1:8" ht="15">
      <c r="A65" s="408" t="s">
        <v>99</v>
      </c>
      <c r="B65" s="408"/>
      <c r="C65" s="408"/>
      <c r="D65" s="408"/>
      <c r="E65" s="408"/>
      <c r="F65" s="408"/>
      <c r="G65" s="408"/>
      <c r="H65" s="408"/>
    </row>
    <row r="66" spans="1:8" ht="15">
      <c r="A66" s="408"/>
      <c r="B66" s="408"/>
      <c r="C66" s="408"/>
      <c r="D66" s="408"/>
      <c r="E66" s="408"/>
      <c r="F66" s="408"/>
      <c r="G66" s="408"/>
      <c r="H66" s="408"/>
    </row>
    <row r="67" spans="1:8" ht="15">
      <c r="A67" s="408" t="s">
        <v>100</v>
      </c>
      <c r="B67" s="408"/>
      <c r="C67" s="408"/>
      <c r="D67" s="408"/>
      <c r="E67" s="408"/>
      <c r="F67" s="408"/>
      <c r="G67" s="408"/>
      <c r="H67" s="408"/>
    </row>
    <row r="68" spans="1:8" ht="15">
      <c r="A68" s="408" t="s">
        <v>101</v>
      </c>
      <c r="B68" s="408"/>
      <c r="C68" s="408"/>
      <c r="D68" s="408"/>
      <c r="E68" s="408"/>
      <c r="F68" s="408"/>
      <c r="G68" s="408"/>
      <c r="H68" s="408"/>
    </row>
    <row r="69" spans="1:8" ht="15">
      <c r="A69" s="408" t="s">
        <v>102</v>
      </c>
      <c r="B69" s="408"/>
      <c r="C69" s="408"/>
      <c r="D69" s="408"/>
      <c r="E69" s="408"/>
      <c r="F69" s="408"/>
      <c r="G69" s="408"/>
      <c r="H69" s="408"/>
    </row>
    <row r="70" spans="1:8" ht="15">
      <c r="A70" s="408" t="s">
        <v>103</v>
      </c>
      <c r="B70" s="408"/>
      <c r="C70" s="408"/>
      <c r="D70" s="408"/>
      <c r="E70" s="408"/>
      <c r="F70" s="408"/>
      <c r="G70" s="408"/>
      <c r="H70" s="408"/>
    </row>
    <row r="71" spans="1:8" ht="15">
      <c r="A71" s="408" t="s">
        <v>104</v>
      </c>
      <c r="B71" s="408"/>
      <c r="C71" s="408"/>
      <c r="D71" s="408"/>
      <c r="E71" s="408"/>
      <c r="F71" s="408"/>
      <c r="G71" s="408"/>
      <c r="H71" s="408"/>
    </row>
    <row r="72" spans="1:8" ht="15">
      <c r="A72" s="408" t="s">
        <v>105</v>
      </c>
      <c r="B72" s="408"/>
      <c r="C72" s="408"/>
      <c r="D72" s="408"/>
      <c r="E72" s="408"/>
      <c r="F72" s="408"/>
      <c r="G72" s="408"/>
      <c r="H72" s="408"/>
    </row>
    <row r="73" spans="1:8" ht="15">
      <c r="A73" s="408" t="s">
        <v>106</v>
      </c>
      <c r="B73" s="408"/>
      <c r="C73" s="408"/>
      <c r="D73" s="408"/>
      <c r="E73" s="408"/>
      <c r="F73" s="408"/>
      <c r="G73" s="408"/>
      <c r="H73" s="408"/>
    </row>
    <row r="74" spans="1:8" ht="15">
      <c r="A74" s="408"/>
      <c r="B74" s="408"/>
      <c r="C74" s="408"/>
      <c r="D74" s="408"/>
      <c r="E74" s="408"/>
      <c r="F74" s="408"/>
      <c r="G74" s="408"/>
      <c r="H74" s="408"/>
    </row>
    <row r="75" spans="1:8" ht="15">
      <c r="A75" s="408" t="s">
        <v>107</v>
      </c>
      <c r="B75" s="408"/>
      <c r="C75" s="408"/>
      <c r="D75" s="408"/>
      <c r="E75" s="408"/>
      <c r="F75" s="408"/>
      <c r="G75" s="408"/>
      <c r="H75" s="408"/>
    </row>
    <row r="76" spans="1:8" ht="15">
      <c r="A76" s="408" t="s">
        <v>108</v>
      </c>
      <c r="B76" s="408"/>
      <c r="C76" s="408"/>
      <c r="D76" s="408"/>
      <c r="E76" s="408"/>
      <c r="F76" s="408"/>
      <c r="G76" s="408"/>
      <c r="H76" s="408"/>
    </row>
    <row r="77" spans="1:8" ht="15">
      <c r="A77" s="408" t="s">
        <v>109</v>
      </c>
      <c r="B77" s="408"/>
      <c r="C77" s="408"/>
      <c r="D77" s="408"/>
      <c r="E77" s="408"/>
      <c r="F77" s="408"/>
      <c r="G77" s="408"/>
      <c r="H77" s="408"/>
    </row>
    <row r="78" spans="1:8" ht="15">
      <c r="A78" s="408"/>
      <c r="B78" s="408"/>
      <c r="C78" s="408"/>
      <c r="D78" s="408"/>
      <c r="E78" s="408"/>
      <c r="F78" s="408"/>
      <c r="G78" s="408"/>
      <c r="H78" s="408"/>
    </row>
    <row r="79" ht="15">
      <c r="A79" s="408" t="s">
        <v>54</v>
      </c>
    </row>
    <row r="80" ht="15">
      <c r="A80" s="409"/>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22">
      <selection activeCell="A1" sqref="A1"/>
    </sheetView>
  </sheetViews>
  <sheetFormatPr defaultColWidth="8.796875" defaultRowHeight="15"/>
  <cols>
    <col min="1" max="1" width="71.296875" style="0" customWidth="1"/>
  </cols>
  <sheetData>
    <row r="3" spans="1:12" ht="15">
      <c r="A3" s="407" t="s">
        <v>110</v>
      </c>
      <c r="B3" s="407"/>
      <c r="C3" s="407"/>
      <c r="D3" s="407"/>
      <c r="E3" s="407"/>
      <c r="F3" s="407"/>
      <c r="G3" s="407"/>
      <c r="H3" s="407"/>
      <c r="I3" s="407"/>
      <c r="J3" s="407"/>
      <c r="K3" s="407"/>
      <c r="L3" s="407"/>
    </row>
    <row r="4" spans="1:12" ht="15">
      <c r="A4" s="407"/>
      <c r="B4" s="407"/>
      <c r="C4" s="407"/>
      <c r="D4" s="407"/>
      <c r="E4" s="407"/>
      <c r="F4" s="407"/>
      <c r="G4" s="407"/>
      <c r="H4" s="407"/>
      <c r="I4" s="407"/>
      <c r="J4" s="407"/>
      <c r="K4" s="407"/>
      <c r="L4" s="407"/>
    </row>
    <row r="5" spans="1:12" ht="15">
      <c r="A5" s="408" t="s">
        <v>705</v>
      </c>
      <c r="I5" s="407"/>
      <c r="J5" s="407"/>
      <c r="K5" s="407"/>
      <c r="L5" s="407"/>
    </row>
    <row r="6" spans="1:12" ht="15">
      <c r="A6" s="408" t="str">
        <f>CONCATENATE("estimated ",inputPrYr!C5-1," 'total expenditures' exceed your ",inputPrYr!C5-1,"")</f>
        <v>estimated 2011 'total expenditures' exceed your 2011</v>
      </c>
      <c r="I6" s="407"/>
      <c r="J6" s="407"/>
      <c r="K6" s="407"/>
      <c r="L6" s="407"/>
    </row>
    <row r="7" spans="1:12" ht="15">
      <c r="A7" s="411" t="s">
        <v>111</v>
      </c>
      <c r="I7" s="407"/>
      <c r="J7" s="407"/>
      <c r="K7" s="407"/>
      <c r="L7" s="407"/>
    </row>
    <row r="8" spans="1:12" ht="15">
      <c r="A8" s="408"/>
      <c r="I8" s="407"/>
      <c r="J8" s="407"/>
      <c r="K8" s="407"/>
      <c r="L8" s="407"/>
    </row>
    <row r="9" spans="1:12" ht="15">
      <c r="A9" s="408" t="s">
        <v>112</v>
      </c>
      <c r="I9" s="407"/>
      <c r="J9" s="407"/>
      <c r="K9" s="407"/>
      <c r="L9" s="407"/>
    </row>
    <row r="10" spans="1:12" ht="15">
      <c r="A10" s="408" t="s">
        <v>113</v>
      </c>
      <c r="I10" s="407"/>
      <c r="J10" s="407"/>
      <c r="K10" s="407"/>
      <c r="L10" s="407"/>
    </row>
    <row r="11" spans="1:12" ht="15">
      <c r="A11" s="408" t="s">
        <v>114</v>
      </c>
      <c r="I11" s="407"/>
      <c r="J11" s="407"/>
      <c r="K11" s="407"/>
      <c r="L11" s="407"/>
    </row>
    <row r="12" spans="1:12" ht="15">
      <c r="A12" s="408" t="s">
        <v>115</v>
      </c>
      <c r="I12" s="407"/>
      <c r="J12" s="407"/>
      <c r="K12" s="407"/>
      <c r="L12" s="407"/>
    </row>
    <row r="13" spans="1:12" ht="15">
      <c r="A13" s="408" t="s">
        <v>116</v>
      </c>
      <c r="I13" s="407"/>
      <c r="J13" s="407"/>
      <c r="K13" s="407"/>
      <c r="L13" s="407"/>
    </row>
    <row r="14" spans="1:12" ht="15">
      <c r="A14" s="407"/>
      <c r="B14" s="407"/>
      <c r="C14" s="407"/>
      <c r="D14" s="407"/>
      <c r="E14" s="407"/>
      <c r="F14" s="407"/>
      <c r="G14" s="407"/>
      <c r="H14" s="407"/>
      <c r="I14" s="407"/>
      <c r="J14" s="407"/>
      <c r="K14" s="407"/>
      <c r="L14" s="407"/>
    </row>
    <row r="15" ht="15">
      <c r="A15" s="409" t="s">
        <v>117</v>
      </c>
    </row>
    <row r="16" ht="15">
      <c r="A16" s="409" t="s">
        <v>118</v>
      </c>
    </row>
    <row r="17" ht="15">
      <c r="A17" s="409"/>
    </row>
    <row r="18" spans="1:7" ht="15">
      <c r="A18" s="408" t="s">
        <v>119</v>
      </c>
      <c r="B18" s="408"/>
      <c r="C18" s="408"/>
      <c r="D18" s="408"/>
      <c r="E18" s="408"/>
      <c r="F18" s="408"/>
      <c r="G18" s="408"/>
    </row>
    <row r="19" spans="1:7" ht="15">
      <c r="A19" s="408" t="str">
        <f>CONCATENATE("your ",inputPrYr!C5-1," numbers to see what steps might be necessary to")</f>
        <v>your 2011 numbers to see what steps might be necessary to</v>
      </c>
      <c r="B19" s="408"/>
      <c r="C19" s="408"/>
      <c r="D19" s="408"/>
      <c r="E19" s="408"/>
      <c r="F19" s="408"/>
      <c r="G19" s="408"/>
    </row>
    <row r="20" spans="1:7" ht="15">
      <c r="A20" s="408" t="s">
        <v>120</v>
      </c>
      <c r="B20" s="408"/>
      <c r="C20" s="408"/>
      <c r="D20" s="408"/>
      <c r="E20" s="408"/>
      <c r="F20" s="408"/>
      <c r="G20" s="408"/>
    </row>
    <row r="21" spans="1:7" ht="15">
      <c r="A21" s="408" t="s">
        <v>121</v>
      </c>
      <c r="B21" s="408"/>
      <c r="C21" s="408"/>
      <c r="D21" s="408"/>
      <c r="E21" s="408"/>
      <c r="F21" s="408"/>
      <c r="G21" s="408"/>
    </row>
    <row r="22" ht="15">
      <c r="A22" s="408"/>
    </row>
    <row r="23" ht="15">
      <c r="A23" s="409" t="s">
        <v>122</v>
      </c>
    </row>
    <row r="24" ht="15">
      <c r="A24" s="409"/>
    </row>
    <row r="25" ht="15">
      <c r="A25" s="408" t="s">
        <v>123</v>
      </c>
    </row>
    <row r="26" spans="1:6" ht="15">
      <c r="A26" s="408" t="s">
        <v>124</v>
      </c>
      <c r="B26" s="408"/>
      <c r="C26" s="408"/>
      <c r="D26" s="408"/>
      <c r="E26" s="408"/>
      <c r="F26" s="408"/>
    </row>
    <row r="27" spans="1:6" ht="15">
      <c r="A27" s="408" t="s">
        <v>125</v>
      </c>
      <c r="B27" s="408"/>
      <c r="C27" s="408"/>
      <c r="D27" s="408"/>
      <c r="E27" s="408"/>
      <c r="F27" s="408"/>
    </row>
    <row r="28" spans="1:6" ht="15">
      <c r="A28" s="408" t="s">
        <v>126</v>
      </c>
      <c r="B28" s="408"/>
      <c r="C28" s="408"/>
      <c r="D28" s="408"/>
      <c r="E28" s="408"/>
      <c r="F28" s="408"/>
    </row>
    <row r="29" spans="1:6" ht="15">
      <c r="A29" s="408"/>
      <c r="B29" s="408"/>
      <c r="C29" s="408"/>
      <c r="D29" s="408"/>
      <c r="E29" s="408"/>
      <c r="F29" s="408"/>
    </row>
    <row r="30" spans="1:7" ht="15">
      <c r="A30" s="409" t="s">
        <v>127</v>
      </c>
      <c r="B30" s="409"/>
      <c r="C30" s="409"/>
      <c r="D30" s="409"/>
      <c r="E30" s="409"/>
      <c r="F30" s="409"/>
      <c r="G30" s="409"/>
    </row>
    <row r="31" spans="1:7" ht="15">
      <c r="A31" s="409" t="s">
        <v>128</v>
      </c>
      <c r="B31" s="409"/>
      <c r="C31" s="409"/>
      <c r="D31" s="409"/>
      <c r="E31" s="409"/>
      <c r="F31" s="409"/>
      <c r="G31" s="409"/>
    </row>
    <row r="32" spans="1:6" ht="15">
      <c r="A32" s="408"/>
      <c r="B32" s="408"/>
      <c r="C32" s="408"/>
      <c r="D32" s="408"/>
      <c r="E32" s="408"/>
      <c r="F32" s="408"/>
    </row>
    <row r="33" spans="1:6" ht="15">
      <c r="A33" s="412" t="str">
        <f>CONCATENATE("Well, let's look to see if any of your ",inputPrYr!C5-1," expenditures can")</f>
        <v>Well, let's look to see if any of your 2011 expenditures can</v>
      </c>
      <c r="B33" s="408"/>
      <c r="C33" s="408"/>
      <c r="D33" s="408"/>
      <c r="E33" s="408"/>
      <c r="F33" s="408"/>
    </row>
    <row r="34" spans="1:6" ht="15">
      <c r="A34" s="412" t="s">
        <v>129</v>
      </c>
      <c r="B34" s="408"/>
      <c r="C34" s="408"/>
      <c r="D34" s="408"/>
      <c r="E34" s="408"/>
      <c r="F34" s="408"/>
    </row>
    <row r="35" spans="1:6" ht="15">
      <c r="A35" s="412" t="s">
        <v>13</v>
      </c>
      <c r="B35" s="408"/>
      <c r="C35" s="408"/>
      <c r="D35" s="408"/>
      <c r="E35" s="408"/>
      <c r="F35" s="408"/>
    </row>
    <row r="36" spans="1:6" ht="15">
      <c r="A36" s="412" t="s">
        <v>14</v>
      </c>
      <c r="B36" s="408"/>
      <c r="C36" s="408"/>
      <c r="D36" s="408"/>
      <c r="E36" s="408"/>
      <c r="F36" s="408"/>
    </row>
    <row r="37" spans="1:6" ht="15">
      <c r="A37" s="412"/>
      <c r="B37" s="408"/>
      <c r="C37" s="408"/>
      <c r="D37" s="408"/>
      <c r="E37" s="408"/>
      <c r="F37" s="408"/>
    </row>
    <row r="38" spans="1:6" ht="15">
      <c r="A38" s="412" t="str">
        <f>CONCATENATE("Additionally, do your ",inputPrYr!C5-1," receipts contain a reimbursement")</f>
        <v>Additionally, do your 2011 receipts contain a reimbursement</v>
      </c>
      <c r="B38" s="408"/>
      <c r="C38" s="408"/>
      <c r="D38" s="408"/>
      <c r="E38" s="408"/>
      <c r="F38" s="408"/>
    </row>
    <row r="39" spans="1:6" ht="15">
      <c r="A39" s="412" t="s">
        <v>15</v>
      </c>
      <c r="B39" s="408"/>
      <c r="C39" s="408"/>
      <c r="D39" s="408"/>
      <c r="E39" s="408"/>
      <c r="F39" s="408"/>
    </row>
    <row r="40" spans="1:6" ht="15">
      <c r="A40" s="412" t="s">
        <v>16</v>
      </c>
      <c r="B40" s="408"/>
      <c r="C40" s="408"/>
      <c r="D40" s="408"/>
      <c r="E40" s="408"/>
      <c r="F40" s="408"/>
    </row>
    <row r="41" spans="1:6" ht="15">
      <c r="A41" s="412"/>
      <c r="B41" s="408"/>
      <c r="C41" s="408"/>
      <c r="D41" s="408"/>
      <c r="E41" s="408"/>
      <c r="F41" s="408"/>
    </row>
    <row r="42" spans="1:6" ht="15">
      <c r="A42" s="412" t="s">
        <v>17</v>
      </c>
      <c r="B42" s="408"/>
      <c r="C42" s="408"/>
      <c r="D42" s="408"/>
      <c r="E42" s="408"/>
      <c r="F42" s="408"/>
    </row>
    <row r="43" spans="1:6" ht="15">
      <c r="A43" s="412" t="s">
        <v>18</v>
      </c>
      <c r="B43" s="408"/>
      <c r="C43" s="408"/>
      <c r="D43" s="408"/>
      <c r="E43" s="408"/>
      <c r="F43" s="408"/>
    </row>
    <row r="44" spans="1:6" ht="15">
      <c r="A44" s="412" t="s">
        <v>19</v>
      </c>
      <c r="B44" s="408"/>
      <c r="C44" s="408"/>
      <c r="D44" s="408"/>
      <c r="E44" s="408"/>
      <c r="F44" s="408"/>
    </row>
    <row r="45" spans="1:6" ht="15">
      <c r="A45" s="412" t="s">
        <v>130</v>
      </c>
      <c r="B45" s="408"/>
      <c r="C45" s="408"/>
      <c r="D45" s="408"/>
      <c r="E45" s="408"/>
      <c r="F45" s="408"/>
    </row>
    <row r="46" spans="1:6" ht="15">
      <c r="A46" s="412" t="s">
        <v>21</v>
      </c>
      <c r="B46" s="408"/>
      <c r="C46" s="408"/>
      <c r="D46" s="408"/>
      <c r="E46" s="408"/>
      <c r="F46" s="408"/>
    </row>
    <row r="47" spans="1:6" ht="15">
      <c r="A47" s="412" t="s">
        <v>131</v>
      </c>
      <c r="B47" s="408"/>
      <c r="C47" s="408"/>
      <c r="D47" s="408"/>
      <c r="E47" s="408"/>
      <c r="F47" s="408"/>
    </row>
    <row r="48" spans="1:6" ht="15">
      <c r="A48" s="412" t="s">
        <v>132</v>
      </c>
      <c r="B48" s="408"/>
      <c r="C48" s="408"/>
      <c r="D48" s="408"/>
      <c r="E48" s="408"/>
      <c r="F48" s="408"/>
    </row>
    <row r="49" spans="1:6" ht="15">
      <c r="A49" s="412" t="s">
        <v>24</v>
      </c>
      <c r="B49" s="408"/>
      <c r="C49" s="408"/>
      <c r="D49" s="408"/>
      <c r="E49" s="408"/>
      <c r="F49" s="408"/>
    </row>
    <row r="50" spans="1:6" ht="15">
      <c r="A50" s="412"/>
      <c r="B50" s="408"/>
      <c r="C50" s="408"/>
      <c r="D50" s="408"/>
      <c r="E50" s="408"/>
      <c r="F50" s="408"/>
    </row>
    <row r="51" spans="1:6" ht="15">
      <c r="A51" s="412" t="s">
        <v>25</v>
      </c>
      <c r="B51" s="408"/>
      <c r="C51" s="408"/>
      <c r="D51" s="408"/>
      <c r="E51" s="408"/>
      <c r="F51" s="408"/>
    </row>
    <row r="52" spans="1:6" ht="15">
      <c r="A52" s="412" t="s">
        <v>26</v>
      </c>
      <c r="B52" s="408"/>
      <c r="C52" s="408"/>
      <c r="D52" s="408"/>
      <c r="E52" s="408"/>
      <c r="F52" s="408"/>
    </row>
    <row r="53" spans="1:6" ht="15">
      <c r="A53" s="412" t="s">
        <v>27</v>
      </c>
      <c r="B53" s="408"/>
      <c r="C53" s="408"/>
      <c r="D53" s="408"/>
      <c r="E53" s="408"/>
      <c r="F53" s="408"/>
    </row>
    <row r="54" spans="1:6" ht="15">
      <c r="A54" s="412"/>
      <c r="B54" s="408"/>
      <c r="C54" s="408"/>
      <c r="D54" s="408"/>
      <c r="E54" s="408"/>
      <c r="F54" s="408"/>
    </row>
    <row r="55" spans="1:6" ht="15">
      <c r="A55" s="412" t="s">
        <v>133</v>
      </c>
      <c r="B55" s="408"/>
      <c r="C55" s="408"/>
      <c r="D55" s="408"/>
      <c r="E55" s="408"/>
      <c r="F55" s="408"/>
    </row>
    <row r="56" spans="1:6" ht="15">
      <c r="A56" s="412" t="s">
        <v>134</v>
      </c>
      <c r="B56" s="408"/>
      <c r="C56" s="408"/>
      <c r="D56" s="408"/>
      <c r="E56" s="408"/>
      <c r="F56" s="408"/>
    </row>
    <row r="57" spans="1:6" ht="15">
      <c r="A57" s="412" t="s">
        <v>135</v>
      </c>
      <c r="B57" s="408"/>
      <c r="C57" s="408"/>
      <c r="D57" s="408"/>
      <c r="E57" s="408"/>
      <c r="F57" s="408"/>
    </row>
    <row r="58" spans="1:6" ht="15">
      <c r="A58" s="412" t="s">
        <v>136</v>
      </c>
      <c r="B58" s="408"/>
      <c r="C58" s="408"/>
      <c r="D58" s="408"/>
      <c r="E58" s="408"/>
      <c r="F58" s="408"/>
    </row>
    <row r="59" spans="1:6" ht="15">
      <c r="A59" s="412" t="s">
        <v>137</v>
      </c>
      <c r="B59" s="408"/>
      <c r="C59" s="408"/>
      <c r="D59" s="408"/>
      <c r="E59" s="408"/>
      <c r="F59" s="408"/>
    </row>
    <row r="60" spans="1:6" ht="15">
      <c r="A60" s="412"/>
      <c r="B60" s="408"/>
      <c r="C60" s="408"/>
      <c r="D60" s="408"/>
      <c r="E60" s="408"/>
      <c r="F60" s="408"/>
    </row>
    <row r="61" spans="1:6" ht="15">
      <c r="A61" s="413" t="s">
        <v>138</v>
      </c>
      <c r="B61" s="408"/>
      <c r="C61" s="408"/>
      <c r="D61" s="408"/>
      <c r="E61" s="408"/>
      <c r="F61" s="408"/>
    </row>
    <row r="62" spans="1:6" ht="15">
      <c r="A62" s="413" t="s">
        <v>139</v>
      </c>
      <c r="B62" s="408"/>
      <c r="C62" s="408"/>
      <c r="D62" s="408"/>
      <c r="E62" s="408"/>
      <c r="F62" s="408"/>
    </row>
    <row r="63" spans="1:6" ht="15">
      <c r="A63" s="413" t="s">
        <v>140</v>
      </c>
      <c r="B63" s="408"/>
      <c r="C63" s="408"/>
      <c r="D63" s="408"/>
      <c r="E63" s="408"/>
      <c r="F63" s="408"/>
    </row>
    <row r="64" ht="15">
      <c r="A64" s="413" t="s">
        <v>141</v>
      </c>
    </row>
    <row r="65" ht="15">
      <c r="A65" s="413" t="s">
        <v>142</v>
      </c>
    </row>
    <row r="66" ht="15">
      <c r="A66" s="413" t="s">
        <v>143</v>
      </c>
    </row>
    <row r="68" ht="15">
      <c r="A68" s="408" t="s">
        <v>144</v>
      </c>
    </row>
    <row r="69" ht="15">
      <c r="A69" s="408" t="s">
        <v>145</v>
      </c>
    </row>
    <row r="70" ht="15">
      <c r="A70" s="408" t="s">
        <v>146</v>
      </c>
    </row>
    <row r="71" ht="15">
      <c r="A71" s="408" t="s">
        <v>147</v>
      </c>
    </row>
    <row r="72" ht="15">
      <c r="A72" s="408" t="s">
        <v>148</v>
      </c>
    </row>
    <row r="73" ht="15">
      <c r="A73" s="408" t="s">
        <v>149</v>
      </c>
    </row>
    <row r="75" ht="15">
      <c r="A75" s="408" t="s">
        <v>54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7" t="s">
        <v>150</v>
      </c>
      <c r="B3" s="407"/>
      <c r="C3" s="407"/>
      <c r="D3" s="407"/>
      <c r="E3" s="407"/>
      <c r="F3" s="407"/>
      <c r="G3" s="407"/>
    </row>
    <row r="4" spans="1:7" ht="15">
      <c r="A4" s="407"/>
      <c r="B4" s="407"/>
      <c r="C4" s="407"/>
      <c r="D4" s="407"/>
      <c r="E4" s="407"/>
      <c r="F4" s="407"/>
      <c r="G4" s="407"/>
    </row>
    <row r="5" ht="15">
      <c r="A5" s="408" t="s">
        <v>56</v>
      </c>
    </row>
    <row r="6" ht="15">
      <c r="A6" s="408" t="str">
        <f>CONCATENATE(inputPrYr!C5," estimated expenditures show that at the end of this year")</f>
        <v>2012 estimated expenditures show that at the end of this year</v>
      </c>
    </row>
    <row r="7" ht="15">
      <c r="A7" s="408" t="s">
        <v>151</v>
      </c>
    </row>
    <row r="8" ht="15">
      <c r="A8" s="408" t="s">
        <v>152</v>
      </c>
    </row>
    <row r="10" ht="15">
      <c r="A10" t="s">
        <v>58</v>
      </c>
    </row>
    <row r="11" ht="15">
      <c r="A11" t="s">
        <v>59</v>
      </c>
    </row>
    <row r="12" ht="15">
      <c r="A12" t="s">
        <v>60</v>
      </c>
    </row>
    <row r="13" spans="1:7" ht="15">
      <c r="A13" s="407"/>
      <c r="B13" s="407"/>
      <c r="C13" s="407"/>
      <c r="D13" s="407"/>
      <c r="E13" s="407"/>
      <c r="F13" s="407"/>
      <c r="G13" s="407"/>
    </row>
    <row r="14" ht="15">
      <c r="A14" s="409" t="s">
        <v>153</v>
      </c>
    </row>
    <row r="15" ht="15">
      <c r="A15" s="408"/>
    </row>
    <row r="16" ht="15">
      <c r="A16" s="408" t="s">
        <v>154</v>
      </c>
    </row>
    <row r="17" ht="15">
      <c r="A17" s="408" t="s">
        <v>155</v>
      </c>
    </row>
    <row r="18" ht="15">
      <c r="A18" s="408" t="s">
        <v>156</v>
      </c>
    </row>
    <row r="19" ht="15">
      <c r="A19" s="408"/>
    </row>
    <row r="20" ht="15">
      <c r="A20" s="408" t="s">
        <v>157</v>
      </c>
    </row>
    <row r="21" ht="15">
      <c r="A21" s="408" t="s">
        <v>158</v>
      </c>
    </row>
    <row r="22" ht="15">
      <c r="A22" s="408" t="s">
        <v>159</v>
      </c>
    </row>
    <row r="23" ht="15">
      <c r="A23" s="408" t="s">
        <v>160</v>
      </c>
    </row>
    <row r="24" ht="15">
      <c r="A24" s="408"/>
    </row>
    <row r="25" ht="15">
      <c r="A25" s="409" t="s">
        <v>122</v>
      </c>
    </row>
    <row r="26" ht="15">
      <c r="A26" s="409"/>
    </row>
    <row r="27" ht="15">
      <c r="A27" s="408" t="s">
        <v>123</v>
      </c>
    </row>
    <row r="28" spans="1:6" ht="15">
      <c r="A28" s="408" t="s">
        <v>124</v>
      </c>
      <c r="B28" s="408"/>
      <c r="C28" s="408"/>
      <c r="D28" s="408"/>
      <c r="E28" s="408"/>
      <c r="F28" s="408"/>
    </row>
    <row r="29" spans="1:6" ht="15">
      <c r="A29" s="408" t="s">
        <v>125</v>
      </c>
      <c r="B29" s="408"/>
      <c r="C29" s="408"/>
      <c r="D29" s="408"/>
      <c r="E29" s="408"/>
      <c r="F29" s="408"/>
    </row>
    <row r="30" spans="1:6" ht="15">
      <c r="A30" s="408" t="s">
        <v>126</v>
      </c>
      <c r="B30" s="408"/>
      <c r="C30" s="408"/>
      <c r="D30" s="408"/>
      <c r="E30" s="408"/>
      <c r="F30" s="408"/>
    </row>
    <row r="31" ht="15">
      <c r="A31" s="408"/>
    </row>
    <row r="32" spans="1:7" ht="15">
      <c r="A32" s="409" t="s">
        <v>127</v>
      </c>
      <c r="B32" s="409"/>
      <c r="C32" s="409"/>
      <c r="D32" s="409"/>
      <c r="E32" s="409"/>
      <c r="F32" s="409"/>
      <c r="G32" s="409"/>
    </row>
    <row r="33" spans="1:7" ht="15">
      <c r="A33" s="409" t="s">
        <v>128</v>
      </c>
      <c r="B33" s="409"/>
      <c r="C33" s="409"/>
      <c r="D33" s="409"/>
      <c r="E33" s="409"/>
      <c r="F33" s="409"/>
      <c r="G33" s="409"/>
    </row>
    <row r="34" spans="1:7" ht="15">
      <c r="A34" s="409"/>
      <c r="B34" s="409"/>
      <c r="C34" s="409"/>
      <c r="D34" s="409"/>
      <c r="E34" s="409"/>
      <c r="F34" s="409"/>
      <c r="G34" s="409"/>
    </row>
    <row r="35" spans="1:7" ht="15">
      <c r="A35" s="408" t="s">
        <v>161</v>
      </c>
      <c r="B35" s="408"/>
      <c r="C35" s="408"/>
      <c r="D35" s="408"/>
      <c r="E35" s="408"/>
      <c r="F35" s="408"/>
      <c r="G35" s="408"/>
    </row>
    <row r="36" spans="1:7" ht="15">
      <c r="A36" s="408" t="s">
        <v>162</v>
      </c>
      <c r="B36" s="408"/>
      <c r="C36" s="408"/>
      <c r="D36" s="408"/>
      <c r="E36" s="408"/>
      <c r="F36" s="408"/>
      <c r="G36" s="408"/>
    </row>
    <row r="37" spans="1:7" ht="15">
      <c r="A37" s="408" t="s">
        <v>163</v>
      </c>
      <c r="B37" s="408"/>
      <c r="C37" s="408"/>
      <c r="D37" s="408"/>
      <c r="E37" s="408"/>
      <c r="F37" s="408"/>
      <c r="G37" s="408"/>
    </row>
    <row r="38" spans="1:7" ht="15">
      <c r="A38" s="408" t="s">
        <v>164</v>
      </c>
      <c r="B38" s="408"/>
      <c r="C38" s="408"/>
      <c r="D38" s="408"/>
      <c r="E38" s="408"/>
      <c r="F38" s="408"/>
      <c r="G38" s="408"/>
    </row>
    <row r="39" spans="1:7" ht="15">
      <c r="A39" s="408" t="s">
        <v>165</v>
      </c>
      <c r="B39" s="408"/>
      <c r="C39" s="408"/>
      <c r="D39" s="408"/>
      <c r="E39" s="408"/>
      <c r="F39" s="408"/>
      <c r="G39" s="408"/>
    </row>
    <row r="40" spans="1:7" ht="15">
      <c r="A40" s="409"/>
      <c r="B40" s="409"/>
      <c r="C40" s="409"/>
      <c r="D40" s="409"/>
      <c r="E40" s="409"/>
      <c r="F40" s="409"/>
      <c r="G40" s="409"/>
    </row>
    <row r="41" spans="1:6" ht="15">
      <c r="A41" s="412" t="str">
        <f>CONCATENATE("So, let's look to see if any of your ",inputPrYr!C5-1," expenditures can")</f>
        <v>So, let's look to see if any of your 2011 expenditures can</v>
      </c>
      <c r="B41" s="408"/>
      <c r="C41" s="408"/>
      <c r="D41" s="408"/>
      <c r="E41" s="408"/>
      <c r="F41" s="408"/>
    </row>
    <row r="42" spans="1:6" ht="15">
      <c r="A42" s="412" t="s">
        <v>129</v>
      </c>
      <c r="B42" s="408"/>
      <c r="C42" s="408"/>
      <c r="D42" s="408"/>
      <c r="E42" s="408"/>
      <c r="F42" s="408"/>
    </row>
    <row r="43" spans="1:6" ht="15">
      <c r="A43" s="412" t="s">
        <v>13</v>
      </c>
      <c r="B43" s="408"/>
      <c r="C43" s="408"/>
      <c r="D43" s="408"/>
      <c r="E43" s="408"/>
      <c r="F43" s="408"/>
    </row>
    <row r="44" spans="1:6" ht="15">
      <c r="A44" s="412" t="s">
        <v>14</v>
      </c>
      <c r="B44" s="408"/>
      <c r="C44" s="408"/>
      <c r="D44" s="408"/>
      <c r="E44" s="408"/>
      <c r="F44" s="408"/>
    </row>
    <row r="45" ht="15">
      <c r="A45" s="408"/>
    </row>
    <row r="46" spans="1:6" ht="15">
      <c r="A46" s="412" t="str">
        <f>CONCATENATE("Additionally, do your ",inputPrYr!C5-1," receipts contain a reimbursement")</f>
        <v>Additionally, do your 2011 receipts contain a reimbursement</v>
      </c>
      <c r="B46" s="408"/>
      <c r="C46" s="408"/>
      <c r="D46" s="408"/>
      <c r="E46" s="408"/>
      <c r="F46" s="408"/>
    </row>
    <row r="47" spans="1:6" ht="15">
      <c r="A47" s="412" t="s">
        <v>15</v>
      </c>
      <c r="B47" s="408"/>
      <c r="C47" s="408"/>
      <c r="D47" s="408"/>
      <c r="E47" s="408"/>
      <c r="F47" s="408"/>
    </row>
    <row r="48" spans="1:6" ht="15">
      <c r="A48" s="412" t="s">
        <v>16</v>
      </c>
      <c r="B48" s="408"/>
      <c r="C48" s="408"/>
      <c r="D48" s="408"/>
      <c r="E48" s="408"/>
      <c r="F48" s="408"/>
    </row>
    <row r="49" spans="1:7" ht="15">
      <c r="A49" s="408"/>
      <c r="B49" s="408"/>
      <c r="C49" s="408"/>
      <c r="D49" s="408"/>
      <c r="E49" s="408"/>
      <c r="F49" s="408"/>
      <c r="G49" s="408"/>
    </row>
    <row r="50" spans="1:7" ht="15">
      <c r="A50" s="408" t="s">
        <v>83</v>
      </c>
      <c r="B50" s="408"/>
      <c r="C50" s="408"/>
      <c r="D50" s="408"/>
      <c r="E50" s="408"/>
      <c r="F50" s="408"/>
      <c r="G50" s="408"/>
    </row>
    <row r="51" spans="1:7" ht="15">
      <c r="A51" s="408" t="s">
        <v>84</v>
      </c>
      <c r="B51" s="408"/>
      <c r="C51" s="408"/>
      <c r="D51" s="408"/>
      <c r="E51" s="408"/>
      <c r="F51" s="408"/>
      <c r="G51" s="408"/>
    </row>
    <row r="52" spans="1:7" ht="15">
      <c r="A52" s="408" t="s">
        <v>85</v>
      </c>
      <c r="B52" s="408"/>
      <c r="C52" s="408"/>
      <c r="D52" s="408"/>
      <c r="E52" s="408"/>
      <c r="F52" s="408"/>
      <c r="G52" s="408"/>
    </row>
    <row r="53" spans="1:7" ht="15">
      <c r="A53" s="408" t="s">
        <v>86</v>
      </c>
      <c r="B53" s="408"/>
      <c r="C53" s="408"/>
      <c r="D53" s="408"/>
      <c r="E53" s="408"/>
      <c r="F53" s="408"/>
      <c r="G53" s="408"/>
    </row>
    <row r="54" spans="1:7" ht="15">
      <c r="A54" s="408" t="s">
        <v>87</v>
      </c>
      <c r="B54" s="408"/>
      <c r="C54" s="408"/>
      <c r="D54" s="408"/>
      <c r="E54" s="408"/>
      <c r="F54" s="408"/>
      <c r="G54" s="408"/>
    </row>
    <row r="55" spans="1:7" ht="15">
      <c r="A55" s="408"/>
      <c r="B55" s="408"/>
      <c r="C55" s="408"/>
      <c r="D55" s="408"/>
      <c r="E55" s="408"/>
      <c r="F55" s="408"/>
      <c r="G55" s="408"/>
    </row>
    <row r="56" spans="1:6" ht="15">
      <c r="A56" s="412" t="s">
        <v>25</v>
      </c>
      <c r="B56" s="408"/>
      <c r="C56" s="408"/>
      <c r="D56" s="408"/>
      <c r="E56" s="408"/>
      <c r="F56" s="408"/>
    </row>
    <row r="57" spans="1:6" ht="15">
      <c r="A57" s="412" t="s">
        <v>26</v>
      </c>
      <c r="B57" s="408"/>
      <c r="C57" s="408"/>
      <c r="D57" s="408"/>
      <c r="E57" s="408"/>
      <c r="F57" s="408"/>
    </row>
    <row r="58" spans="1:6" ht="15">
      <c r="A58" s="412" t="s">
        <v>27</v>
      </c>
      <c r="B58" s="408"/>
      <c r="C58" s="408"/>
      <c r="D58" s="408"/>
      <c r="E58" s="408"/>
      <c r="F58" s="408"/>
    </row>
    <row r="59" spans="1:6" ht="15">
      <c r="A59" s="412"/>
      <c r="B59" s="408"/>
      <c r="C59" s="408"/>
      <c r="D59" s="408"/>
      <c r="E59" s="408"/>
      <c r="F59" s="408"/>
    </row>
    <row r="60" spans="1:7" ht="15">
      <c r="A60" s="408" t="s">
        <v>166</v>
      </c>
      <c r="B60" s="408"/>
      <c r="C60" s="408"/>
      <c r="D60" s="408"/>
      <c r="E60" s="408"/>
      <c r="F60" s="408"/>
      <c r="G60" s="408"/>
    </row>
    <row r="61" spans="1:7" ht="15">
      <c r="A61" s="408" t="s">
        <v>167</v>
      </c>
      <c r="B61" s="408"/>
      <c r="C61" s="408"/>
      <c r="D61" s="408"/>
      <c r="E61" s="408"/>
      <c r="F61" s="408"/>
      <c r="G61" s="408"/>
    </row>
    <row r="62" spans="1:7" ht="15">
      <c r="A62" s="408" t="s">
        <v>168</v>
      </c>
      <c r="B62" s="408"/>
      <c r="C62" s="408"/>
      <c r="D62" s="408"/>
      <c r="E62" s="408"/>
      <c r="F62" s="408"/>
      <c r="G62" s="408"/>
    </row>
    <row r="63" spans="1:7" ht="15">
      <c r="A63" s="408" t="s">
        <v>169</v>
      </c>
      <c r="B63" s="408"/>
      <c r="C63" s="408"/>
      <c r="D63" s="408"/>
      <c r="E63" s="408"/>
      <c r="F63" s="408"/>
      <c r="G63" s="408"/>
    </row>
    <row r="64" spans="1:7" ht="15">
      <c r="A64" s="408" t="s">
        <v>170</v>
      </c>
      <c r="B64" s="408"/>
      <c r="C64" s="408"/>
      <c r="D64" s="408"/>
      <c r="E64" s="408"/>
      <c r="F64" s="408"/>
      <c r="G64" s="408"/>
    </row>
    <row r="66" spans="1:6" ht="15">
      <c r="A66" s="412" t="s">
        <v>133</v>
      </c>
      <c r="B66" s="408"/>
      <c r="C66" s="408"/>
      <c r="D66" s="408"/>
      <c r="E66" s="408"/>
      <c r="F66" s="408"/>
    </row>
    <row r="67" spans="1:6" ht="15">
      <c r="A67" s="412" t="s">
        <v>134</v>
      </c>
      <c r="B67" s="408"/>
      <c r="C67" s="408"/>
      <c r="D67" s="408"/>
      <c r="E67" s="408"/>
      <c r="F67" s="408"/>
    </row>
    <row r="68" spans="1:6" ht="15">
      <c r="A68" s="412" t="s">
        <v>135</v>
      </c>
      <c r="B68" s="408"/>
      <c r="C68" s="408"/>
      <c r="D68" s="408"/>
      <c r="E68" s="408"/>
      <c r="F68" s="408"/>
    </row>
    <row r="69" spans="1:6" ht="15">
      <c r="A69" s="412" t="s">
        <v>136</v>
      </c>
      <c r="B69" s="408"/>
      <c r="C69" s="408"/>
      <c r="D69" s="408"/>
      <c r="E69" s="408"/>
      <c r="F69" s="408"/>
    </row>
    <row r="70" spans="1:6" ht="15">
      <c r="A70" s="412" t="s">
        <v>137</v>
      </c>
      <c r="B70" s="408"/>
      <c r="C70" s="408"/>
      <c r="D70" s="408"/>
      <c r="E70" s="408"/>
      <c r="F70" s="408"/>
    </row>
    <row r="71" ht="15">
      <c r="A71" s="408"/>
    </row>
    <row r="72" ht="15">
      <c r="A72" s="408" t="s">
        <v>54</v>
      </c>
    </row>
    <row r="73" ht="15">
      <c r="A73" s="408"/>
    </row>
    <row r="74" ht="15">
      <c r="A74" s="408"/>
    </row>
    <row r="75" ht="15">
      <c r="A75" s="408"/>
    </row>
    <row r="78" ht="15">
      <c r="A78" s="409"/>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7" t="s">
        <v>171</v>
      </c>
      <c r="B3" s="407"/>
      <c r="C3" s="407"/>
      <c r="D3" s="407"/>
      <c r="E3" s="407"/>
      <c r="F3" s="407"/>
      <c r="G3" s="407"/>
    </row>
    <row r="4" spans="1:7" ht="15">
      <c r="A4" s="407" t="s">
        <v>172</v>
      </c>
      <c r="B4" s="407"/>
      <c r="C4" s="407"/>
      <c r="D4" s="407"/>
      <c r="E4" s="407"/>
      <c r="F4" s="407"/>
      <c r="G4" s="407"/>
    </row>
    <row r="5" spans="1:7" ht="15">
      <c r="A5" s="407"/>
      <c r="B5" s="407"/>
      <c r="C5" s="407"/>
      <c r="D5" s="407"/>
      <c r="E5" s="407"/>
      <c r="F5" s="407"/>
      <c r="G5" s="407"/>
    </row>
    <row r="6" spans="1:7" ht="15">
      <c r="A6" s="407"/>
      <c r="B6" s="407"/>
      <c r="C6" s="407"/>
      <c r="D6" s="407"/>
      <c r="E6" s="407"/>
      <c r="F6" s="407"/>
      <c r="G6" s="407"/>
    </row>
    <row r="7" ht="15">
      <c r="A7" s="408" t="s">
        <v>705</v>
      </c>
    </row>
    <row r="8" ht="15">
      <c r="A8" s="408" t="str">
        <f>CONCATENATE("estimated ",inputPrYr!C5," 'total expenditures' exceed your ",inputPrYr!C5,"")</f>
        <v>estimated 2012 'total expenditures' exceed your 2012</v>
      </c>
    </row>
    <row r="9" ht="15">
      <c r="A9" s="411" t="s">
        <v>173</v>
      </c>
    </row>
    <row r="10" ht="15">
      <c r="A10" s="408"/>
    </row>
    <row r="11" ht="15">
      <c r="A11" s="408" t="s">
        <v>174</v>
      </c>
    </row>
    <row r="12" ht="15">
      <c r="A12" s="408" t="s">
        <v>175</v>
      </c>
    </row>
    <row r="13" ht="15">
      <c r="A13" s="408" t="s">
        <v>176</v>
      </c>
    </row>
    <row r="14" ht="15">
      <c r="A14" s="408"/>
    </row>
    <row r="15" ht="15">
      <c r="A15" s="409" t="s">
        <v>177</v>
      </c>
    </row>
    <row r="16" spans="1:7" ht="15">
      <c r="A16" s="407"/>
      <c r="B16" s="407"/>
      <c r="C16" s="407"/>
      <c r="D16" s="407"/>
      <c r="E16" s="407"/>
      <c r="F16" s="407"/>
      <c r="G16" s="407"/>
    </row>
    <row r="17" spans="1:8" ht="15">
      <c r="A17" s="414" t="s">
        <v>178</v>
      </c>
      <c r="B17" s="415"/>
      <c r="C17" s="415"/>
      <c r="D17" s="415"/>
      <c r="E17" s="415"/>
      <c r="F17" s="415"/>
      <c r="G17" s="415"/>
      <c r="H17" s="415"/>
    </row>
    <row r="18" spans="1:7" ht="15">
      <c r="A18" s="408" t="s">
        <v>179</v>
      </c>
      <c r="B18" s="416"/>
      <c r="C18" s="416"/>
      <c r="D18" s="416"/>
      <c r="E18" s="416"/>
      <c r="F18" s="416"/>
      <c r="G18" s="416"/>
    </row>
    <row r="19" ht="15">
      <c r="A19" s="408" t="s">
        <v>180</v>
      </c>
    </row>
    <row r="20" ht="15">
      <c r="A20" s="408" t="s">
        <v>181</v>
      </c>
    </row>
    <row r="22" ht="15">
      <c r="A22" s="409" t="s">
        <v>182</v>
      </c>
    </row>
    <row r="24" ht="15">
      <c r="A24" s="408" t="s">
        <v>183</v>
      </c>
    </row>
    <row r="25" ht="15">
      <c r="A25" s="408" t="s">
        <v>184</v>
      </c>
    </row>
    <row r="26" ht="15">
      <c r="A26" s="408" t="s">
        <v>185</v>
      </c>
    </row>
    <row r="28" ht="15">
      <c r="A28" s="409" t="s">
        <v>186</v>
      </c>
    </row>
    <row r="30" ht="15">
      <c r="A30" t="s">
        <v>187</v>
      </c>
    </row>
    <row r="31" ht="15">
      <c r="A31" t="s">
        <v>188</v>
      </c>
    </row>
    <row r="32" ht="15">
      <c r="A32" t="s">
        <v>189</v>
      </c>
    </row>
    <row r="33" ht="15">
      <c r="A33" s="408" t="s">
        <v>190</v>
      </c>
    </row>
    <row r="35" ht="15">
      <c r="A35" t="s">
        <v>191</v>
      </c>
    </row>
    <row r="36" ht="15">
      <c r="A36" t="s">
        <v>192</v>
      </c>
    </row>
    <row r="37" ht="15">
      <c r="A37" t="s">
        <v>193</v>
      </c>
    </row>
    <row r="38" ht="15">
      <c r="A38" t="s">
        <v>194</v>
      </c>
    </row>
    <row r="40" ht="15">
      <c r="A40" t="s">
        <v>195</v>
      </c>
    </row>
    <row r="41" ht="15">
      <c r="A41" t="s">
        <v>196</v>
      </c>
    </row>
    <row r="42" ht="15">
      <c r="A42" t="s">
        <v>197</v>
      </c>
    </row>
    <row r="43" ht="15">
      <c r="A43" t="s">
        <v>198</v>
      </c>
    </row>
    <row r="44" ht="15">
      <c r="A44" t="s">
        <v>199</v>
      </c>
    </row>
    <row r="45" ht="15">
      <c r="A45" t="s">
        <v>200</v>
      </c>
    </row>
    <row r="47" ht="15">
      <c r="A47" t="s">
        <v>201</v>
      </c>
    </row>
    <row r="48" ht="15">
      <c r="A48" t="s">
        <v>202</v>
      </c>
    </row>
    <row r="49" ht="15">
      <c r="A49" s="408" t="s">
        <v>203</v>
      </c>
    </row>
    <row r="50" ht="15">
      <c r="A50" s="408" t="s">
        <v>204</v>
      </c>
    </row>
    <row r="52" ht="15">
      <c r="A52" t="s">
        <v>54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dimension ref="A1:A107"/>
  <sheetViews>
    <sheetView zoomScalePageLayoutView="0" workbookViewId="0" topLeftCell="A1">
      <selection activeCell="A6" sqref="A6"/>
    </sheetView>
  </sheetViews>
  <sheetFormatPr defaultColWidth="8.8984375" defaultRowHeight="15"/>
  <cols>
    <col min="1" max="1" width="80.09765625" style="8" customWidth="1"/>
    <col min="2" max="16384" width="8.8984375" style="8" customWidth="1"/>
  </cols>
  <sheetData>
    <row r="1" ht="15">
      <c r="A1" s="421" t="s">
        <v>255</v>
      </c>
    </row>
    <row r="2" ht="15">
      <c r="A2" s="8" t="s">
        <v>256</v>
      </c>
    </row>
    <row r="3" ht="15">
      <c r="A3" s="8" t="s">
        <v>257</v>
      </c>
    </row>
    <row r="4" ht="15">
      <c r="A4" s="8" t="s">
        <v>258</v>
      </c>
    </row>
    <row r="6" ht="15">
      <c r="A6" s="421" t="s">
        <v>244</v>
      </c>
    </row>
    <row r="7" ht="15">
      <c r="A7" s="8" t="s">
        <v>254</v>
      </c>
    </row>
    <row r="9" ht="15">
      <c r="A9" s="421" t="s">
        <v>205</v>
      </c>
    </row>
    <row r="10" ht="15">
      <c r="A10" s="417" t="s">
        <v>206</v>
      </c>
    </row>
    <row r="11" ht="15">
      <c r="A11" s="417" t="s">
        <v>207</v>
      </c>
    </row>
    <row r="12" ht="15">
      <c r="A12" s="417" t="s">
        <v>208</v>
      </c>
    </row>
    <row r="14" ht="15">
      <c r="A14" s="378" t="s">
        <v>660</v>
      </c>
    </row>
    <row r="15" ht="15">
      <c r="A15" s="393" t="s">
        <v>685</v>
      </c>
    </row>
    <row r="16" ht="15">
      <c r="A16" s="391" t="s">
        <v>686</v>
      </c>
    </row>
    <row r="17" ht="15">
      <c r="A17" s="391" t="s">
        <v>687</v>
      </c>
    </row>
    <row r="18" ht="21" customHeight="1">
      <c r="A18" s="392" t="s">
        <v>688</v>
      </c>
    </row>
    <row r="19" ht="15">
      <c r="A19" s="391" t="s">
        <v>689</v>
      </c>
    </row>
    <row r="20" ht="15">
      <c r="A20" s="391" t="s">
        <v>690</v>
      </c>
    </row>
    <row r="21" ht="15">
      <c r="A21" s="391" t="s">
        <v>691</v>
      </c>
    </row>
    <row r="22" ht="15">
      <c r="A22" s="391" t="s">
        <v>692</v>
      </c>
    </row>
    <row r="23" ht="15">
      <c r="A23" s="8" t="s">
        <v>693</v>
      </c>
    </row>
    <row r="25" ht="15">
      <c r="A25" s="378" t="s">
        <v>631</v>
      </c>
    </row>
    <row r="26" ht="15">
      <c r="A26" s="8" t="s">
        <v>632</v>
      </c>
    </row>
    <row r="27" ht="15">
      <c r="A27" s="8" t="s">
        <v>633</v>
      </c>
    </row>
    <row r="28" ht="15">
      <c r="A28" s="8" t="s">
        <v>634</v>
      </c>
    </row>
    <row r="29" ht="15">
      <c r="A29" s="8" t="s">
        <v>635</v>
      </c>
    </row>
    <row r="31" ht="15">
      <c r="A31" s="378" t="s">
        <v>628</v>
      </c>
    </row>
    <row r="32" ht="15">
      <c r="A32" s="8" t="s">
        <v>629</v>
      </c>
    </row>
    <row r="33" ht="15">
      <c r="A33" s="8" t="s">
        <v>630</v>
      </c>
    </row>
    <row r="35" ht="15">
      <c r="A35" s="378" t="s">
        <v>609</v>
      </c>
    </row>
    <row r="36" ht="15">
      <c r="A36" s="8" t="s">
        <v>597</v>
      </c>
    </row>
    <row r="37" ht="15">
      <c r="A37" s="8" t="s">
        <v>598</v>
      </c>
    </row>
    <row r="38" ht="15">
      <c r="A38" s="8" t="s">
        <v>599</v>
      </c>
    </row>
    <row r="39" ht="15">
      <c r="A39" s="8" t="s">
        <v>587</v>
      </c>
    </row>
    <row r="40" ht="15">
      <c r="A40" s="8" t="s">
        <v>600</v>
      </c>
    </row>
    <row r="41" ht="15">
      <c r="A41" s="8" t="s">
        <v>601</v>
      </c>
    </row>
    <row r="42" ht="30.75">
      <c r="A42" s="11" t="s">
        <v>602</v>
      </c>
    </row>
    <row r="43" ht="30.75">
      <c r="A43" s="11" t="s">
        <v>603</v>
      </c>
    </row>
    <row r="44" ht="15">
      <c r="A44" s="11" t="s">
        <v>610</v>
      </c>
    </row>
    <row r="45" ht="15">
      <c r="A45" s="11" t="s">
        <v>604</v>
      </c>
    </row>
    <row r="46" ht="30.75">
      <c r="A46" s="11" t="s">
        <v>605</v>
      </c>
    </row>
    <row r="47" ht="15">
      <c r="A47" s="8" t="s">
        <v>606</v>
      </c>
    </row>
    <row r="48" ht="30.75">
      <c r="A48" s="11" t="s">
        <v>611</v>
      </c>
    </row>
    <row r="49" ht="15">
      <c r="A49" s="8" t="s">
        <v>460</v>
      </c>
    </row>
    <row r="50" ht="15">
      <c r="A50" s="8" t="s">
        <v>607</v>
      </c>
    </row>
    <row r="51" ht="35.25" customHeight="1">
      <c r="A51" s="8" t="s">
        <v>608</v>
      </c>
    </row>
    <row r="52" ht="20.25" customHeight="1">
      <c r="A52" s="11" t="s">
        <v>459</v>
      </c>
    </row>
    <row r="53" ht="15">
      <c r="A53" s="8" t="s">
        <v>461</v>
      </c>
    </row>
    <row r="54" ht="30.75">
      <c r="A54" s="11" t="s">
        <v>457</v>
      </c>
    </row>
    <row r="55" ht="15">
      <c r="A55" s="8" t="s">
        <v>458</v>
      </c>
    </row>
    <row r="57" ht="15">
      <c r="A57" s="378" t="s">
        <v>612</v>
      </c>
    </row>
    <row r="58" ht="15">
      <c r="A58" s="8" t="s">
        <v>613</v>
      </c>
    </row>
    <row r="59" ht="15">
      <c r="A59" s="8" t="s">
        <v>614</v>
      </c>
    </row>
    <row r="60" ht="15">
      <c r="A60" s="8" t="s">
        <v>615</v>
      </c>
    </row>
    <row r="61" ht="15">
      <c r="A61" s="8" t="s">
        <v>616</v>
      </c>
    </row>
    <row r="63" ht="15">
      <c r="A63" s="378" t="s">
        <v>583</v>
      </c>
    </row>
    <row r="64" ht="15">
      <c r="A64" s="8" t="s">
        <v>584</v>
      </c>
    </row>
    <row r="66" ht="15">
      <c r="A66" s="378" t="s">
        <v>578</v>
      </c>
    </row>
    <row r="67" ht="30.75">
      <c r="A67" s="11" t="s">
        <v>579</v>
      </c>
    </row>
    <row r="68" ht="15">
      <c r="A68" s="8" t="s">
        <v>580</v>
      </c>
    </row>
    <row r="69" ht="15">
      <c r="A69" s="8" t="s">
        <v>582</v>
      </c>
    </row>
    <row r="70" ht="15">
      <c r="A70" s="8" t="s">
        <v>581</v>
      </c>
    </row>
    <row r="71" ht="18" customHeight="1"/>
    <row r="72" ht="48.75" customHeight="1">
      <c r="A72" s="8" t="s">
        <v>496</v>
      </c>
    </row>
    <row r="73" ht="46.5">
      <c r="A73" s="11" t="s">
        <v>528</v>
      </c>
    </row>
    <row r="74" ht="15">
      <c r="A74" s="8" t="s">
        <v>497</v>
      </c>
    </row>
    <row r="75" ht="15">
      <c r="A75" s="8" t="s">
        <v>498</v>
      </c>
    </row>
    <row r="76" ht="15">
      <c r="A76" s="8" t="s">
        <v>529</v>
      </c>
    </row>
    <row r="77" ht="15">
      <c r="A77" s="8" t="s">
        <v>499</v>
      </c>
    </row>
    <row r="78" ht="15">
      <c r="A78" s="8" t="s">
        <v>500</v>
      </c>
    </row>
    <row r="79" ht="15">
      <c r="A79" s="8" t="s">
        <v>538</v>
      </c>
    </row>
    <row r="80" ht="15">
      <c r="A80" s="8" t="s">
        <v>501</v>
      </c>
    </row>
    <row r="81" ht="15">
      <c r="A81" s="8" t="s">
        <v>502</v>
      </c>
    </row>
    <row r="82" ht="30.75">
      <c r="A82" s="11" t="s">
        <v>503</v>
      </c>
    </row>
    <row r="83" ht="30.75">
      <c r="A83" s="11" t="s">
        <v>618</v>
      </c>
    </row>
    <row r="84" ht="15">
      <c r="A84" s="8" t="s">
        <v>504</v>
      </c>
    </row>
    <row r="85" ht="15">
      <c r="A85" s="8" t="s">
        <v>505</v>
      </c>
    </row>
    <row r="86" ht="15">
      <c r="A86" s="8" t="s">
        <v>530</v>
      </c>
    </row>
    <row r="87" ht="15">
      <c r="A87" s="8" t="s">
        <v>506</v>
      </c>
    </row>
    <row r="88" ht="15">
      <c r="A88" s="8" t="s">
        <v>531</v>
      </c>
    </row>
    <row r="89" ht="30.75">
      <c r="A89" s="11" t="s">
        <v>532</v>
      </c>
    </row>
    <row r="90" ht="15">
      <c r="A90" s="8" t="s">
        <v>513</v>
      </c>
    </row>
    <row r="91" ht="15">
      <c r="A91" s="8" t="s">
        <v>514</v>
      </c>
    </row>
    <row r="92" ht="30.75">
      <c r="A92" s="11" t="s">
        <v>515</v>
      </c>
    </row>
    <row r="93" ht="15">
      <c r="A93" s="8" t="s">
        <v>564</v>
      </c>
    </row>
    <row r="94" ht="15">
      <c r="A94" s="8" t="s">
        <v>563</v>
      </c>
    </row>
    <row r="95" ht="15">
      <c r="A95" s="8" t="s">
        <v>565</v>
      </c>
    </row>
    <row r="96" ht="15">
      <c r="A96" s="8" t="s">
        <v>566</v>
      </c>
    </row>
    <row r="97" ht="15">
      <c r="A97" s="8" t="s">
        <v>567</v>
      </c>
    </row>
    <row r="98" ht="15">
      <c r="A98" s="8" t="s">
        <v>568</v>
      </c>
    </row>
    <row r="99" ht="15">
      <c r="A99" s="8" t="s">
        <v>569</v>
      </c>
    </row>
    <row r="100" ht="15">
      <c r="A100" s="8" t="s">
        <v>570</v>
      </c>
    </row>
    <row r="101" ht="15">
      <c r="A101" s="8" t="s">
        <v>571</v>
      </c>
    </row>
    <row r="102" ht="15">
      <c r="A102" s="8" t="s">
        <v>572</v>
      </c>
    </row>
    <row r="103" ht="15">
      <c r="A103" s="8" t="s">
        <v>573</v>
      </c>
    </row>
    <row r="104" ht="15">
      <c r="A104" s="8" t="s">
        <v>574</v>
      </c>
    </row>
    <row r="105" ht="15">
      <c r="A105" s="8" t="s">
        <v>575</v>
      </c>
    </row>
    <row r="106" ht="15">
      <c r="A106" s="8" t="s">
        <v>577</v>
      </c>
    </row>
    <row r="107" ht="15">
      <c r="A107" s="8" t="s">
        <v>576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A4" sqref="A4"/>
    </sheetView>
  </sheetViews>
  <sheetFormatPr defaultColWidth="8.796875" defaultRowHeight="15"/>
  <cols>
    <col min="1" max="1" width="13.69921875" style="0" customWidth="1"/>
    <col min="2" max="2" width="16.09765625" style="0" customWidth="1"/>
  </cols>
  <sheetData>
    <row r="2" spans="1:6" ht="54" customHeight="1">
      <c r="A2" s="436" t="s">
        <v>694</v>
      </c>
      <c r="B2" s="437"/>
      <c r="C2" s="437"/>
      <c r="D2" s="437"/>
      <c r="E2" s="437"/>
      <c r="F2" s="437"/>
    </row>
    <row r="4" spans="1:6" ht="15">
      <c r="A4" s="397"/>
      <c r="B4" s="397"/>
      <c r="C4" s="397"/>
      <c r="D4" s="399"/>
      <c r="E4" s="397"/>
      <c r="F4" s="397"/>
    </row>
    <row r="5" spans="1:6" ht="15">
      <c r="A5" s="398" t="s">
        <v>695</v>
      </c>
      <c r="B5" s="400" t="s">
        <v>713</v>
      </c>
      <c r="C5" s="401"/>
      <c r="D5" s="398" t="s">
        <v>696</v>
      </c>
      <c r="E5" s="397"/>
      <c r="F5" s="397"/>
    </row>
    <row r="6" spans="1:6" ht="15">
      <c r="A6" s="398"/>
      <c r="B6" s="402"/>
      <c r="C6" s="403"/>
      <c r="D6" s="398"/>
      <c r="E6" s="397"/>
      <c r="F6" s="397"/>
    </row>
    <row r="7" spans="1:6" ht="15">
      <c r="A7" s="398" t="s">
        <v>697</v>
      </c>
      <c r="B7" s="400" t="s">
        <v>714</v>
      </c>
      <c r="C7" s="404"/>
      <c r="D7" s="398"/>
      <c r="E7" s="397"/>
      <c r="F7" s="397"/>
    </row>
    <row r="8" spans="1:6" ht="15">
      <c r="A8" s="398"/>
      <c r="B8" s="398"/>
      <c r="C8" s="398"/>
      <c r="D8" s="398"/>
      <c r="E8" s="397"/>
      <c r="F8" s="397"/>
    </row>
    <row r="9" spans="1:6" ht="15">
      <c r="A9" s="398" t="s">
        <v>698</v>
      </c>
      <c r="B9" s="405" t="s">
        <v>743</v>
      </c>
      <c r="C9" s="405"/>
      <c r="D9" s="405"/>
      <c r="E9" s="406"/>
      <c r="F9" s="397"/>
    </row>
    <row r="10" spans="1:6" ht="15">
      <c r="A10" s="398"/>
      <c r="B10" s="398"/>
      <c r="C10" s="398"/>
      <c r="D10" s="398"/>
      <c r="E10" s="397"/>
      <c r="F10" s="397"/>
    </row>
    <row r="11" spans="1:6" ht="15">
      <c r="A11" s="398"/>
      <c r="B11" s="398"/>
      <c r="C11" s="398"/>
      <c r="D11" s="398"/>
      <c r="E11" s="397"/>
      <c r="F11" s="397"/>
    </row>
    <row r="12" spans="1:6" ht="15">
      <c r="A12" s="398" t="s">
        <v>699</v>
      </c>
      <c r="B12" s="405" t="s">
        <v>715</v>
      </c>
      <c r="C12" s="405"/>
      <c r="D12" s="405"/>
      <c r="E12" s="406"/>
      <c r="F12" s="397"/>
    </row>
    <row r="15" spans="1:6" ht="15">
      <c r="A15" s="438" t="s">
        <v>700</v>
      </c>
      <c r="B15" s="438"/>
      <c r="C15" s="398"/>
      <c r="D15" s="398"/>
      <c r="E15" s="398"/>
      <c r="F15" s="397"/>
    </row>
    <row r="16" spans="1:6" ht="15">
      <c r="A16" s="398"/>
      <c r="B16" s="398"/>
      <c r="C16" s="398"/>
      <c r="D16" s="398"/>
      <c r="E16" s="398"/>
      <c r="F16" s="397"/>
    </row>
    <row r="17" spans="1:5" ht="15">
      <c r="A17" s="398" t="s">
        <v>695</v>
      </c>
      <c r="B17" s="402" t="s">
        <v>701</v>
      </c>
      <c r="C17" s="398"/>
      <c r="D17" s="398"/>
      <c r="E17" s="398"/>
    </row>
    <row r="18" spans="1:5" ht="15">
      <c r="A18" s="398"/>
      <c r="B18" s="398"/>
      <c r="C18" s="398"/>
      <c r="D18" s="398"/>
      <c r="E18" s="398"/>
    </row>
    <row r="19" spans="1:5" ht="15">
      <c r="A19" s="398" t="s">
        <v>697</v>
      </c>
      <c r="B19" s="398" t="s">
        <v>702</v>
      </c>
      <c r="C19" s="398"/>
      <c r="D19" s="398"/>
      <c r="E19" s="398"/>
    </row>
    <row r="20" spans="1:5" ht="15">
      <c r="A20" s="398"/>
      <c r="B20" s="398"/>
      <c r="C20" s="398"/>
      <c r="D20" s="398"/>
      <c r="E20" s="398"/>
    </row>
    <row r="21" spans="1:5" ht="15">
      <c r="A21" s="398" t="s">
        <v>698</v>
      </c>
      <c r="B21" s="398" t="s">
        <v>703</v>
      </c>
      <c r="C21" s="398"/>
      <c r="D21" s="398"/>
      <c r="E21" s="398"/>
    </row>
    <row r="22" spans="1:5" ht="15">
      <c r="A22" s="398"/>
      <c r="B22" s="398"/>
      <c r="C22" s="398"/>
      <c r="D22" s="398"/>
      <c r="E22" s="398"/>
    </row>
    <row r="23" spans="1:5" ht="15">
      <c r="A23" s="398" t="s">
        <v>699</v>
      </c>
      <c r="B23" s="398" t="s">
        <v>703</v>
      </c>
      <c r="C23" s="398"/>
      <c r="D23" s="398"/>
      <c r="E23" s="398"/>
    </row>
  </sheetData>
  <sheetProtection sheet="1"/>
  <mergeCells count="2">
    <mergeCell ref="A2:F2"/>
    <mergeCell ref="A15:B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90"/>
  <sheetViews>
    <sheetView zoomScalePageLayoutView="0" workbookViewId="0" topLeftCell="A1">
      <selection activeCell="G1" sqref="G1"/>
    </sheetView>
  </sheetViews>
  <sheetFormatPr defaultColWidth="8.8984375" defaultRowHeight="15"/>
  <cols>
    <col min="1" max="1" width="24.3984375" style="23" customWidth="1"/>
    <col min="2" max="2" width="10.69921875" style="23" customWidth="1"/>
    <col min="3" max="3" width="5.69921875" style="23" customWidth="1"/>
    <col min="4" max="4" width="14" style="23" customWidth="1"/>
    <col min="5" max="6" width="13.69921875" style="23" customWidth="1"/>
    <col min="7" max="16384" width="8.8984375" style="85" customWidth="1"/>
  </cols>
  <sheetData>
    <row r="1" spans="1:6" ht="15">
      <c r="A1" s="22"/>
      <c r="B1" s="22"/>
      <c r="C1" s="22"/>
      <c r="D1" s="22"/>
      <c r="E1" s="22"/>
      <c r="F1" s="22">
        <f>inputPrYr!C5</f>
        <v>2012</v>
      </c>
    </row>
    <row r="2" spans="1:6" ht="15">
      <c r="A2" s="22"/>
      <c r="B2" s="22"/>
      <c r="C2" s="24" t="s">
        <v>348</v>
      </c>
      <c r="D2" s="22"/>
      <c r="E2" s="22"/>
      <c r="F2" s="123"/>
    </row>
    <row r="3" spans="1:6" ht="15">
      <c r="A3" s="441" t="str">
        <f>CONCATENATE("To the Clerk of ",inputPrYr!D3,", State of Kansas")</f>
        <v>To the Clerk of JEWELL COUNTY, State of Kansas</v>
      </c>
      <c r="B3" s="431"/>
      <c r="C3" s="431"/>
      <c r="D3" s="431"/>
      <c r="E3" s="431"/>
      <c r="F3" s="431"/>
    </row>
    <row r="4" spans="1:6" ht="15">
      <c r="A4" s="34" t="s">
        <v>259</v>
      </c>
      <c r="B4" s="33"/>
      <c r="C4" s="33"/>
      <c r="D4" s="33"/>
      <c r="E4" s="33"/>
      <c r="F4" s="33"/>
    </row>
    <row r="5" spans="1:6" ht="15">
      <c r="A5" s="439" t="str">
        <f>(inputPrYr!D2)</f>
        <v>CITY OF BURR OAK</v>
      </c>
      <c r="B5" s="440"/>
      <c r="C5" s="440"/>
      <c r="D5" s="440"/>
      <c r="E5" s="440"/>
      <c r="F5" s="440"/>
    </row>
    <row r="6" spans="1:6" ht="15">
      <c r="A6" s="34" t="s">
        <v>626</v>
      </c>
      <c r="B6" s="33"/>
      <c r="C6" s="33"/>
      <c r="D6" s="33"/>
      <c r="E6" s="33"/>
      <c r="F6" s="33"/>
    </row>
    <row r="7" spans="1:6" ht="15">
      <c r="A7" s="34" t="s">
        <v>261</v>
      </c>
      <c r="B7" s="33"/>
      <c r="C7" s="33"/>
      <c r="D7" s="33"/>
      <c r="E7" s="33"/>
      <c r="F7" s="33"/>
    </row>
    <row r="8" spans="1:6" ht="15">
      <c r="A8" s="34" t="str">
        <f>CONCATENATE("maximum expenditures for the various funds for the year ",F1,"; and")</f>
        <v>maximum expenditures for the various funds for the year 2012; and</v>
      </c>
      <c r="B8" s="33"/>
      <c r="C8" s="33"/>
      <c r="D8" s="33"/>
      <c r="E8" s="33"/>
      <c r="F8" s="33"/>
    </row>
    <row r="9" spans="1:6" ht="15">
      <c r="A9" s="34" t="str">
        <f>CONCATENATE("(3) the Amount(s) of ",F1-1," Ad Valorem Tax are within statutory limitations.")</f>
        <v>(3) the Amount(s) of 2011 Ad Valorem Tax are within statutory limitations.</v>
      </c>
      <c r="B9" s="33"/>
      <c r="C9" s="33"/>
      <c r="D9" s="33"/>
      <c r="E9" s="33"/>
      <c r="F9" s="33"/>
    </row>
    <row r="10" spans="1:6" ht="15">
      <c r="A10" s="22"/>
      <c r="B10" s="22"/>
      <c r="C10" s="22"/>
      <c r="D10" s="124" t="str">
        <f>CONCATENATE("",F1," Adopted Budget")</f>
        <v>2012 Adopted Budget</v>
      </c>
      <c r="E10" s="125"/>
      <c r="F10" s="126"/>
    </row>
    <row r="11" spans="1:6" ht="21" customHeight="1">
      <c r="A11" s="22"/>
      <c r="B11" s="22"/>
      <c r="C11" s="127"/>
      <c r="D11" s="128" t="s">
        <v>262</v>
      </c>
      <c r="E11" s="129" t="s">
        <v>453</v>
      </c>
      <c r="F11" s="129" t="s">
        <v>263</v>
      </c>
    </row>
    <row r="12" spans="1:6" ht="15">
      <c r="A12" s="29"/>
      <c r="B12" s="22"/>
      <c r="C12" s="129" t="s">
        <v>264</v>
      </c>
      <c r="D12" s="130"/>
      <c r="E12" s="131" t="str">
        <f>CONCATENATE("",F1-1," Ad")</f>
        <v>2011 Ad</v>
      </c>
      <c r="F12" s="130" t="s">
        <v>265</v>
      </c>
    </row>
    <row r="13" spans="1:6" ht="15">
      <c r="A13" s="132" t="s">
        <v>266</v>
      </c>
      <c r="B13" s="56"/>
      <c r="C13" s="133" t="s">
        <v>267</v>
      </c>
      <c r="D13" s="133" t="s">
        <v>310</v>
      </c>
      <c r="E13" s="134" t="s">
        <v>454</v>
      </c>
      <c r="F13" s="133" t="s">
        <v>268</v>
      </c>
    </row>
    <row r="14" spans="1:6" ht="15">
      <c r="A14" s="135" t="str">
        <f>CONCATENATE("Computation to Determine Limit for ",F1,"")</f>
        <v>Computation to Determine Limit for 2012</v>
      </c>
      <c r="B14" s="79"/>
      <c r="C14" s="136">
        <v>2</v>
      </c>
      <c r="D14" s="137"/>
      <c r="E14" s="137"/>
      <c r="F14" s="137"/>
    </row>
    <row r="15" spans="1:6" ht="15">
      <c r="A15" s="135" t="s">
        <v>543</v>
      </c>
      <c r="B15" s="56"/>
      <c r="C15" s="133">
        <v>3</v>
      </c>
      <c r="D15" s="130"/>
      <c r="E15" s="130"/>
      <c r="F15" s="130"/>
    </row>
    <row r="16" spans="1:6" ht="15">
      <c r="A16" s="135" t="s">
        <v>412</v>
      </c>
      <c r="B16" s="56"/>
      <c r="C16" s="133">
        <v>4</v>
      </c>
      <c r="D16" s="130"/>
      <c r="E16" s="130"/>
      <c r="F16" s="130"/>
    </row>
    <row r="17" spans="1:6" ht="15">
      <c r="A17" s="135" t="s">
        <v>269</v>
      </c>
      <c r="B17" s="79"/>
      <c r="C17" s="136">
        <v>5</v>
      </c>
      <c r="D17" s="138"/>
      <c r="E17" s="138"/>
      <c r="F17" s="138"/>
    </row>
    <row r="18" spans="1:6" ht="15">
      <c r="A18" s="135" t="s">
        <v>270</v>
      </c>
      <c r="B18" s="79"/>
      <c r="C18" s="136">
        <v>6</v>
      </c>
      <c r="D18" s="138"/>
      <c r="E18" s="138"/>
      <c r="F18" s="138"/>
    </row>
    <row r="19" spans="1:6" ht="15">
      <c r="A19" s="139" t="s">
        <v>271</v>
      </c>
      <c r="B19" s="140" t="s">
        <v>272</v>
      </c>
      <c r="C19" s="141"/>
      <c r="D19" s="71"/>
      <c r="E19" s="71"/>
      <c r="F19" s="71"/>
    </row>
    <row r="20" spans="1:6" ht="15">
      <c r="A20" s="47" t="str">
        <f>inputPrYr!B17</f>
        <v>General</v>
      </c>
      <c r="B20" s="142" t="str">
        <f>IF(inputPrYr!C17&gt;0,(inputPrYr!C17),"  ")</f>
        <v>12-101a</v>
      </c>
      <c r="C20" s="136">
        <v>7</v>
      </c>
      <c r="D20" s="70">
        <f>IF(general!$G$110&lt;&gt;0,general!$G$110,"  ")</f>
        <v>46057</v>
      </c>
      <c r="E20" s="70">
        <f>IF(general!$G$116&lt;&gt;0,general!$G$116,"  ")</f>
        <v>13596</v>
      </c>
      <c r="F20" s="143" t="str">
        <f>IF(AND(general!G116=0,$D$52&gt;=0)," ",IF(AND(E20&gt;0,$D$52=0)," ",IF(AND(E20&gt;0,$D$52&gt;0),ROUND(E20/$D$52*1000,3))))</f>
        <v> </v>
      </c>
    </row>
    <row r="21" spans="1:6" ht="15">
      <c r="A21" s="70" t="str">
        <f>IF(inputPrYr!$B18&gt;"  ",(inputPrYr!$B18),"  ")</f>
        <v>Debt Service</v>
      </c>
      <c r="B21" s="142" t="str">
        <f>IF(inputPrYr!C18&gt;0,(inputPrYr!C18),"  ")</f>
        <v>10-113</v>
      </c>
      <c r="C21" s="136">
        <f>IF(DebtService!C61=0,"",DebtService!C61)</f>
      </c>
      <c r="D21" s="70" t="str">
        <f>IF(DebtService!$G$53&lt;&gt;0,DebtService!$G$53,"  ")</f>
        <v>  </v>
      </c>
      <c r="E21" s="70" t="str">
        <f>IF(DebtService!$G$59&lt;&gt;0,DebtService!$G$59,"  ")</f>
        <v>  </v>
      </c>
      <c r="F21" s="143" t="str">
        <f>IF(AND(DebtService!G59=0,$D$52&gt;=0)," ",IF(AND(E21&gt;0,$D$52=0)," ",IF(AND(E21&gt;0,$D$52&gt;0),ROUND(E21/$D$52*1000,3))))</f>
        <v> </v>
      </c>
    </row>
    <row r="22" spans="1:6" ht="15">
      <c r="A22" s="70" t="str">
        <f>IF(inputPrYr!$B20&gt;"  ",(inputPrYr!$B20),"  ")</f>
        <v>Library</v>
      </c>
      <c r="B22" s="142" t="str">
        <f>IF(inputPrYr!C20&gt;0,(inputPrYr!C20),"  ")</f>
        <v>  </v>
      </c>
      <c r="C22" s="136">
        <f>IF('levy page9'!C75&gt;0,'levy page9'!C75,"  ")</f>
        <v>8</v>
      </c>
      <c r="D22" s="70" t="str">
        <f>IF('levy page9'!$G$32&gt;0,'levy page9'!$G$32,"  ")</f>
        <v>  </v>
      </c>
      <c r="E22" s="70" t="str">
        <f>IF('levy page9'!$G$38&lt;&gt;0,'levy page9'!$G$38,"  ")</f>
        <v>  </v>
      </c>
      <c r="F22" s="143" t="str">
        <f>IF(AND('levy page9'!$G$38=0,$D$52&gt;=0)," ",IF(AND(E22&gt;0,$D$52=0)," ",IF(AND(E22&gt;0,$D$52&gt;0),ROUND(E22/$D$52*1000,3))))</f>
        <v> </v>
      </c>
    </row>
    <row r="23" spans="1:6" ht="15">
      <c r="A23" s="70" t="str">
        <f>IF(inputPrYr!$B21&gt;"  ",(inputPrYr!$B21),"  ")</f>
        <v>Employee Benefits</v>
      </c>
      <c r="B23" s="142" t="str">
        <f>IF(inputPrYr!C21&gt;0,(inputPrYr!C21),"  ")</f>
        <v>  </v>
      </c>
      <c r="C23" s="136">
        <f>IF('levy page9'!C75&gt;0,'levy page9'!C75,"  ")</f>
        <v>8</v>
      </c>
      <c r="D23" s="70" t="str">
        <f>IF('levy page9'!$G$68&gt;0,'levy page9'!$G$68,"  ")</f>
        <v>  </v>
      </c>
      <c r="E23" s="70" t="str">
        <f>IF('levy page9'!$G$74&lt;&gt;0,'levy page9'!$G$74,"  ")</f>
        <v>  </v>
      </c>
      <c r="F23" s="143" t="str">
        <f>IF(AND('levy page9'!$G$74=0,$D$52&gt;=0)," ",IF(AND(E23&gt;0,$D$52=0)," ",IF(AND(E23&gt;0,$D$52&gt;0),ROUND(E23/$D$52*1000,3))))</f>
        <v> </v>
      </c>
    </row>
    <row r="24" spans="1:6" ht="15">
      <c r="A24" s="70" t="str">
        <f>IF(inputPrYr!$B22&gt;"  ",(inputPrYr!$B22),"  ")</f>
        <v>  </v>
      </c>
      <c r="B24" s="142" t="str">
        <f>IF(inputPrYr!C22&gt;0,(inputPrYr!C22),"  ")</f>
        <v>  </v>
      </c>
      <c r="C24" s="136" t="str">
        <f>IF('levy page10'!C76&gt;0,'levy page10'!C76,"  ")</f>
        <v>  </v>
      </c>
      <c r="D24" s="70" t="str">
        <f>IF('levy page10'!$G$32&gt;0,'levy page10'!$G$32,"  ")</f>
        <v>  </v>
      </c>
      <c r="E24" s="70" t="str">
        <f>IF('levy page10'!$G$38&lt;&gt;0,'levy page10'!$G$38,"  ")</f>
        <v>  </v>
      </c>
      <c r="F24" s="143" t="str">
        <f>IF(AND('levy page10'!$G$38=0,$D$52&gt;=0)," ",IF(AND(E24&gt;0,$D$52=0)," ",IF(AND(E24&gt;0,$D$52&gt;0),ROUND(E24/$D$52*1000,3))))</f>
        <v> </v>
      </c>
    </row>
    <row r="25" spans="1:6" ht="15">
      <c r="A25" s="70" t="str">
        <f>IF(inputPrYr!$B23&gt;"  ",(inputPrYr!$B23),"  ")</f>
        <v>  </v>
      </c>
      <c r="B25" s="142" t="str">
        <f>IF(inputPrYr!C23&gt;0,(inputPrYr!C23),"  ")</f>
        <v>  </v>
      </c>
      <c r="C25" s="136" t="str">
        <f>IF('levy page10'!C76&gt;0,'levy page10'!C76,"  ")</f>
        <v>  </v>
      </c>
      <c r="D25" s="70" t="str">
        <f>IF('levy page10'!$G$68&gt;0,'levy page10'!$G$68,"  ")</f>
        <v>  </v>
      </c>
      <c r="E25" s="70" t="str">
        <f>IF('levy page10'!$G$74&lt;&gt;0,'levy page10'!$G$74,"  ")</f>
        <v>  </v>
      </c>
      <c r="F25" s="143" t="str">
        <f>IF(AND('levy page10'!$G$74=0,$D$52&gt;=0)," ",IF(AND(E25&gt;0,$D$52=0)," ",IF(AND(E25&gt;0,$D$52&gt;0),ROUND(E25/$D$52*1000,3))))</f>
        <v> </v>
      </c>
    </row>
    <row r="26" spans="1:6" ht="15">
      <c r="A26" s="70" t="str">
        <f>IF(inputPrYr!$B24&gt;"  ",(inputPrYr!$B24),"  ")</f>
        <v>  </v>
      </c>
      <c r="B26" s="142" t="str">
        <f>IF(inputPrYr!C24&gt;0,(inputPrYr!C24),"  ")</f>
        <v>  </v>
      </c>
      <c r="C26" s="136" t="str">
        <f>IF('levy page11'!C76&gt;0,'levy page11'!C76,"  ")</f>
        <v>  </v>
      </c>
      <c r="D26" s="70" t="str">
        <f>IF('levy page11'!$G$32&gt;0,'levy page11'!$G$32,"  ")</f>
        <v>  </v>
      </c>
      <c r="E26" s="70" t="str">
        <f>IF('levy page11'!$G$38&lt;&gt;0,'levy page11'!$G$38,"  ")</f>
        <v>  </v>
      </c>
      <c r="F26" s="143" t="str">
        <f>IF(AND('levy page11'!$G$38=0,$D$52&gt;=0)," ",IF(AND(E26&gt;0,$D$52=0)," ",IF(AND(E26&gt;0,$D$52&gt;0),ROUND(E26/$D$52*1000,3))))</f>
        <v> </v>
      </c>
    </row>
    <row r="27" spans="1:6" ht="15">
      <c r="A27" s="70" t="str">
        <f>IF(inputPrYr!$B25&gt;"  ",(inputPrYr!$B25),"  ")</f>
        <v>  </v>
      </c>
      <c r="B27" s="142" t="str">
        <f>IF(inputPrYr!C25&gt;0,(inputPrYr!C25),"  ")</f>
        <v>  </v>
      </c>
      <c r="C27" s="136" t="str">
        <f>IF('levy page11'!C76&gt;0,'levy page11'!C76,"  ")</f>
        <v>  </v>
      </c>
      <c r="D27" s="70" t="str">
        <f>IF('levy page11'!$G$68&gt;0,'levy page11'!$G$68,"  ")</f>
        <v>  </v>
      </c>
      <c r="E27" s="70" t="str">
        <f>IF('levy page11'!$G$74&lt;&gt;0,'levy page11'!$G$74,"  ")</f>
        <v>  </v>
      </c>
      <c r="F27" s="143" t="str">
        <f>IF(AND('levy page11'!$G$74=0,$D$52&gt;=0)," ",IF(AND(E27&gt;0,$D$52=0)," ",IF(AND(E27&gt;0,$D$52&gt;0),ROUND(E27/$D$52*1000,3))))</f>
        <v> </v>
      </c>
    </row>
    <row r="28" spans="1:6" ht="15">
      <c r="A28" s="70" t="str">
        <f>IF(inputPrYr!$B26&gt;"  ",(inputPrYr!$B26),"  ")</f>
        <v>  </v>
      </c>
      <c r="B28" s="142" t="str">
        <f>IF(inputPrYr!C26&gt;0,(inputPrYr!C26),"  ")</f>
        <v>  </v>
      </c>
      <c r="C28" s="136" t="str">
        <f>IF('levy page12'!C76&gt;0,'levy page12'!C76,"  ")</f>
        <v>  </v>
      </c>
      <c r="D28" s="70" t="str">
        <f>IF('levy page12'!$G$32&gt;0,'levy page12'!$G$32,"  ")</f>
        <v>  </v>
      </c>
      <c r="E28" s="70" t="str">
        <f>IF('levy page12'!$G$38&lt;&gt;0,'levy page12'!$G$38,"  ")</f>
        <v>  </v>
      </c>
      <c r="F28" s="143" t="str">
        <f>IF(AND('levy page12'!$G$38=0,$D$52&gt;=0)," ",IF(AND(E28&gt;0,$D$52=0)," ",IF(AND(E28&gt;0,$D$52&gt;0),ROUND(E28/$D$52*1000,3))))</f>
        <v> </v>
      </c>
    </row>
    <row r="29" spans="1:6" ht="15">
      <c r="A29" s="70" t="str">
        <f>IF(inputPrYr!$B27&gt;"  ",(inputPrYr!$B27),"  ")</f>
        <v>  </v>
      </c>
      <c r="B29" s="142" t="str">
        <f>IF(inputPrYr!C27&gt;0,(inputPrYr!C27),"  ")</f>
        <v>  </v>
      </c>
      <c r="C29" s="136" t="str">
        <f>IF('levy page12'!C76&gt;0,'levy page12'!C76,"  ")</f>
        <v>  </v>
      </c>
      <c r="D29" s="70" t="str">
        <f>IF('levy page12'!$G$68&gt;0,'levy page12'!$G$68,"  ")</f>
        <v>  </v>
      </c>
      <c r="E29" s="70" t="str">
        <f>IF('levy page12'!$G$74&lt;&gt;0,'levy page12'!$G$74,"  ")</f>
        <v>  </v>
      </c>
      <c r="F29" s="143" t="str">
        <f>IF(AND('levy page12'!$G$74=0,$D$52&gt;=0)," ",IF(AND(E29&gt;0,$D$52=0)," ",IF(AND(E29&gt;0,$D$52&gt;0),ROUND(E29/$D$52*1000,3))))</f>
        <v> </v>
      </c>
    </row>
    <row r="30" spans="1:6" ht="15">
      <c r="A30" s="70" t="str">
        <f>IF(inputPrYr!$B28&gt;"  ",(inputPrYr!$B28),"  ")</f>
        <v>  </v>
      </c>
      <c r="B30" s="142" t="str">
        <f>IF(inputPrYr!C28&gt;0,(inputPrYr!C28),"  ")</f>
        <v>  </v>
      </c>
      <c r="C30" s="136" t="str">
        <f>IF('levy page13'!C76&gt;0,'levy page13'!C76,"  ")</f>
        <v>  </v>
      </c>
      <c r="D30" s="70" t="str">
        <f>IF('levy page13'!$G$32&gt;0,'levy page13'!$G$32,"  ")</f>
        <v>  </v>
      </c>
      <c r="E30" s="70" t="str">
        <f>IF('levy page13'!$G$38&lt;&gt;0,'levy page13'!$G$38,"  ")</f>
        <v>  </v>
      </c>
      <c r="F30" s="143" t="str">
        <f>IF(AND('levy page13'!$G$38=0,$D$52&gt;=0)," ",IF(AND(E30&gt;0,$D$52=0)," ",IF(AND(E30&gt;0,$D$52&gt;0),ROUND(E30/$D$52*1000,3))))</f>
        <v> </v>
      </c>
    </row>
    <row r="31" spans="1:6" ht="15">
      <c r="A31" s="70" t="str">
        <f>IF(inputPrYr!$B29&gt;"  ",(inputPrYr!$B29),"  ")</f>
        <v>  </v>
      </c>
      <c r="B31" s="142" t="str">
        <f>IF(inputPrYr!C29&gt;0,(inputPrYr!C29),"  ")</f>
        <v>  </v>
      </c>
      <c r="C31" s="136" t="str">
        <f>IF('levy page13'!C76&gt;0,'levy page13'!C76,"  ")</f>
        <v>  </v>
      </c>
      <c r="D31" s="70" t="str">
        <f>IF('levy page13'!$G$68&gt;0,'levy page13'!$G$68,"  ")</f>
        <v>  </v>
      </c>
      <c r="E31" s="70" t="str">
        <f>IF('levy page13'!$G$74&lt;&gt;0,'levy page13'!$G$74,"  ")</f>
        <v>  </v>
      </c>
      <c r="F31" s="143" t="str">
        <f>IF(AND('levy page13'!$G$74=0,$D$52&gt;=0)," ",IF(AND(E31&gt;0,$D$52=0)," ",IF(AND(E31&gt;0,$D$52&gt;0),ROUND(E31/$D$52*1000,3))))</f>
        <v> </v>
      </c>
    </row>
    <row r="32" spans="1:6" ht="15">
      <c r="A32" s="144" t="str">
        <f>IF(inputPrYr!$B33&gt;"  ",(inputPrYr!$B33),"  ")</f>
        <v>Special Highway</v>
      </c>
      <c r="B32" s="79"/>
      <c r="C32" s="145">
        <f>IF('Sp Hiway'!C65&gt;0,'Sp Hiway'!C65,"  ")</f>
        <v>9</v>
      </c>
      <c r="D32" s="70">
        <f>IF('Sp Hiway'!$E$28&gt;0,'Sp Hiway'!$E$28,"  ")</f>
        <v>7933</v>
      </c>
      <c r="E32" s="48"/>
      <c r="F32" s="48"/>
    </row>
    <row r="33" spans="1:6" ht="15">
      <c r="A33" s="144" t="str">
        <f>IF(inputPrYr!$B34&gt;"  ",(inputPrYr!$B34),"  ")</f>
        <v>Water</v>
      </c>
      <c r="B33" s="79"/>
      <c r="C33" s="145">
        <f>IF('Sp Hiway'!C65&gt;0,'Sp Hiway'!C65,"  ")</f>
        <v>9</v>
      </c>
      <c r="D33" s="70">
        <f>IF('Sp Hiway'!$E$59&gt;0,'Sp Hiway'!$E$59,"  ")</f>
        <v>32408</v>
      </c>
      <c r="E33" s="48"/>
      <c r="F33" s="48"/>
    </row>
    <row r="34" spans="1:6" ht="15">
      <c r="A34" s="144" t="str">
        <f>IF(inputPrYr!$B35&gt;"  ",(inputPrYr!$B35),"  ")</f>
        <v>Sewer</v>
      </c>
      <c r="B34" s="79"/>
      <c r="C34" s="145">
        <f>IF(nolevypage15!C65&gt;0,nolevypage15!C65,"  ")</f>
        <v>10</v>
      </c>
      <c r="D34" s="70">
        <f>IF(nolevypage15!$E$28&gt;0,nolevypage15!$E$28,"  ")</f>
        <v>17900</v>
      </c>
      <c r="E34" s="48"/>
      <c r="F34" s="48"/>
    </row>
    <row r="35" spans="1:6" ht="15">
      <c r="A35" s="144" t="str">
        <f>IF(inputPrYr!$B36&gt;"  ",(inputPrYr!$B36),"  ")</f>
        <v>Gen-Cap Out-Equip Res Fund</v>
      </c>
      <c r="B35" s="79"/>
      <c r="C35" s="145">
        <f>IF(nolevypage15!C65&gt;0,nolevypage15!C65,"  ")</f>
        <v>10</v>
      </c>
      <c r="D35" s="70">
        <f>IF(nolevypage15!$E$59&gt;0,nolevypage15!$E$59,"  ")</f>
        <v>12486</v>
      </c>
      <c r="E35" s="48"/>
      <c r="F35" s="48"/>
    </row>
    <row r="36" spans="1:6" ht="15">
      <c r="A36" s="144" t="str">
        <f>IF(inputPrYr!$B37&gt;"  ",(inputPrYr!$B37),"  ")</f>
        <v>Water-Cap Out Equip Res Fund</v>
      </c>
      <c r="B36" s="79"/>
      <c r="C36" s="145">
        <f>IF(nolevypage16!C65&gt;0,nolevypage16!C65,"  ")</f>
        <v>11</v>
      </c>
      <c r="D36" s="70">
        <f>IF(nolevypage16!$E$28&gt;0,nolevypage16!$E$28,"  ")</f>
        <v>11000</v>
      </c>
      <c r="E36" s="48"/>
      <c r="F36" s="48"/>
    </row>
    <row r="37" spans="1:6" ht="15">
      <c r="A37" s="146" t="str">
        <f>IF(inputPrYr!$B38&gt;"  ",(inputPrYr!$B38),"  ")</f>
        <v>Sewer-Cap Out Equip Res Fund</v>
      </c>
      <c r="B37" s="79"/>
      <c r="C37" s="145">
        <f>IF(nolevypage16!C65&gt;0,nolevypage16!C65,"  ")</f>
        <v>11</v>
      </c>
      <c r="D37" s="70">
        <f>IF(nolevypage16!$E$59&gt;0,nolevypage16!$E$59,"  ")</f>
        <v>8950</v>
      </c>
      <c r="E37" s="48"/>
      <c r="F37" s="48"/>
    </row>
    <row r="38" spans="1:6" ht="15">
      <c r="A38" s="144" t="str">
        <f>IF(inputPrYr!$B39&gt;"  ",(inputPrYr!$B39),"  ")</f>
        <v>Sp Bldg Cap Out-Res Fund</v>
      </c>
      <c r="B38" s="79"/>
      <c r="C38" s="145">
        <f>IF(nolevypage17!C66&gt;0,nolevypage17!C66,"  ")</f>
        <v>12</v>
      </c>
      <c r="D38" s="70">
        <f>IF(nolevypage17!$E$28&gt;0,nolevypage17!$E$28,"  ")</f>
        <v>10430</v>
      </c>
      <c r="E38" s="48"/>
      <c r="F38" s="48"/>
    </row>
    <row r="39" spans="1:6" ht="15">
      <c r="A39" s="144" t="str">
        <f>IF(inputPrYr!$B40&gt;"  ",(inputPrYr!$B40),"  ")</f>
        <v>  </v>
      </c>
      <c r="B39" s="79"/>
      <c r="C39" s="145">
        <f>IF(nolevypage17!C66&gt;0,nolevypage17!C66,"  ")</f>
        <v>12</v>
      </c>
      <c r="D39" s="70" t="str">
        <f>IF(nolevypage17!$E$60&gt;0,nolevypage17!$E$60,"  ")</f>
        <v>  </v>
      </c>
      <c r="E39" s="48"/>
      <c r="F39" s="48"/>
    </row>
    <row r="40" spans="1:6" ht="15">
      <c r="A40" s="144" t="str">
        <f>IF(inputPrYr!$B42&gt;"  ",(inputPrYr!$B42),"  ")</f>
        <v>  </v>
      </c>
      <c r="B40" s="76"/>
      <c r="C40" s="145" t="str">
        <f>IF(SinNoLevy18!$C$53&gt;0,SinNoLevy18!$C$53,"  ")</f>
        <v>  </v>
      </c>
      <c r="D40" s="70" t="str">
        <f>IF(SinNoLevy18!$E$47&gt;0,SinNoLevy18!$E$47,"  ")</f>
        <v>  </v>
      </c>
      <c r="E40" s="48"/>
      <c r="F40" s="48"/>
    </row>
    <row r="41" spans="1:6" ht="15">
      <c r="A41" s="144" t="str">
        <f>IF(inputPrYr!$B43&gt;"  ",(inputPrYr!$B43),"  ")</f>
        <v>  </v>
      </c>
      <c r="B41" s="76"/>
      <c r="C41" s="145" t="str">
        <f>IF(SinNoLevy19!$C$53&gt;0,SinNoLevy19!$C$53,"  ")</f>
        <v>  </v>
      </c>
      <c r="D41" s="70" t="str">
        <f>IF(SinNoLevy19!$E$47&gt;0,SinNoLevy19!$E$47,"  ")</f>
        <v>  </v>
      </c>
      <c r="E41" s="48"/>
      <c r="F41" s="48"/>
    </row>
    <row r="42" spans="1:6" ht="15">
      <c r="A42" s="144" t="str">
        <f>IF(inputPrYr!$B44&gt;"  ",(inputPrYr!$B44),"  ")</f>
        <v>  </v>
      </c>
      <c r="B42" s="76"/>
      <c r="C42" s="145" t="str">
        <f>IF(SinNoLevy20!$C$53&gt;0,SinNoLevy20!$C$53,"  ")</f>
        <v>  </v>
      </c>
      <c r="D42" s="70" t="str">
        <f>IF(SinNoLevy20!$E$47&gt;0,SinNoLevy20!$E$47,"  ")</f>
        <v>  </v>
      </c>
      <c r="E42" s="48"/>
      <c r="F42" s="48"/>
    </row>
    <row r="43" spans="1:6" ht="15">
      <c r="A43" s="144" t="str">
        <f>IF(inputPrYr!$B45&gt;"  ",(inputPrYr!$B45),"  ")</f>
        <v>  </v>
      </c>
      <c r="B43" s="76"/>
      <c r="C43" s="145" t="str">
        <f>IF(SinNoLevy21!$C$53&gt;0,SinNoLevy21!$C$53,"  ")</f>
        <v>  </v>
      </c>
      <c r="D43" s="70" t="str">
        <f>IF(SinNoLevy21!$E$47&gt;0,SinNoLevy21!$E$47,"  ")</f>
        <v>  </v>
      </c>
      <c r="E43" s="48"/>
      <c r="F43" s="48"/>
    </row>
    <row r="44" spans="1:6" ht="15">
      <c r="A44" s="144" t="str">
        <f>IF(inputPrYr!$B48&gt;"  ",(NonBudA!$A3),"  ")</f>
        <v>  </v>
      </c>
      <c r="B44" s="76"/>
      <c r="C44" s="145" t="str">
        <f>IF(NonBudA!F33&gt;0,NonBudA!F33,"  ")</f>
        <v>  </v>
      </c>
      <c r="D44" s="70"/>
      <c r="E44" s="48"/>
      <c r="F44" s="48"/>
    </row>
    <row r="45" spans="1:6" ht="15">
      <c r="A45" s="144" t="str">
        <f>IF(inputPrYr!$B54&gt;"  ",(NonBudB!$A3),"  ")</f>
        <v>  </v>
      </c>
      <c r="B45" s="76"/>
      <c r="C45" s="145" t="str">
        <f>IF(NonBudB!F33&gt;0,NonBudB!F33,"  ")</f>
        <v>  </v>
      </c>
      <c r="D45" s="70"/>
      <c r="E45" s="48"/>
      <c r="F45" s="48"/>
    </row>
    <row r="46" spans="1:6" ht="15">
      <c r="A46" s="146"/>
      <c r="B46" s="76"/>
      <c r="C46" s="145"/>
      <c r="D46" s="70"/>
      <c r="E46" s="48"/>
      <c r="F46" s="48"/>
    </row>
    <row r="47" spans="1:6" ht="15">
      <c r="A47" s="147" t="s">
        <v>273</v>
      </c>
      <c r="B47" s="76"/>
      <c r="C47" s="136" t="s">
        <v>274</v>
      </c>
      <c r="D47" s="70">
        <f>SUM(D20:D46)</f>
        <v>147164</v>
      </c>
      <c r="E47" s="70">
        <f>SUM(E20:E46)</f>
        <v>13596</v>
      </c>
      <c r="F47" s="148">
        <f>IF(SUM(F20:F46)=0,"",SUM(F20:F46))</f>
      </c>
    </row>
    <row r="48" spans="1:6" ht="15">
      <c r="A48" s="135" t="s">
        <v>519</v>
      </c>
      <c r="B48" s="79"/>
      <c r="C48" s="136">
        <f>summ!D63</f>
        <v>13</v>
      </c>
      <c r="D48" s="149"/>
      <c r="E48" s="22"/>
      <c r="F48" s="22"/>
    </row>
    <row r="49" spans="1:6" ht="15">
      <c r="A49" s="135" t="s">
        <v>551</v>
      </c>
      <c r="B49" s="79"/>
      <c r="C49" s="136">
        <f>IF(nhood!C39&gt;0,nhood!C39,"")</f>
      </c>
      <c r="D49" s="149"/>
      <c r="E49" s="22"/>
      <c r="F49" s="22"/>
    </row>
    <row r="50" spans="1:6" ht="15">
      <c r="A50" s="150" t="s">
        <v>521</v>
      </c>
      <c r="B50" s="151"/>
      <c r="C50" s="152"/>
      <c r="D50" s="153"/>
      <c r="E50" s="154" t="str">
        <f>IF(E47&gt;computation!J40,"Yes","No")</f>
        <v>No</v>
      </c>
      <c r="F50" s="61"/>
    </row>
    <row r="51" spans="1:6" ht="15">
      <c r="A51" s="63"/>
      <c r="B51" s="61"/>
      <c r="C51" s="22"/>
      <c r="D51" s="155" t="s">
        <v>416</v>
      </c>
      <c r="E51" s="61"/>
      <c r="F51" s="61"/>
    </row>
    <row r="52" spans="1:6" ht="15">
      <c r="A52" s="63" t="s">
        <v>275</v>
      </c>
      <c r="B52" s="61"/>
      <c r="C52" s="22"/>
      <c r="D52" s="394"/>
      <c r="E52" s="61"/>
      <c r="F52" s="61"/>
    </row>
    <row r="53" spans="1:6" ht="15">
      <c r="A53" s="395" t="s">
        <v>716</v>
      </c>
      <c r="B53" s="22"/>
      <c r="C53" s="29"/>
      <c r="D53" s="442" t="s">
        <v>520</v>
      </c>
      <c r="E53" s="22"/>
      <c r="F53" s="22"/>
    </row>
    <row r="54" spans="1:6" ht="15">
      <c r="A54" s="396" t="s">
        <v>423</v>
      </c>
      <c r="B54" s="61"/>
      <c r="C54" s="22"/>
      <c r="D54" s="443"/>
      <c r="E54" s="304"/>
      <c r="F54" s="304"/>
    </row>
    <row r="55" spans="1:6" ht="15">
      <c r="A55" s="63" t="s">
        <v>431</v>
      </c>
      <c r="B55" s="29"/>
      <c r="C55" s="156"/>
      <c r="D55" s="156"/>
      <c r="E55" s="80"/>
      <c r="F55" s="80"/>
    </row>
    <row r="56" spans="1:6" ht="15">
      <c r="A56" s="395"/>
      <c r="B56" s="157"/>
      <c r="C56" s="56"/>
      <c r="D56" s="56"/>
      <c r="E56" s="158"/>
      <c r="F56" s="158"/>
    </row>
    <row r="57" spans="1:6" ht="15">
      <c r="A57" s="396"/>
      <c r="B57" s="61"/>
      <c r="C57" s="22"/>
      <c r="D57" s="22"/>
      <c r="E57" s="80"/>
      <c r="F57" s="80"/>
    </row>
    <row r="58" spans="1:6" ht="15">
      <c r="A58" s="396"/>
      <c r="B58" s="159"/>
      <c r="C58" s="56"/>
      <c r="D58" s="56"/>
      <c r="E58" s="158"/>
      <c r="F58" s="158"/>
    </row>
    <row r="59" spans="1:6" ht="15">
      <c r="A59" s="29" t="s">
        <v>537</v>
      </c>
      <c r="B59" s="160">
        <f>F1-1</f>
        <v>2011</v>
      </c>
      <c r="C59" s="22"/>
      <c r="D59" s="22"/>
      <c r="E59" s="34"/>
      <c r="F59" s="22"/>
    </row>
    <row r="60" spans="1:6" ht="15">
      <c r="A60" s="127"/>
      <c r="B60" s="22"/>
      <c r="C60" s="56"/>
      <c r="D60" s="56"/>
      <c r="E60" s="56"/>
      <c r="F60" s="56"/>
    </row>
    <row r="61" spans="1:6" ht="15">
      <c r="A61" s="44" t="s">
        <v>277</v>
      </c>
      <c r="B61" s="22"/>
      <c r="C61" s="444" t="s">
        <v>276</v>
      </c>
      <c r="D61" s="445"/>
      <c r="E61" s="445"/>
      <c r="F61" s="445"/>
    </row>
    <row r="62" ht="15">
      <c r="A62" s="8"/>
    </row>
    <row r="72" spans="1:6" ht="15">
      <c r="A72" s="85"/>
      <c r="B72" s="85"/>
      <c r="C72" s="85"/>
      <c r="D72" s="85"/>
      <c r="E72" s="85"/>
      <c r="F72" s="85"/>
    </row>
    <row r="73" spans="1:6" ht="15">
      <c r="A73" s="85"/>
      <c r="B73" s="85"/>
      <c r="C73" s="85"/>
      <c r="D73" s="85"/>
      <c r="E73" s="85"/>
      <c r="F73" s="85"/>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90" spans="1:6" ht="15">
      <c r="A90" s="8"/>
      <c r="B90" s="8"/>
      <c r="C90" s="8"/>
      <c r="D90" s="8"/>
      <c r="E90" s="8"/>
      <c r="F90" s="8"/>
    </row>
  </sheetData>
  <sheetProtection sheet="1" objects="1" scenarios="1"/>
  <mergeCells count="4">
    <mergeCell ref="A5:F5"/>
    <mergeCell ref="A3:F3"/>
    <mergeCell ref="D53:D54"/>
    <mergeCell ref="C61:F61"/>
  </mergeCells>
  <printOptions/>
  <pageMargins left="0.5" right="0.5" top="1" bottom="0.5" header="0.5" footer="0.25"/>
  <pageSetup blackAndWhite="1" fitToHeight="1" fitToWidth="1" horizontalDpi="300" verticalDpi="300" orientation="portrait" scale="68" r:id="rId1"/>
  <headerFooter alignWithMargins="0">
    <oddHeader>&amp;RState of Kansas
City
</oddHeader>
    <oddFooter>&amp;Lrevised 10/02/09&amp;CPage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O27" sqref="O27"/>
    </sheetView>
  </sheetViews>
  <sheetFormatPr defaultColWidth="8.8984375" defaultRowHeight="15.75" customHeight="1"/>
  <cols>
    <col min="1" max="2" width="3.296875" style="8" customWidth="1"/>
    <col min="3" max="3" width="31.296875" style="8" customWidth="1"/>
    <col min="4" max="4" width="2.296875" style="8" customWidth="1"/>
    <col min="5" max="5" width="15.69921875" style="8" customWidth="1"/>
    <col min="6" max="6" width="2" style="8" customWidth="1"/>
    <col min="7" max="7" width="15.69921875" style="8" customWidth="1"/>
    <col min="8" max="8" width="1.8984375" style="8" customWidth="1"/>
    <col min="9" max="9" width="1.69921875" style="8" customWidth="1"/>
    <col min="10" max="10" width="15.69921875" style="8" customWidth="1"/>
    <col min="11" max="16384" width="8.8984375" style="8" customWidth="1"/>
  </cols>
  <sheetData>
    <row r="1" spans="1:10" ht="15.75" customHeight="1">
      <c r="A1" s="22"/>
      <c r="B1" s="22"/>
      <c r="C1" s="162" t="str">
        <f>inputPrYr!D2</f>
        <v>CITY OF BURR OAK</v>
      </c>
      <c r="D1" s="22"/>
      <c r="E1" s="22"/>
      <c r="F1" s="22"/>
      <c r="G1" s="22"/>
      <c r="H1" s="22"/>
      <c r="I1" s="22"/>
      <c r="J1" s="22">
        <f>inputPrYr!$C$5</f>
        <v>2012</v>
      </c>
    </row>
    <row r="2" spans="1:10" ht="15.75" customHeight="1">
      <c r="A2" s="22"/>
      <c r="B2" s="22"/>
      <c r="C2" s="22"/>
      <c r="D2" s="22"/>
      <c r="E2" s="22"/>
      <c r="F2" s="22"/>
      <c r="G2" s="22"/>
      <c r="H2" s="22"/>
      <c r="I2" s="22"/>
      <c r="J2" s="22"/>
    </row>
    <row r="3" spans="1:10" ht="15">
      <c r="A3" s="449" t="str">
        <f>CONCATENATE("Computation to Determine Limit for ",J1,"")</f>
        <v>Computation to Determine Limit for 2012</v>
      </c>
      <c r="B3" s="450"/>
      <c r="C3" s="450"/>
      <c r="D3" s="450"/>
      <c r="E3" s="450"/>
      <c r="F3" s="450"/>
      <c r="G3" s="450"/>
      <c r="H3" s="450"/>
      <c r="I3" s="450"/>
      <c r="J3" s="450"/>
    </row>
    <row r="4" spans="1:10" ht="15">
      <c r="A4" s="22"/>
      <c r="B4" s="22"/>
      <c r="C4" s="22"/>
      <c r="D4" s="22"/>
      <c r="E4" s="450"/>
      <c r="F4" s="450"/>
      <c r="G4" s="450"/>
      <c r="H4" s="163"/>
      <c r="I4" s="22"/>
      <c r="J4" s="164" t="s">
        <v>361</v>
      </c>
    </row>
    <row r="5" spans="1:10" ht="15">
      <c r="A5" s="165" t="s">
        <v>362</v>
      </c>
      <c r="B5" s="22" t="str">
        <f>CONCATENATE("Total Tax Levy Amount in ",J1-1," Budget")</f>
        <v>Total Tax Levy Amount in 2011 Budget</v>
      </c>
      <c r="C5" s="22"/>
      <c r="D5" s="22"/>
      <c r="E5" s="51"/>
      <c r="F5" s="51"/>
      <c r="G5" s="51"/>
      <c r="H5" s="166" t="s">
        <v>363</v>
      </c>
      <c r="I5" s="51" t="s">
        <v>364</v>
      </c>
      <c r="J5" s="167">
        <f>inputPrYr!E30</f>
        <v>13414</v>
      </c>
    </row>
    <row r="6" spans="1:10" ht="15">
      <c r="A6" s="165" t="s">
        <v>365</v>
      </c>
      <c r="B6" s="22" t="str">
        <f>CONCATENATE("Debt Service Levy in ",J1-1," Budget")</f>
        <v>Debt Service Levy in 2011 Budget</v>
      </c>
      <c r="C6" s="22"/>
      <c r="D6" s="22"/>
      <c r="E6" s="51"/>
      <c r="F6" s="51"/>
      <c r="G6" s="51"/>
      <c r="H6" s="166" t="s">
        <v>366</v>
      </c>
      <c r="I6" s="51" t="s">
        <v>364</v>
      </c>
      <c r="J6" s="57">
        <f>inputPrYr!E18</f>
        <v>0</v>
      </c>
    </row>
    <row r="7" spans="1:10" ht="15">
      <c r="A7" s="165" t="s">
        <v>393</v>
      </c>
      <c r="B7" s="41" t="s">
        <v>390</v>
      </c>
      <c r="C7" s="22"/>
      <c r="D7" s="22"/>
      <c r="E7" s="51"/>
      <c r="F7" s="51"/>
      <c r="G7" s="51"/>
      <c r="H7" s="51"/>
      <c r="I7" s="51" t="s">
        <v>364</v>
      </c>
      <c r="J7" s="57">
        <f>J5-J6</f>
        <v>13414</v>
      </c>
    </row>
    <row r="8" spans="1:10" ht="15">
      <c r="A8" s="22"/>
      <c r="B8" s="22"/>
      <c r="C8" s="22"/>
      <c r="D8" s="22"/>
      <c r="E8" s="51"/>
      <c r="F8" s="51"/>
      <c r="G8" s="51"/>
      <c r="H8" s="51"/>
      <c r="I8" s="51"/>
      <c r="J8" s="51"/>
    </row>
    <row r="9" spans="1:10" ht="15">
      <c r="A9" s="22"/>
      <c r="B9" s="41" t="str">
        <f>CONCATENATE("",J1-1," Valuation Information for Valuation Adjustments:")</f>
        <v>2011 Valuation Information for Valuation Adjustments:</v>
      </c>
      <c r="C9" s="22"/>
      <c r="D9" s="22"/>
      <c r="E9" s="51"/>
      <c r="F9" s="51"/>
      <c r="G9" s="51"/>
      <c r="H9" s="51"/>
      <c r="I9" s="51"/>
      <c r="J9" s="51"/>
    </row>
    <row r="10" spans="1:10" ht="15">
      <c r="A10" s="22"/>
      <c r="B10" s="22"/>
      <c r="C10" s="41"/>
      <c r="D10" s="22"/>
      <c r="E10" s="51"/>
      <c r="F10" s="51"/>
      <c r="G10" s="51"/>
      <c r="H10" s="51"/>
      <c r="I10" s="51"/>
      <c r="J10" s="51"/>
    </row>
    <row r="11" spans="1:10" ht="15">
      <c r="A11" s="165" t="s">
        <v>367</v>
      </c>
      <c r="B11" s="41" t="str">
        <f>CONCATENATE("New Improvements for ",J1-1,":")</f>
        <v>New Improvements for 2011:</v>
      </c>
      <c r="C11" s="22"/>
      <c r="D11" s="22"/>
      <c r="E11" s="166"/>
      <c r="F11" s="166" t="s">
        <v>363</v>
      </c>
      <c r="G11" s="167">
        <f>inputOth!E7</f>
        <v>0</v>
      </c>
      <c r="H11" s="59"/>
      <c r="I11" s="51"/>
      <c r="J11" s="51"/>
    </row>
    <row r="12" spans="1:10" ht="15">
      <c r="A12" s="165"/>
      <c r="B12" s="168"/>
      <c r="C12" s="22"/>
      <c r="D12" s="22"/>
      <c r="E12" s="166"/>
      <c r="F12" s="166"/>
      <c r="G12" s="59"/>
      <c r="H12" s="59"/>
      <c r="I12" s="51"/>
      <c r="J12" s="51"/>
    </row>
    <row r="13" spans="1:10" ht="15">
      <c r="A13" s="165" t="s">
        <v>368</v>
      </c>
      <c r="B13" s="41" t="str">
        <f>CONCATENATE("Increase in Personal Property for ",J1-1,":")</f>
        <v>Increase in Personal Property for 2011:</v>
      </c>
      <c r="C13" s="22"/>
      <c r="D13" s="22"/>
      <c r="E13" s="166"/>
      <c r="F13" s="166"/>
      <c r="G13" s="59"/>
      <c r="H13" s="59"/>
      <c r="I13" s="51"/>
      <c r="J13" s="51"/>
    </row>
    <row r="14" spans="1:10" ht="15">
      <c r="A14" s="123"/>
      <c r="B14" s="22" t="s">
        <v>369</v>
      </c>
      <c r="C14" s="22" t="str">
        <f>CONCATENATE("Personal Property ",J1-1,"")</f>
        <v>Personal Property 2011</v>
      </c>
      <c r="D14" s="168" t="s">
        <v>363</v>
      </c>
      <c r="E14" s="167">
        <f>inputOth!E8</f>
        <v>27906</v>
      </c>
      <c r="F14" s="166"/>
      <c r="G14" s="51"/>
      <c r="H14" s="51"/>
      <c r="I14" s="59"/>
      <c r="J14" s="51"/>
    </row>
    <row r="15" spans="1:10" ht="15">
      <c r="A15" s="168"/>
      <c r="B15" s="22" t="s">
        <v>370</v>
      </c>
      <c r="C15" s="22" t="str">
        <f>CONCATENATE("Personal Property ",J1-2,"")</f>
        <v>Personal Property 2010</v>
      </c>
      <c r="D15" s="168" t="s">
        <v>366</v>
      </c>
      <c r="E15" s="57">
        <f>inputOth!E14</f>
        <v>22104</v>
      </c>
      <c r="F15" s="166"/>
      <c r="G15" s="59"/>
      <c r="H15" s="59"/>
      <c r="I15" s="51"/>
      <c r="J15" s="51"/>
    </row>
    <row r="16" spans="1:10" ht="15">
      <c r="A16" s="168"/>
      <c r="B16" s="22" t="s">
        <v>371</v>
      </c>
      <c r="C16" s="22" t="s">
        <v>392</v>
      </c>
      <c r="D16" s="22"/>
      <c r="E16" s="51"/>
      <c r="F16" s="51" t="s">
        <v>363</v>
      </c>
      <c r="G16" s="167">
        <f>IF(E14&gt;E15,E14-E15,0)</f>
        <v>5802</v>
      </c>
      <c r="H16" s="59"/>
      <c r="I16" s="51"/>
      <c r="J16" s="51"/>
    </row>
    <row r="17" spans="1:10" ht="15">
      <c r="A17" s="168"/>
      <c r="B17" s="168"/>
      <c r="C17" s="22"/>
      <c r="D17" s="22"/>
      <c r="E17" s="51"/>
      <c r="F17" s="51"/>
      <c r="G17" s="59" t="s">
        <v>384</v>
      </c>
      <c r="H17" s="59"/>
      <c r="I17" s="51"/>
      <c r="J17" s="51"/>
    </row>
    <row r="18" spans="1:10" ht="15">
      <c r="A18" s="168" t="s">
        <v>372</v>
      </c>
      <c r="B18" s="41" t="str">
        <f>CONCATENATE("Valuation of annexed territory for ",J1-1,":")</f>
        <v>Valuation of annexed territory for 2011:</v>
      </c>
      <c r="C18" s="22"/>
      <c r="D18" s="22"/>
      <c r="E18" s="59"/>
      <c r="F18" s="51"/>
      <c r="G18" s="51"/>
      <c r="H18" s="51"/>
      <c r="I18" s="51"/>
      <c r="J18" s="51"/>
    </row>
    <row r="19" spans="1:10" ht="15">
      <c r="A19" s="168"/>
      <c r="B19" s="22" t="s">
        <v>373</v>
      </c>
      <c r="C19" s="22" t="s">
        <v>394</v>
      </c>
      <c r="D19" s="168" t="s">
        <v>363</v>
      </c>
      <c r="E19" s="167">
        <f>inputOth!E10</f>
        <v>0</v>
      </c>
      <c r="F19" s="51"/>
      <c r="G19" s="51"/>
      <c r="H19" s="51"/>
      <c r="I19" s="51"/>
      <c r="J19" s="51"/>
    </row>
    <row r="20" spans="1:10" ht="15">
      <c r="A20" s="168"/>
      <c r="B20" s="22" t="s">
        <v>374</v>
      </c>
      <c r="C20" s="22" t="s">
        <v>395</v>
      </c>
      <c r="D20" s="168" t="s">
        <v>363</v>
      </c>
      <c r="E20" s="167">
        <f>inputOth!E11</f>
        <v>0</v>
      </c>
      <c r="F20" s="51"/>
      <c r="G20" s="59"/>
      <c r="H20" s="59"/>
      <c r="I20" s="51"/>
      <c r="J20" s="51"/>
    </row>
    <row r="21" spans="1:10" ht="15">
      <c r="A21" s="168"/>
      <c r="B21" s="22" t="s">
        <v>375</v>
      </c>
      <c r="C21" s="22" t="s">
        <v>391</v>
      </c>
      <c r="D21" s="168" t="s">
        <v>366</v>
      </c>
      <c r="E21" s="167">
        <f>inputOth!E12</f>
        <v>0</v>
      </c>
      <c r="F21" s="51"/>
      <c r="G21" s="59"/>
      <c r="H21" s="59"/>
      <c r="I21" s="51"/>
      <c r="J21" s="51"/>
    </row>
    <row r="22" spans="1:10" ht="15">
      <c r="A22" s="168"/>
      <c r="B22" s="22" t="s">
        <v>376</v>
      </c>
      <c r="C22" s="22" t="s">
        <v>396</v>
      </c>
      <c r="D22" s="168"/>
      <c r="E22" s="59"/>
      <c r="F22" s="51" t="s">
        <v>363</v>
      </c>
      <c r="G22" s="167">
        <f>E19+E20-E21</f>
        <v>0</v>
      </c>
      <c r="H22" s="59"/>
      <c r="I22" s="51"/>
      <c r="J22" s="51"/>
    </row>
    <row r="23" spans="1:10" ht="15">
      <c r="A23" s="168"/>
      <c r="B23" s="168"/>
      <c r="C23" s="22"/>
      <c r="D23" s="168"/>
      <c r="E23" s="59"/>
      <c r="F23" s="51"/>
      <c r="G23" s="59"/>
      <c r="H23" s="59"/>
      <c r="I23" s="51"/>
      <c r="J23" s="51"/>
    </row>
    <row r="24" spans="1:10" ht="15">
      <c r="A24" s="168" t="s">
        <v>377</v>
      </c>
      <c r="B24" s="41" t="str">
        <f>CONCATENATE("Valuation of Property that has Changed in Use during ",J1-1,":")</f>
        <v>Valuation of Property that has Changed in Use during 2011:</v>
      </c>
      <c r="C24" s="22"/>
      <c r="D24" s="22"/>
      <c r="E24" s="51"/>
      <c r="F24" s="51"/>
      <c r="G24" s="51">
        <f>inputOth!E13</f>
        <v>0</v>
      </c>
      <c r="H24" s="51"/>
      <c r="I24" s="51"/>
      <c r="J24" s="51"/>
    </row>
    <row r="25" spans="1:10" ht="15">
      <c r="A25" s="22" t="s">
        <v>262</v>
      </c>
      <c r="B25" s="22"/>
      <c r="C25" s="22"/>
      <c r="D25" s="168"/>
      <c r="E25" s="59"/>
      <c r="F25" s="51"/>
      <c r="G25" s="169"/>
      <c r="H25" s="59"/>
      <c r="I25" s="51"/>
      <c r="J25" s="51"/>
    </row>
    <row r="26" spans="1:10" ht="15">
      <c r="A26" s="168" t="s">
        <v>378</v>
      </c>
      <c r="B26" s="41" t="s">
        <v>397</v>
      </c>
      <c r="C26" s="22"/>
      <c r="D26" s="22"/>
      <c r="E26" s="51"/>
      <c r="F26" s="51"/>
      <c r="G26" s="167">
        <f>G11+G16+G22+G24</f>
        <v>5802</v>
      </c>
      <c r="H26" s="59"/>
      <c r="I26" s="51"/>
      <c r="J26" s="51"/>
    </row>
    <row r="27" spans="1:10" ht="15">
      <c r="A27" s="168"/>
      <c r="B27" s="168"/>
      <c r="C27" s="41"/>
      <c r="D27" s="22"/>
      <c r="E27" s="51"/>
      <c r="F27" s="51"/>
      <c r="G27" s="59"/>
      <c r="H27" s="59"/>
      <c r="I27" s="51"/>
      <c r="J27" s="51"/>
    </row>
    <row r="28" spans="1:10" ht="15">
      <c r="A28" s="168" t="s">
        <v>379</v>
      </c>
      <c r="B28" s="22" t="str">
        <f>CONCATENATE("Total Estimated Valuation July 1, ",J1-1,"")</f>
        <v>Total Estimated Valuation July 1, 2011</v>
      </c>
      <c r="C28" s="22"/>
      <c r="D28" s="22"/>
      <c r="E28" s="167">
        <f>inputOth!E6</f>
        <v>434526</v>
      </c>
      <c r="F28" s="51"/>
      <c r="G28" s="51"/>
      <c r="H28" s="51"/>
      <c r="I28" s="166"/>
      <c r="J28" s="51"/>
    </row>
    <row r="29" spans="1:10" ht="15">
      <c r="A29" s="168"/>
      <c r="B29" s="168"/>
      <c r="C29" s="22"/>
      <c r="D29" s="22"/>
      <c r="E29" s="59"/>
      <c r="F29" s="51"/>
      <c r="G29" s="51"/>
      <c r="H29" s="51"/>
      <c r="I29" s="166"/>
      <c r="J29" s="51"/>
    </row>
    <row r="30" spans="1:10" ht="15">
      <c r="A30" s="168" t="s">
        <v>380</v>
      </c>
      <c r="B30" s="41" t="s">
        <v>398</v>
      </c>
      <c r="C30" s="22"/>
      <c r="D30" s="22"/>
      <c r="E30" s="51"/>
      <c r="F30" s="51"/>
      <c r="G30" s="167">
        <f>E28-G26</f>
        <v>428724</v>
      </c>
      <c r="H30" s="59"/>
      <c r="I30" s="166"/>
      <c r="J30" s="51"/>
    </row>
    <row r="31" spans="1:10" ht="15">
      <c r="A31" s="168"/>
      <c r="B31" s="168"/>
      <c r="C31" s="41"/>
      <c r="D31" s="22"/>
      <c r="E31" s="22"/>
      <c r="F31" s="22"/>
      <c r="G31" s="96"/>
      <c r="H31" s="61"/>
      <c r="I31" s="168"/>
      <c r="J31" s="22"/>
    </row>
    <row r="32" spans="1:10" ht="15">
      <c r="A32" s="168" t="s">
        <v>381</v>
      </c>
      <c r="B32" s="22" t="s">
        <v>399</v>
      </c>
      <c r="C32" s="22"/>
      <c r="D32" s="22"/>
      <c r="E32" s="22"/>
      <c r="F32" s="22"/>
      <c r="G32" s="170">
        <f>IF(G30&gt;0,G26/G30,0)</f>
        <v>0.013533182187141378</v>
      </c>
      <c r="H32" s="61"/>
      <c r="I32" s="22"/>
      <c r="J32" s="22"/>
    </row>
    <row r="33" spans="1:10" ht="15">
      <c r="A33" s="168"/>
      <c r="B33" s="168"/>
      <c r="C33" s="22"/>
      <c r="D33" s="22"/>
      <c r="E33" s="22"/>
      <c r="F33" s="22"/>
      <c r="G33" s="61"/>
      <c r="H33" s="61"/>
      <c r="I33" s="22"/>
      <c r="J33" s="22"/>
    </row>
    <row r="34" spans="1:10" ht="15">
      <c r="A34" s="168" t="s">
        <v>382</v>
      </c>
      <c r="B34" s="22" t="s">
        <v>400</v>
      </c>
      <c r="C34" s="22"/>
      <c r="D34" s="22"/>
      <c r="E34" s="22"/>
      <c r="F34" s="22"/>
      <c r="G34" s="61"/>
      <c r="H34" s="171" t="s">
        <v>363</v>
      </c>
      <c r="I34" s="22" t="s">
        <v>364</v>
      </c>
      <c r="J34" s="167">
        <f>ROUND(G32*J7,0)</f>
        <v>182</v>
      </c>
    </row>
    <row r="35" spans="1:10" ht="15">
      <c r="A35" s="168"/>
      <c r="B35" s="168"/>
      <c r="C35" s="22"/>
      <c r="D35" s="22"/>
      <c r="E35" s="22"/>
      <c r="F35" s="22"/>
      <c r="G35" s="61"/>
      <c r="H35" s="171"/>
      <c r="I35" s="22"/>
      <c r="J35" s="59"/>
    </row>
    <row r="36" spans="1:10" ht="15.75" thickBot="1">
      <c r="A36" s="168" t="s">
        <v>383</v>
      </c>
      <c r="B36" s="41" t="s">
        <v>406</v>
      </c>
      <c r="C36" s="22"/>
      <c r="D36" s="22"/>
      <c r="E36" s="22"/>
      <c r="F36" s="22"/>
      <c r="G36" s="22"/>
      <c r="H36" s="22"/>
      <c r="I36" s="22" t="s">
        <v>364</v>
      </c>
      <c r="J36" s="172">
        <f>J7+J34</f>
        <v>13596</v>
      </c>
    </row>
    <row r="37" spans="1:10" ht="15.75" thickTop="1">
      <c r="A37" s="22"/>
      <c r="B37" s="22"/>
      <c r="C37" s="22"/>
      <c r="D37" s="22"/>
      <c r="E37" s="22"/>
      <c r="F37" s="22"/>
      <c r="G37" s="22"/>
      <c r="H37" s="22"/>
      <c r="I37" s="22"/>
      <c r="J37" s="22"/>
    </row>
    <row r="38" spans="1:10" ht="15">
      <c r="A38" s="168" t="s">
        <v>404</v>
      </c>
      <c r="B38" s="41" t="str">
        <f>CONCATENATE("Debt Service Levy in this ",J1," Budget")</f>
        <v>Debt Service Levy in this 2012 Budget</v>
      </c>
      <c r="C38" s="22"/>
      <c r="D38" s="22"/>
      <c r="E38" s="22"/>
      <c r="F38" s="22"/>
      <c r="G38" s="22"/>
      <c r="H38" s="22"/>
      <c r="I38" s="22"/>
      <c r="J38" s="173">
        <f>DebtService!G59</f>
        <v>0</v>
      </c>
    </row>
    <row r="39" spans="1:10" ht="15">
      <c r="A39" s="168"/>
      <c r="B39" s="41"/>
      <c r="C39" s="22"/>
      <c r="D39" s="22"/>
      <c r="E39" s="22"/>
      <c r="F39" s="22"/>
      <c r="G39" s="22"/>
      <c r="H39" s="22"/>
      <c r="I39" s="22"/>
      <c r="J39" s="61"/>
    </row>
    <row r="40" spans="1:10" ht="15.75" thickBot="1">
      <c r="A40" s="168" t="s">
        <v>405</v>
      </c>
      <c r="B40" s="41" t="s">
        <v>407</v>
      </c>
      <c r="C40" s="22"/>
      <c r="D40" s="22"/>
      <c r="E40" s="22"/>
      <c r="F40" s="22"/>
      <c r="G40" s="22"/>
      <c r="H40" s="22"/>
      <c r="I40" s="22"/>
      <c r="J40" s="172">
        <f>J36+J38</f>
        <v>13596</v>
      </c>
    </row>
    <row r="41" spans="1:10" ht="15.75" thickTop="1">
      <c r="A41" s="22"/>
      <c r="B41" s="22"/>
      <c r="C41" s="22"/>
      <c r="D41" s="22"/>
      <c r="E41" s="22"/>
      <c r="F41" s="22"/>
      <c r="G41" s="22"/>
      <c r="H41" s="22"/>
      <c r="I41" s="22"/>
      <c r="J41" s="22"/>
    </row>
    <row r="42" spans="1:10" s="174" customFormat="1" ht="18">
      <c r="A42" s="447" t="str">
        <f>CONCATENATE("If the ",J1," budget includes tax levies exceeding the total on line 15, you must")</f>
        <v>If the 2012 budget includes tax levies exceeding the total on line 15, you must</v>
      </c>
      <c r="B42" s="447"/>
      <c r="C42" s="447"/>
      <c r="D42" s="447"/>
      <c r="E42" s="447"/>
      <c r="F42" s="447"/>
      <c r="G42" s="447"/>
      <c r="H42" s="447"/>
      <c r="I42" s="447"/>
      <c r="J42" s="447"/>
    </row>
    <row r="43" spans="1:10" s="174" customFormat="1" ht="18">
      <c r="A43" s="448" t="s">
        <v>482</v>
      </c>
      <c r="B43" s="448"/>
      <c r="C43" s="448"/>
      <c r="D43" s="448"/>
      <c r="E43" s="448"/>
      <c r="F43" s="448"/>
      <c r="G43" s="448"/>
      <c r="H43" s="448"/>
      <c r="I43" s="448"/>
      <c r="J43" s="448"/>
    </row>
    <row r="44" spans="1:10" ht="15.75" customHeight="1">
      <c r="A44" s="444" t="s">
        <v>483</v>
      </c>
      <c r="B44" s="444"/>
      <c r="C44" s="444"/>
      <c r="D44" s="444"/>
      <c r="E44" s="446"/>
      <c r="F44" s="444"/>
      <c r="G44" s="444"/>
      <c r="H44" s="444"/>
      <c r="I44" s="444"/>
      <c r="J44" s="444"/>
    </row>
  </sheetData>
  <sheetProtection sheet="1" objects="1" scenarios="1"/>
  <mergeCells count="5">
    <mergeCell ref="A44:J44"/>
    <mergeCell ref="A42:J42"/>
    <mergeCell ref="A43:J43"/>
    <mergeCell ref="A3:J3"/>
    <mergeCell ref="E4:G4"/>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B7" sqref="B7"/>
    </sheetView>
  </sheetViews>
  <sheetFormatPr defaultColWidth="8.8984375" defaultRowHeight="15"/>
  <cols>
    <col min="1" max="1" width="17.8984375" style="23" customWidth="1"/>
    <col min="2" max="2" width="15.296875" style="23" customWidth="1"/>
    <col min="3" max="6" width="10.69921875" style="23" customWidth="1"/>
    <col min="7" max="16384" width="8.8984375" style="23" customWidth="1"/>
  </cols>
  <sheetData>
    <row r="1" spans="1:6" ht="15">
      <c r="A1" s="162" t="str">
        <f>inputPrYr!D2</f>
        <v>CITY OF BURR OAK</v>
      </c>
      <c r="B1" s="162"/>
      <c r="C1" s="22"/>
      <c r="D1" s="22"/>
      <c r="E1" s="22"/>
      <c r="F1" s="22">
        <f>inputPrYr!$C$5</f>
        <v>2012</v>
      </c>
    </row>
    <row r="2" spans="1:6" ht="15">
      <c r="A2" s="22"/>
      <c r="B2" s="22"/>
      <c r="C2" s="22"/>
      <c r="D2" s="22"/>
      <c r="E2" s="22"/>
      <c r="F2" s="22"/>
    </row>
    <row r="3" spans="1:6" ht="15">
      <c r="A3" s="449" t="s">
        <v>542</v>
      </c>
      <c r="B3" s="449"/>
      <c r="C3" s="449"/>
      <c r="D3" s="449"/>
      <c r="E3" s="449"/>
      <c r="F3" s="22"/>
    </row>
    <row r="4" spans="1:6" ht="15">
      <c r="A4" s="22"/>
      <c r="B4" s="175"/>
      <c r="C4" s="176"/>
      <c r="D4" s="176"/>
      <c r="E4" s="22"/>
      <c r="F4" s="22"/>
    </row>
    <row r="5" spans="1:6" ht="21" customHeight="1">
      <c r="A5" s="177" t="s">
        <v>481</v>
      </c>
      <c r="B5" s="178" t="s">
        <v>480</v>
      </c>
      <c r="C5" s="451" t="str">
        <f>CONCATENATE("Allocation for Year ",F1,"")</f>
        <v>Allocation for Year 2012</v>
      </c>
      <c r="D5" s="452"/>
      <c r="E5" s="452"/>
      <c r="F5" s="453"/>
    </row>
    <row r="6" spans="1:6" ht="15">
      <c r="A6" s="179" t="str">
        <f>CONCATENATE("for ",F1-1,"")</f>
        <v>for 2011</v>
      </c>
      <c r="B6" s="179" t="str">
        <f>CONCATENATE("for ",F1-2,"")</f>
        <v>for 2010</v>
      </c>
      <c r="C6" s="133" t="s">
        <v>357</v>
      </c>
      <c r="D6" s="133" t="s">
        <v>358</v>
      </c>
      <c r="E6" s="133" t="s">
        <v>356</v>
      </c>
      <c r="F6" s="141" t="s">
        <v>441</v>
      </c>
    </row>
    <row r="7" spans="1:6" ht="15">
      <c r="A7" s="70" t="str">
        <f>(inputPrYr!B17)</f>
        <v>General</v>
      </c>
      <c r="B7" s="136">
        <f>(inputPrYr!E17)</f>
        <v>13414</v>
      </c>
      <c r="C7" s="136">
        <f>IF(inputOth!E37=0,0,C21-SUM(C8:C18))</f>
        <v>5457</v>
      </c>
      <c r="D7" s="136">
        <f>IF(inputOth!E38=0,0,D22-SUM(D8:D18))</f>
        <v>91</v>
      </c>
      <c r="E7" s="136">
        <f>IF(inputOth!E39=0,0,E23-SUM(E8:E18))</f>
        <v>168</v>
      </c>
      <c r="F7" s="136">
        <f>IF(inputOth!E42=0,0,F24-SUM(F8:F18))</f>
        <v>0</v>
      </c>
    </row>
    <row r="8" spans="1:6" ht="15">
      <c r="A8" s="70" t="str">
        <f>IF(inputPrYr!$B18&gt;"  ",(inputPrYr!$B18),"  ")</f>
        <v>Debt Service</v>
      </c>
      <c r="B8" s="136" t="str">
        <f>IF(inputPrYr!$E18&gt;0,(inputPrYr!$E18),"  ")</f>
        <v>  </v>
      </c>
      <c r="C8" s="136" t="str">
        <f>IF(inputPrYr!E18&gt;0,ROUND(B8*$C$26,0),"  ")</f>
        <v>  </v>
      </c>
      <c r="D8" s="136" t="str">
        <f>IF(inputPrYr!E18&gt;0,ROUND(+B8*D$27,0)," ")</f>
        <v> </v>
      </c>
      <c r="E8" s="136" t="str">
        <f>IF(inputPrYr!E18&gt;0,ROUND(+B8*E$28,0)," ")</f>
        <v> </v>
      </c>
      <c r="F8" s="136" t="str">
        <f>IF(inputPrYr!E18&gt;0,ROUND(+B8*F$29,0)," ")</f>
        <v> </v>
      </c>
    </row>
    <row r="9" spans="1:6" ht="15">
      <c r="A9" s="70" t="str">
        <f>IF(inputPrYr!$B20&gt;"  ",(inputPrYr!$B20),"  ")</f>
        <v>Library</v>
      </c>
      <c r="B9" s="136" t="str">
        <f>IF(inputPrYr!$E20&gt;0,(inputPrYr!$E20),"  ")</f>
        <v>  </v>
      </c>
      <c r="C9" s="136" t="str">
        <f>IF(inputPrYr!E20&gt;0,ROUND(B9*$C$26,0),"  ")</f>
        <v>  </v>
      </c>
      <c r="D9" s="136" t="str">
        <f>IF(inputPrYr!E20&gt;0,ROUND(+B9*D$27,0)," ")</f>
        <v> </v>
      </c>
      <c r="E9" s="136" t="str">
        <f>IF(inputPrYr!E20&gt;0,ROUND(+B9*E$28,0)," ")</f>
        <v> </v>
      </c>
      <c r="F9" s="136" t="str">
        <f>IF(inputPrYr!E20&gt;0,ROUND(+B9*F$29,0)," ")</f>
        <v> </v>
      </c>
    </row>
    <row r="10" spans="1:6" ht="15">
      <c r="A10" s="70" t="str">
        <f>IF(inputPrYr!$B21&gt;"  ",(inputPrYr!$B21),"  ")</f>
        <v>Employee Benefits</v>
      </c>
      <c r="B10" s="136" t="str">
        <f>IF(inputPrYr!$E21&gt;0,(inputPrYr!$E21),"  ")</f>
        <v>  </v>
      </c>
      <c r="C10" s="136" t="str">
        <f>IF(inputPrYr!E21&gt;0,ROUND(B10*$C$26,0),"  ")</f>
        <v>  </v>
      </c>
      <c r="D10" s="136" t="str">
        <f>IF(inputPrYr!E21&gt;0,ROUND(+B10*D$27,0)," ")</f>
        <v> </v>
      </c>
      <c r="E10" s="136" t="str">
        <f>IF(inputPrYr!E21&gt;0,ROUND(+B10*E$28,0)," ")</f>
        <v> </v>
      </c>
      <c r="F10" s="136" t="str">
        <f>IF(inputPrYr!E21&gt;0,ROUND(+B10*F$29,0)," ")</f>
        <v> </v>
      </c>
    </row>
    <row r="11" spans="1:6" ht="15">
      <c r="A11" s="70" t="str">
        <f>IF(inputPrYr!$B22&gt;"  ",(inputPrYr!$B22),"  ")</f>
        <v>  </v>
      </c>
      <c r="B11" s="136" t="str">
        <f>IF(inputPrYr!$E22&gt;0,(inputPrYr!$E22),"  ")</f>
        <v>  </v>
      </c>
      <c r="C11" s="136" t="str">
        <f>IF(inputPrYr!E22&gt;0,ROUND(B11*$C$26,0),"  ")</f>
        <v>  </v>
      </c>
      <c r="D11" s="136" t="str">
        <f>IF(inputPrYr!E22&gt;0,ROUND(+B11*D$27,0)," ")</f>
        <v> </v>
      </c>
      <c r="E11" s="136" t="str">
        <f>IF(inputPrYr!E22&gt;0,ROUND(+B11*E$28,0)," ")</f>
        <v> </v>
      </c>
      <c r="F11" s="136" t="str">
        <f>IF(inputPrYr!E22&gt;0,ROUND(+B11*F$29,0)," ")</f>
        <v> </v>
      </c>
    </row>
    <row r="12" spans="1:6" ht="15">
      <c r="A12" s="70" t="str">
        <f>IF(inputPrYr!$B23&gt;"  ",(inputPrYr!$B23),"  ")</f>
        <v>  </v>
      </c>
      <c r="B12" s="136" t="str">
        <f>IF(inputPrYr!$E23&gt;0,(inputPrYr!$E23),"  ")</f>
        <v>  </v>
      </c>
      <c r="C12" s="136" t="str">
        <f>IF(inputPrYr!E23&gt;0,ROUND(B12*$C$26,0),"  ")</f>
        <v>  </v>
      </c>
      <c r="D12" s="136" t="str">
        <f>IF(inputPrYr!E23&gt;0,ROUND(+B12*D$27,0)," ")</f>
        <v> </v>
      </c>
      <c r="E12" s="136" t="str">
        <f>IF(inputPrYr!E23&gt;0,ROUND(+B12*E$28,0)," ")</f>
        <v> </v>
      </c>
      <c r="F12" s="136" t="str">
        <f>IF(inputPrYr!E23&gt;0,ROUND(+B12*F$29,0)," ")</f>
        <v> </v>
      </c>
    </row>
    <row r="13" spans="1:6" ht="15">
      <c r="A13" s="70" t="str">
        <f>IF(inputPrYr!$B24&gt;"  ",(inputPrYr!$B24),"  ")</f>
        <v>  </v>
      </c>
      <c r="B13" s="136" t="str">
        <f>IF(inputPrYr!$E24&gt;0,(inputPrYr!$E24),"  ")</f>
        <v>  </v>
      </c>
      <c r="C13" s="136" t="str">
        <f>IF(inputPrYr!E24&gt;0,ROUND(B13*$C$26,0),"  ")</f>
        <v>  </v>
      </c>
      <c r="D13" s="136" t="str">
        <f>IF(inputPrYr!E24&gt;0,ROUND(+B13*D$27,0)," ")</f>
        <v> </v>
      </c>
      <c r="E13" s="136" t="str">
        <f>IF(inputPrYr!E24&gt;0,ROUND(+B13*E$28,0)," ")</f>
        <v> </v>
      </c>
      <c r="F13" s="136" t="str">
        <f>IF(inputPrYr!E24&gt;0,ROUND(+B13*F$29,0)," ")</f>
        <v> </v>
      </c>
    </row>
    <row r="14" spans="1:6" ht="15">
      <c r="A14" s="70" t="str">
        <f>IF(inputPrYr!$B25&gt;"  ",(inputPrYr!$B25),"  ")</f>
        <v>  </v>
      </c>
      <c r="B14" s="136" t="str">
        <f>IF(inputPrYr!$E25&gt;0,(inputPrYr!$E25),"  ")</f>
        <v>  </v>
      </c>
      <c r="C14" s="136" t="str">
        <f>IF(inputPrYr!E25&gt;0,ROUND(B14*$C$26,0),"  ")</f>
        <v>  </v>
      </c>
      <c r="D14" s="136" t="str">
        <f>IF(inputPrYr!E25&gt;0,ROUND(+B14*D$27,0)," ")</f>
        <v> </v>
      </c>
      <c r="E14" s="136" t="str">
        <f>IF(inputPrYr!E25&gt;0,ROUND(+B14*E$28,0)," ")</f>
        <v> </v>
      </c>
      <c r="F14" s="136" t="str">
        <f>IF(inputPrYr!E25&gt;0,ROUND(+B14*F$29,0)," ")</f>
        <v> </v>
      </c>
    </row>
    <row r="15" spans="1:6" ht="15">
      <c r="A15" s="70" t="str">
        <f>IF(inputPrYr!$B26&gt;"  ",(inputPrYr!$B26),"  ")</f>
        <v>  </v>
      </c>
      <c r="B15" s="136" t="str">
        <f>IF(inputPrYr!$E26&gt;0,(inputPrYr!$E26),"  ")</f>
        <v>  </v>
      </c>
      <c r="C15" s="136" t="str">
        <f>IF(inputPrYr!E26&gt;0,ROUND(B15*$C$26,0),"  ")</f>
        <v>  </v>
      </c>
      <c r="D15" s="136" t="str">
        <f>IF(inputPrYr!E26&gt;0,ROUND(+B15*D$27,0)," ")</f>
        <v> </v>
      </c>
      <c r="E15" s="136" t="str">
        <f>IF(inputPrYr!E26&gt;0,ROUND(+B15*E$28,0)," ")</f>
        <v> </v>
      </c>
      <c r="F15" s="136" t="str">
        <f>IF(inputPrYr!E26&gt;0,ROUND(+B15*F$29,0)," ")</f>
        <v> </v>
      </c>
    </row>
    <row r="16" spans="1:6" ht="15">
      <c r="A16" s="70" t="str">
        <f>IF(inputPrYr!$B27&gt;"  ",(inputPrYr!$B27),"  ")</f>
        <v>  </v>
      </c>
      <c r="B16" s="136" t="str">
        <f>IF(inputPrYr!$E27&gt;0,(inputPrYr!$E27),"  ")</f>
        <v>  </v>
      </c>
      <c r="C16" s="136" t="str">
        <f>IF(inputPrYr!E27&gt;0,ROUND(B16*$C$26,0),"  ")</f>
        <v>  </v>
      </c>
      <c r="D16" s="136" t="str">
        <f>IF(inputPrYr!E27&gt;0,ROUND(+B16*D$27,0)," ")</f>
        <v> </v>
      </c>
      <c r="E16" s="136" t="str">
        <f>IF(inputPrYr!E27&gt;0,ROUND(+B16*E$28,0)," ")</f>
        <v> </v>
      </c>
      <c r="F16" s="136" t="str">
        <f>IF(inputPrYr!E27&gt;0,ROUND(+B16*F$29,0)," ")</f>
        <v> </v>
      </c>
    </row>
    <row r="17" spans="1:6" ht="15">
      <c r="A17" s="70" t="str">
        <f>IF(inputPrYr!$B28&gt;"  ",(inputPrYr!$B28),"  ")</f>
        <v>  </v>
      </c>
      <c r="B17" s="136" t="str">
        <f>IF(inputPrYr!$E28&gt;0,(inputPrYr!$E28),"  ")</f>
        <v>  </v>
      </c>
      <c r="C17" s="136" t="str">
        <f>IF(inputPrYr!E28&gt;0,ROUND(B17*$C$26,0),"  ")</f>
        <v>  </v>
      </c>
      <c r="D17" s="136" t="str">
        <f>IF(inputPrYr!E28&gt;0,ROUND(+B17*D$27,0)," ")</f>
        <v> </v>
      </c>
      <c r="E17" s="136" t="str">
        <f>IF(inputPrYr!E28&gt;0,ROUND(+B17*E$28,0)," ")</f>
        <v> </v>
      </c>
      <c r="F17" s="136" t="str">
        <f>IF(inputPrYr!E28&gt;0,ROUND(+B17*F$29,0)," ")</f>
        <v> </v>
      </c>
    </row>
    <row r="18" spans="1:6" ht="15">
      <c r="A18" s="70" t="str">
        <f>IF(inputPrYr!$B29&gt;"  ",(inputPrYr!$B29),"  ")</f>
        <v>  </v>
      </c>
      <c r="B18" s="136" t="str">
        <f>IF(inputPrYr!$E29&gt;0,(inputPrYr!$E29),"  ")</f>
        <v>  </v>
      </c>
      <c r="C18" s="136" t="str">
        <f>IF(inputPrYr!E29&gt;0,ROUND(B18*$C$26,0),"  ")</f>
        <v>  </v>
      </c>
      <c r="D18" s="136" t="str">
        <f>IF(inputPrYr!E29&gt;0,ROUND(+B18*D$27,0)," ")</f>
        <v> </v>
      </c>
      <c r="E18" s="136" t="str">
        <f>IF(inputPrYr!E29&gt;0,ROUND(+B18*E$28,0)," ")</f>
        <v> </v>
      </c>
      <c r="F18" s="136" t="str">
        <f>IF(inputPrYr!E29&gt;0,ROUND(+B18*F$29,0)," ")</f>
        <v> </v>
      </c>
    </row>
    <row r="19" spans="1:6" ht="15.75" thickBot="1">
      <c r="A19" s="22" t="s">
        <v>280</v>
      </c>
      <c r="B19" s="180">
        <f>SUM(B7:B18)</f>
        <v>13414</v>
      </c>
      <c r="C19" s="180">
        <f>SUM(C7:C18)</f>
        <v>5457</v>
      </c>
      <c r="D19" s="180">
        <f>SUM(D7:D18)</f>
        <v>91</v>
      </c>
      <c r="E19" s="180">
        <f>SUM(E7:E18)</f>
        <v>168</v>
      </c>
      <c r="F19" s="181">
        <f>SUM(F7:F18)</f>
        <v>0</v>
      </c>
    </row>
    <row r="20" spans="1:6" ht="15.75" thickTop="1">
      <c r="A20" s="22"/>
      <c r="B20" s="22"/>
      <c r="C20" s="22"/>
      <c r="D20" s="22"/>
      <c r="E20" s="22"/>
      <c r="F20" s="22"/>
    </row>
    <row r="21" spans="1:6" ht="15">
      <c r="A21" s="29" t="s">
        <v>281</v>
      </c>
      <c r="B21" s="182"/>
      <c r="C21" s="183">
        <f>(inputOth!E37)</f>
        <v>5457</v>
      </c>
      <c r="D21" s="182"/>
      <c r="E21" s="22"/>
      <c r="F21" s="22"/>
    </row>
    <row r="22" spans="1:6" ht="15">
      <c r="A22" s="29" t="s">
        <v>282</v>
      </c>
      <c r="B22" s="22"/>
      <c r="C22" s="22"/>
      <c r="D22" s="183">
        <f>(inputOth!E38)</f>
        <v>91</v>
      </c>
      <c r="E22" s="22"/>
      <c r="F22" s="22"/>
    </row>
    <row r="23" spans="1:6" ht="15">
      <c r="A23" s="29" t="s">
        <v>359</v>
      </c>
      <c r="B23" s="22"/>
      <c r="C23" s="22"/>
      <c r="D23" s="22"/>
      <c r="E23" s="183">
        <f>inputOth!E39</f>
        <v>168</v>
      </c>
      <c r="F23" s="22"/>
    </row>
    <row r="24" spans="1:6" ht="15">
      <c r="A24" s="29" t="s">
        <v>540</v>
      </c>
      <c r="B24" s="22"/>
      <c r="C24" s="22"/>
      <c r="D24" s="22"/>
      <c r="E24" s="184"/>
      <c r="F24" s="167">
        <f>inputOth!E42</f>
        <v>0</v>
      </c>
    </row>
    <row r="25" spans="1:6" ht="15">
      <c r="A25" s="29"/>
      <c r="B25" s="22"/>
      <c r="C25" s="22"/>
      <c r="D25" s="22"/>
      <c r="E25" s="184"/>
      <c r="F25" s="22"/>
    </row>
    <row r="26" spans="1:6" ht="15">
      <c r="A26" s="29" t="s">
        <v>283</v>
      </c>
      <c r="B26" s="22"/>
      <c r="C26" s="185">
        <f>IF(B19=0,0,C21/B19)</f>
        <v>0.4068137766512599</v>
      </c>
      <c r="D26" s="22"/>
      <c r="E26" s="22"/>
      <c r="F26" s="22"/>
    </row>
    <row r="27" spans="1:6" ht="15">
      <c r="A27" s="22"/>
      <c r="B27" s="29" t="s">
        <v>284</v>
      </c>
      <c r="C27" s="22"/>
      <c r="D27" s="185">
        <f>IF(B19=0,0,D22/B19)</f>
        <v>0.006783957059788281</v>
      </c>
      <c r="E27" s="22"/>
      <c r="F27" s="22"/>
    </row>
    <row r="28" spans="1:6" ht="15">
      <c r="A28" s="22"/>
      <c r="B28" s="22"/>
      <c r="C28" s="29" t="s">
        <v>360</v>
      </c>
      <c r="D28" s="22"/>
      <c r="E28" s="185">
        <f>IF(E23=0,0,E23/B19)</f>
        <v>0.012524228418070672</v>
      </c>
      <c r="F28" s="22"/>
    </row>
    <row r="29" spans="1:6" ht="15">
      <c r="A29" s="22"/>
      <c r="B29" s="22"/>
      <c r="C29" s="22"/>
      <c r="D29" s="22" t="s">
        <v>541</v>
      </c>
      <c r="E29" s="22"/>
      <c r="F29" s="185">
        <f>IF(F24=0,0,F24/B19)</f>
        <v>0</v>
      </c>
    </row>
    <row r="30" spans="1:6" ht="15" customHeight="1">
      <c r="A30" s="87"/>
      <c r="B30" s="87"/>
      <c r="C30" s="87"/>
      <c r="D30" s="87"/>
      <c r="E30" s="87"/>
      <c r="F30" s="87"/>
    </row>
    <row r="31" ht="15" customHeight="1"/>
    <row r="32" s="186" customFormat="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sheet="1" objects="1" scenarios="1"/>
  <mergeCells count="2">
    <mergeCell ref="A3:E3"/>
    <mergeCell ref="C5:F5"/>
  </mergeCells>
  <printOptions/>
  <pageMargins left="0.5" right="0.5" top="0.5" bottom="0" header="0.25" footer="0"/>
  <pageSetup blackAndWhite="1" fitToHeight="1" fitToWidth="1" horizontalDpi="300" verticalDpi="300" orientation="portrait" r:id="rId1"/>
  <headerFooter alignWithMargins="0">
    <oddHeader>&amp;RState of Kansas
City
</oddHeader>
    <oddFooter>&amp;Lrevised 7/16/09&amp;CPage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9" sqref="C9:E9"/>
    </sheetView>
  </sheetViews>
  <sheetFormatPr defaultColWidth="8.8984375" defaultRowHeight="15"/>
  <cols>
    <col min="1" max="2" width="17.69921875" style="8" customWidth="1"/>
    <col min="3" max="6" width="12.69921875" style="8" customWidth="1"/>
    <col min="7" max="16384" width="8.8984375" style="8" customWidth="1"/>
  </cols>
  <sheetData>
    <row r="1" spans="1:6" ht="15">
      <c r="A1" s="86" t="str">
        <f>inputPrYr!D2</f>
        <v>CITY OF BURR OAK</v>
      </c>
      <c r="B1" s="86"/>
      <c r="C1" s="88"/>
      <c r="D1" s="88"/>
      <c r="E1" s="88"/>
      <c r="F1" s="88">
        <f>inputPrYr!$C$5</f>
        <v>2012</v>
      </c>
    </row>
    <row r="2" spans="1:6" ht="15">
      <c r="A2" s="88"/>
      <c r="B2" s="88"/>
      <c r="C2" s="88"/>
      <c r="D2" s="88"/>
      <c r="E2" s="88"/>
      <c r="F2" s="88"/>
    </row>
    <row r="3" spans="1:6" ht="15">
      <c r="A3" s="450" t="s">
        <v>412</v>
      </c>
      <c r="B3" s="450"/>
      <c r="C3" s="450"/>
      <c r="D3" s="450"/>
      <c r="E3" s="450"/>
      <c r="F3" s="450"/>
    </row>
    <row r="4" spans="1:6" ht="15">
      <c r="A4" s="187"/>
      <c r="B4" s="187"/>
      <c r="C4" s="187"/>
      <c r="D4" s="187"/>
      <c r="E4" s="187"/>
      <c r="F4" s="187"/>
    </row>
    <row r="5" spans="1:6" ht="15">
      <c r="A5" s="188" t="s">
        <v>249</v>
      </c>
      <c r="B5" s="188" t="s">
        <v>251</v>
      </c>
      <c r="C5" s="188" t="s">
        <v>306</v>
      </c>
      <c r="D5" s="188" t="s">
        <v>426</v>
      </c>
      <c r="E5" s="188" t="s">
        <v>427</v>
      </c>
      <c r="F5" s="188" t="s">
        <v>473</v>
      </c>
    </row>
    <row r="6" spans="1:6" ht="15">
      <c r="A6" s="189" t="s">
        <v>250</v>
      </c>
      <c r="B6" s="189" t="s">
        <v>252</v>
      </c>
      <c r="C6" s="189" t="s">
        <v>474</v>
      </c>
      <c r="D6" s="189" t="s">
        <v>474</v>
      </c>
      <c r="E6" s="189" t="s">
        <v>474</v>
      </c>
      <c r="F6" s="189" t="s">
        <v>475</v>
      </c>
    </row>
    <row r="7" spans="1:6" ht="15" customHeight="1">
      <c r="A7" s="190" t="s">
        <v>476</v>
      </c>
      <c r="B7" s="190" t="s">
        <v>477</v>
      </c>
      <c r="C7" s="191">
        <f>F1-2</f>
        <v>2010</v>
      </c>
      <c r="D7" s="191">
        <f>F1-1</f>
        <v>2011</v>
      </c>
      <c r="E7" s="191">
        <f>F1</f>
        <v>2012</v>
      </c>
      <c r="F7" s="190" t="s">
        <v>478</v>
      </c>
    </row>
    <row r="8" spans="1:6" ht="14.25" customHeight="1">
      <c r="A8" s="192"/>
      <c r="B8" s="192"/>
      <c r="C8" s="193"/>
      <c r="D8" s="193"/>
      <c r="E8" s="193"/>
      <c r="F8" s="192"/>
    </row>
    <row r="9" spans="1:6" ht="15" customHeight="1">
      <c r="A9" s="194"/>
      <c r="B9" s="194"/>
      <c r="C9" s="195"/>
      <c r="D9" s="195"/>
      <c r="E9" s="195"/>
      <c r="F9" s="194"/>
    </row>
    <row r="10" spans="1:6" ht="15" customHeight="1">
      <c r="A10" s="194"/>
      <c r="B10" s="194"/>
      <c r="C10" s="195"/>
      <c r="D10" s="195"/>
      <c r="E10" s="195"/>
      <c r="F10" s="194"/>
    </row>
    <row r="11" spans="1:6" ht="15" customHeight="1">
      <c r="A11" s="194"/>
      <c r="B11" s="194"/>
      <c r="C11" s="195"/>
      <c r="D11" s="195"/>
      <c r="E11" s="195"/>
      <c r="F11" s="194"/>
    </row>
    <row r="12" spans="1:6" ht="15" customHeight="1">
      <c r="A12" s="194"/>
      <c r="B12" s="194"/>
      <c r="C12" s="195"/>
      <c r="D12" s="195"/>
      <c r="E12" s="195"/>
      <c r="F12" s="194"/>
    </row>
    <row r="13" spans="1:6" ht="15" customHeight="1">
      <c r="A13" s="194"/>
      <c r="B13" s="194"/>
      <c r="C13" s="195"/>
      <c r="D13" s="195"/>
      <c r="E13" s="195"/>
      <c r="F13" s="194"/>
    </row>
    <row r="14" spans="1:6" ht="15" customHeight="1">
      <c r="A14" s="194"/>
      <c r="B14" s="194"/>
      <c r="C14" s="195"/>
      <c r="D14" s="195"/>
      <c r="E14" s="195"/>
      <c r="F14" s="194"/>
    </row>
    <row r="15" spans="1:6" ht="15" customHeight="1">
      <c r="A15" s="194"/>
      <c r="B15" s="194"/>
      <c r="C15" s="195"/>
      <c r="D15" s="195"/>
      <c r="E15" s="195"/>
      <c r="F15" s="194"/>
    </row>
    <row r="16" spans="1:6" ht="15" customHeight="1">
      <c r="A16" s="194"/>
      <c r="B16" s="194"/>
      <c r="C16" s="195"/>
      <c r="D16" s="195"/>
      <c r="E16" s="195"/>
      <c r="F16" s="194"/>
    </row>
    <row r="17" spans="1:6" ht="15" customHeight="1">
      <c r="A17" s="194"/>
      <c r="B17" s="194"/>
      <c r="C17" s="195"/>
      <c r="D17" s="195"/>
      <c r="E17" s="195"/>
      <c r="F17" s="194"/>
    </row>
    <row r="18" spans="1:6" ht="15" customHeight="1">
      <c r="A18" s="194"/>
      <c r="B18" s="194"/>
      <c r="C18" s="195"/>
      <c r="D18" s="195"/>
      <c r="E18" s="195"/>
      <c r="F18" s="194"/>
    </row>
    <row r="19" spans="1:6" ht="15" customHeight="1">
      <c r="A19" s="194"/>
      <c r="B19" s="194"/>
      <c r="C19" s="195"/>
      <c r="D19" s="195"/>
      <c r="E19" s="195"/>
      <c r="F19" s="194"/>
    </row>
    <row r="20" spans="1:6" ht="15" customHeight="1">
      <c r="A20" s="194"/>
      <c r="B20" s="194"/>
      <c r="C20" s="195"/>
      <c r="D20" s="195"/>
      <c r="E20" s="195"/>
      <c r="F20" s="194"/>
    </row>
    <row r="21" spans="1:6" ht="15" customHeight="1">
      <c r="A21" s="194"/>
      <c r="B21" s="194"/>
      <c r="C21" s="195"/>
      <c r="D21" s="195"/>
      <c r="E21" s="195"/>
      <c r="F21" s="194"/>
    </row>
    <row r="22" spans="1:6" ht="15" customHeight="1">
      <c r="A22" s="194"/>
      <c r="B22" s="194"/>
      <c r="C22" s="195"/>
      <c r="D22" s="195"/>
      <c r="E22" s="195"/>
      <c r="F22" s="194"/>
    </row>
    <row r="23" spans="1:6" ht="15" customHeight="1">
      <c r="A23" s="194"/>
      <c r="B23" s="194"/>
      <c r="C23" s="195"/>
      <c r="D23" s="195"/>
      <c r="E23" s="195"/>
      <c r="F23" s="194"/>
    </row>
    <row r="24" spans="1:6" ht="15" customHeight="1">
      <c r="A24" s="194"/>
      <c r="B24" s="194"/>
      <c r="C24" s="195"/>
      <c r="D24" s="195"/>
      <c r="E24" s="195"/>
      <c r="F24" s="194"/>
    </row>
    <row r="25" spans="1:6" ht="15" customHeight="1">
      <c r="A25" s="194"/>
      <c r="B25" s="194"/>
      <c r="C25" s="195"/>
      <c r="D25" s="195"/>
      <c r="E25" s="195"/>
      <c r="F25" s="194"/>
    </row>
    <row r="26" spans="1:6" ht="15" customHeight="1">
      <c r="A26" s="196"/>
      <c r="B26" s="197" t="s">
        <v>273</v>
      </c>
      <c r="C26" s="198">
        <f>SUM(C8:C25)</f>
        <v>0</v>
      </c>
      <c r="D26" s="198">
        <f>SUM(D8:D25)</f>
        <v>0</v>
      </c>
      <c r="E26" s="198">
        <f>SUM(E8:E25)</f>
        <v>0</v>
      </c>
      <c r="F26" s="196"/>
    </row>
    <row r="27" spans="1:6" ht="15" customHeight="1">
      <c r="A27" s="196"/>
      <c r="B27" s="199" t="s">
        <v>253</v>
      </c>
      <c r="C27" s="141"/>
      <c r="D27" s="194"/>
      <c r="E27" s="194"/>
      <c r="F27" s="196"/>
    </row>
    <row r="28" spans="1:6" ht="15" customHeight="1">
      <c r="A28" s="196"/>
      <c r="B28" s="197" t="s">
        <v>479</v>
      </c>
      <c r="C28" s="198">
        <f>C26</f>
        <v>0</v>
      </c>
      <c r="D28" s="198">
        <f>SUM(D26-D27)</f>
        <v>0</v>
      </c>
      <c r="E28" s="198">
        <f>SUM(E26-E27)</f>
        <v>0</v>
      </c>
      <c r="F28" s="196"/>
    </row>
    <row r="29" spans="1:6" ht="15" customHeight="1">
      <c r="A29" s="80"/>
      <c r="B29" s="80"/>
      <c r="C29" s="80"/>
      <c r="D29" s="80"/>
      <c r="E29" s="80"/>
      <c r="F29" s="80"/>
    </row>
    <row r="30" spans="1:6" ht="15" customHeight="1">
      <c r="A30" s="80"/>
      <c r="B30" s="80"/>
      <c r="C30" s="80"/>
      <c r="D30" s="80"/>
      <c r="E30" s="80"/>
      <c r="F30" s="80"/>
    </row>
    <row r="31" spans="1:6" ht="21.75" customHeight="1">
      <c r="A31" s="423" t="s">
        <v>248</v>
      </c>
      <c r="B31" s="424"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objects="1" scenarios="1"/>
  <mergeCells count="1">
    <mergeCell ref="A3:F3"/>
  </mergeCells>
  <printOptions/>
  <pageMargins left="1" right="1" top="1" bottom="1" header="0.5" footer="0.5"/>
  <pageSetup blackAndWhite="1" fitToHeight="1" fitToWidth="1" horizontalDpi="600" verticalDpi="600" orientation="portrait" scale="80" r:id="rId1"/>
  <headerFooter alignWithMargins="0">
    <oddHeader>&amp;RState of Kansans
City</oddHeader>
    <oddFooter>&amp;Lrevised 1/05/10&amp;CPage No. 4</oddFooter>
  </headerFooter>
</worksheet>
</file>

<file path=xl/worksheets/sheet9.xml><?xml version="1.0" encoding="utf-8"?>
<worksheet xmlns="http://schemas.openxmlformats.org/spreadsheetml/2006/main" xmlns:r="http://schemas.openxmlformats.org/officeDocument/2006/relationships">
  <dimension ref="A1:A49"/>
  <sheetViews>
    <sheetView zoomScalePageLayoutView="0" workbookViewId="0" topLeftCell="A1">
      <selection activeCell="A1" sqref="A1"/>
    </sheetView>
  </sheetViews>
  <sheetFormatPr defaultColWidth="8.8984375" defaultRowHeight="15"/>
  <cols>
    <col min="1" max="1" width="70.59765625" style="85" customWidth="1"/>
    <col min="2" max="16384" width="8.8984375" style="85" customWidth="1"/>
  </cols>
  <sheetData>
    <row r="1" ht="17.25">
      <c r="A1" s="200" t="s">
        <v>640</v>
      </c>
    </row>
    <row r="2" ht="15">
      <c r="A2" s="8"/>
    </row>
    <row r="3" ht="61.5" customHeight="1">
      <c r="A3" s="14" t="s">
        <v>641</v>
      </c>
    </row>
    <row r="4" ht="15">
      <c r="A4" s="8"/>
    </row>
    <row r="5" ht="15">
      <c r="A5" s="8"/>
    </row>
    <row r="6" ht="78" customHeight="1">
      <c r="A6" s="14" t="s">
        <v>642</v>
      </c>
    </row>
    <row r="7" ht="15">
      <c r="A7" s="201"/>
    </row>
    <row r="8" ht="15">
      <c r="A8" s="8"/>
    </row>
    <row r="9" ht="63.75" customHeight="1">
      <c r="A9" s="14" t="s">
        <v>643</v>
      </c>
    </row>
    <row r="10" ht="15">
      <c r="A10" s="201"/>
    </row>
    <row r="11" ht="15">
      <c r="A11" s="8"/>
    </row>
    <row r="12" ht="64.5" customHeight="1">
      <c r="A12" s="14" t="s">
        <v>644</v>
      </c>
    </row>
    <row r="13" ht="15">
      <c r="A13" s="201"/>
    </row>
    <row r="14" ht="15">
      <c r="A14" s="201"/>
    </row>
    <row r="15" ht="63.75" customHeight="1">
      <c r="A15" s="14" t="s">
        <v>645</v>
      </c>
    </row>
    <row r="16" ht="15">
      <c r="A16" s="201"/>
    </row>
    <row r="17" ht="15">
      <c r="A17" s="201"/>
    </row>
    <row r="18" ht="62.25" customHeight="1">
      <c r="A18" s="14" t="s">
        <v>646</v>
      </c>
    </row>
    <row r="19" ht="15">
      <c r="A19" s="201"/>
    </row>
    <row r="20" ht="15">
      <c r="A20" s="201"/>
    </row>
    <row r="21" ht="48.75" customHeight="1">
      <c r="A21" s="14" t="s">
        <v>647</v>
      </c>
    </row>
    <row r="22" ht="15">
      <c r="A22" s="8"/>
    </row>
    <row r="23" ht="15">
      <c r="A23" s="8"/>
    </row>
    <row r="24" ht="74.25" customHeight="1">
      <c r="A24" s="202" t="s">
        <v>648</v>
      </c>
    </row>
    <row r="25" ht="15">
      <c r="A25" s="203"/>
    </row>
    <row r="26" ht="15">
      <c r="A26" s="203"/>
    </row>
    <row r="27" ht="63" customHeight="1">
      <c r="A27" s="14" t="s">
        <v>649</v>
      </c>
    </row>
    <row r="28" ht="15">
      <c r="A28" s="8"/>
    </row>
    <row r="29" ht="15">
      <c r="A29" s="8"/>
    </row>
    <row r="30" ht="78" customHeight="1">
      <c r="A30" s="204" t="s">
        <v>650</v>
      </c>
    </row>
    <row r="31" ht="15">
      <c r="A31" s="201"/>
    </row>
    <row r="32" ht="15">
      <c r="A32" s="8"/>
    </row>
    <row r="33" ht="76.5" customHeight="1">
      <c r="A33" s="14" t="s">
        <v>651</v>
      </c>
    </row>
    <row r="34" ht="15">
      <c r="A34" s="201"/>
    </row>
    <row r="35" ht="15">
      <c r="A35" s="201"/>
    </row>
    <row r="36" ht="78" customHeight="1">
      <c r="A36" s="14" t="s">
        <v>652</v>
      </c>
    </row>
    <row r="37" ht="15">
      <c r="A37" s="201"/>
    </row>
    <row r="38" ht="15">
      <c r="A38" s="201"/>
    </row>
    <row r="39" ht="78.75" customHeight="1">
      <c r="A39" s="14" t="s">
        <v>653</v>
      </c>
    </row>
    <row r="40" ht="15">
      <c r="A40" s="201"/>
    </row>
    <row r="41" ht="15">
      <c r="A41" s="201"/>
    </row>
    <row r="42" ht="64.5" customHeight="1">
      <c r="A42" s="14" t="s">
        <v>654</v>
      </c>
    </row>
    <row r="43" ht="15">
      <c r="A43" s="201"/>
    </row>
    <row r="44" ht="15">
      <c r="A44" s="201"/>
    </row>
    <row r="45" ht="61.5" customHeight="1">
      <c r="A45" s="14" t="s">
        <v>655</v>
      </c>
    </row>
    <row r="46" ht="15">
      <c r="A46" s="201"/>
    </row>
    <row r="47" ht="15">
      <c r="A47" s="201"/>
    </row>
    <row r="48" ht="93.75" customHeight="1">
      <c r="A48" s="14" t="s">
        <v>656</v>
      </c>
    </row>
    <row r="49" ht="15">
      <c r="A49" s="205"/>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2011-07-17T16:20:03Z</cp:lastPrinted>
  <dcterms:created xsi:type="dcterms:W3CDTF">1999-08-03T13:11:47Z</dcterms:created>
  <dcterms:modified xsi:type="dcterms:W3CDTF">2014-01-21T20:30:41Z</dcterms:modified>
  <cp:category/>
  <cp:version/>
  <cp:contentType/>
  <cp:contentStatus/>
</cp:coreProperties>
</file>